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autoCompressPictures="0"/>
  <mc:AlternateContent xmlns:mc="http://schemas.openxmlformats.org/markup-compatibility/2006">
    <mc:Choice Requires="x15">
      <x15ac:absPath xmlns:x15ac="http://schemas.microsoft.com/office/spreadsheetml/2010/11/ac" url="https://d.docs.live.net/23477477854e4f25/Documents/BICYCLES/Randonneur/Permanent_2026/Four_Hump_Camel/"/>
    </mc:Choice>
  </mc:AlternateContent>
  <xr:revisionPtr revIDLastSave="27" documentId="8_{F07E9F78-2A03-4BDE-B9B5-862402424A80}" xr6:coauthVersionLast="47" xr6:coauthVersionMax="47" xr10:uidLastSave="{B1C77BBC-A75D-4646-9492-55525337F616}"/>
  <bookViews>
    <workbookView xWindow="28680" yWindow="-120" windowWidth="29040" windowHeight="15720" tabRatio="509" firstSheet="1"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G50" i="7" l="1"/>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39" i="7"/>
  <c r="F38" i="7"/>
  <c r="F36" i="7"/>
  <c r="F27" i="7"/>
  <c r="F23" i="7"/>
  <c r="E22" i="7"/>
  <c r="B22" i="7"/>
  <c r="F21" i="7"/>
  <c r="J52" i="7" l="1"/>
  <c r="C54" i="7"/>
  <c r="E4" i="7" l="1"/>
  <c r="L15" i="1" l="1"/>
  <c r="N15" i="1" s="1"/>
  <c r="C6" i="1"/>
  <c r="L24" i="1"/>
  <c r="L23" i="1"/>
  <c r="L22" i="1"/>
  <c r="L21" i="1"/>
  <c r="L20" i="1"/>
  <c r="L19" i="1"/>
  <c r="L18" i="1"/>
  <c r="L17" i="1"/>
  <c r="L16" i="1"/>
  <c r="N28" i="1" l="1"/>
  <c r="O28" i="1"/>
  <c r="M16" i="1"/>
  <c r="O16" i="1" s="1"/>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C47" i="7"/>
  <c r="C45" i="7"/>
  <c r="C46" i="7"/>
  <c r="C43" i="7"/>
  <c r="C42" i="7"/>
  <c r="C44" i="7"/>
  <c r="C50" i="7"/>
  <c r="C49" i="7"/>
  <c r="C48" i="7"/>
  <c r="D47" i="7" l="1"/>
  <c r="D50" i="7"/>
  <c r="D44" i="7"/>
  <c r="D48" i="7"/>
  <c r="D49"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<sst xmlns="http://schemas.openxmlformats.org/spreadsheetml/2006/main" count="158" uniqueCount="101">
  <si>
    <t>DO NOT MOVE OR DELETE ROWS OR COLUMNS (delete contents of cells only)</t>
  </si>
  <si>
    <t>Scroll right to see further instructions</t>
  </si>
  <si>
    <t>You can create 2control cards  (upto 20 controls) for one event, or 2control cards (up to 10 controls) with different start loctions for a single event.</t>
  </si>
  <si>
    <t xml:space="preserve">Template Revised:  </t>
  </si>
  <si>
    <t xml:space="preserve">Card Revised:  </t>
  </si>
  <si>
    <t>Brevet Length:</t>
  </si>
  <si>
    <t>Instructions</t>
  </si>
  <si>
    <t>Fill nominal brevet length.  This is the ACP distance eg 200, 300, 1000</t>
  </si>
  <si>
    <t>Maximum Time:</t>
  </si>
  <si>
    <t>Maximum allowable time automatically calculated</t>
  </si>
  <si>
    <t>Brevet Description:</t>
  </si>
  <si>
    <t>Fall Flatlander 2024 (Reverse Flatlander)</t>
  </si>
  <si>
    <t>Enter the brevet name eg 'Remembrance Day Brevet'</t>
  </si>
  <si>
    <t>Brevet Number:</t>
  </si>
  <si>
    <t>Enter the brevet number.  This is the BCR database number, and can be found on the event page in the database</t>
  </si>
  <si>
    <t>Schedule date:</t>
  </si>
  <si>
    <t>Organizer phone #</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</si>
  <si>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</si>
  <si>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</si>
  <si>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</si>
  <si>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</si>
  <si>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</si>
  <si>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</si>
  <si>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</si>
  <si>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</si>
  <si>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</si>
  <si>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</si>
  <si>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</si>
  <si>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</si>
  <si>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</si>
  <si>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</si>
  <si>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</si>
  <si>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</si>
  <si>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</si>
  <si>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</si>
  <si>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</si>
  <si>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Organizer phone number is optional</t>
  </si>
  <si>
    <t>Control 1</t>
  </si>
  <si>
    <t>Fort Langley</t>
  </si>
  <si>
    <t>Marina Park</t>
  </si>
  <si>
    <t>Fill in the control distance.  The opening and closing times will be automatically calculated based on the start time and the brevet distance.  If you need more than 10 controls, or need an alternate start loction, use card #2, otherwise leave that section blank.</t>
  </si>
  <si>
    <t>Control 2</t>
  </si>
  <si>
    <t>Arnold</t>
  </si>
  <si>
    <t>Maher Rd @ Lamson Rd</t>
  </si>
  <si>
    <t>Fill in the Locale (city) for each control.  Establishment 1, 2, and 3 can be used to describe the control itself eg Locale HOPE  Est.1  BUSINESS Est.2 Dairy Queen Est.3 817 Water Ave .  For a secret control, use SECRET as the locale.</t>
  </si>
  <si>
    <t>Control 3</t>
  </si>
  <si>
    <t>Popkum</t>
  </si>
  <si>
    <t>Roundabout</t>
  </si>
  <si>
    <t>Your choice</t>
  </si>
  <si>
    <t>When using information controls, you can put your question in the Signature/Answer section eg Sig/Ans.1 Sign on main door  Sig/Ans. 2  This week's special is?  Sig/Ans. 3 ________________</t>
  </si>
  <si>
    <t>Control 4</t>
  </si>
  <si>
    <t>North of Chilliwack</t>
  </si>
  <si>
    <t>McSween Rd @ Ballam Rd</t>
  </si>
  <si>
    <t>Control 5</t>
  </si>
  <si>
    <t>Fort Pub</t>
  </si>
  <si>
    <t>Control 6</t>
  </si>
  <si>
    <t>Control 7</t>
  </si>
  <si>
    <t>Control 8</t>
  </si>
  <si>
    <t>Control 9</t>
  </si>
  <si>
    <t>Control 10</t>
  </si>
  <si>
    <t>Control Card #2</t>
  </si>
  <si>
    <t>Control Card #2 Information Control Question (optional)</t>
  </si>
  <si>
    <t>Founding member of LES RANDONNEURS MONDIAUX (1983)</t>
  </si>
  <si>
    <t>Card revised:</t>
  </si>
  <si>
    <t>Control Card</t>
  </si>
  <si>
    <t>Brevet #</t>
  </si>
  <si>
    <t>Rider:</t>
  </si>
  <si>
    <t>Member #</t>
  </si>
  <si>
    <t>Bicycle Type
Circle one</t>
  </si>
  <si>
    <t>-------&gt;</t>
  </si>
  <si>
    <t>Single     Tandem     Fixed     Recumbent     Velomobile</t>
  </si>
  <si>
    <t>(circle)</t>
  </si>
  <si>
    <t>Start time:</t>
  </si>
  <si>
    <t>Finish Date:</t>
  </si>
  <si>
    <t>Finish time:</t>
  </si>
  <si>
    <t>Elapsed time:</t>
  </si>
  <si>
    <t>Rider's signature at completion</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</si>
  <si>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</si>
  <si>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DIST (km)</t>
  </si>
  <si>
    <t>Establishment</t>
  </si>
  <si>
    <t>Signature/Answer</t>
  </si>
  <si>
    <t>Time of Passage</t>
  </si>
  <si>
    <t>Report results or abandonment through registration email link</t>
  </si>
  <si>
    <t xml:space="preserve">Organizer: </t>
  </si>
  <si>
    <t>Template revised:</t>
  </si>
  <si>
    <t>Four Hump Camel and a Bookstore</t>
  </si>
  <si>
    <t>Permanent</t>
  </si>
  <si>
    <t>#258</t>
  </si>
  <si>
    <t>Friday</t>
  </si>
  <si>
    <t>Wendel's Bookstore</t>
  </si>
  <si>
    <t>Burnaby Mountain</t>
  </si>
  <si>
    <t>Mt. Seymour</t>
  </si>
  <si>
    <t>Grouse Mountain</t>
  </si>
  <si>
    <t>Parking under Red Gondola Line</t>
  </si>
  <si>
    <t>Cypress Mountain</t>
  </si>
  <si>
    <t>The Simon Housing - stop sign</t>
  </si>
  <si>
    <t>Alpine Center - rental</t>
  </si>
  <si>
    <t>Capilano River RV Park entry</t>
  </si>
  <si>
    <t>Small parking lot at RV park entry</t>
  </si>
  <si>
    <t>Cypress Creek Lodge</t>
  </si>
  <si>
    <t>Single    Tandem     Fixed     Recumbent     Velomobile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</si>
</sst>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40"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sz val="28"/>
      <name val="Arial Narrow"/>
      <family val="2"/>
    </font>
    <font>
      <b/>
      <sz val="28"/>
      <name val="Arial Narrow"/>
      <family val="2"/>
    </font>
    <font>
      <b/>
      <sz val="14"/>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20" fontId="8" fillId="0" borderId="16" xfId="0" applyNumberFormat="1" applyFont="1" applyBorder="1"/>
    <xf numFmtId="167" fontId="36" fillId="0" borderId="16" xfId="0" applyNumberFormat="1" applyFont="1" applyBorder="1" applyAlignment="1">
      <alignment horizontal="center" wrapText="1"/>
    </xf>
    <xf numFmtId="167" fontId="37" fillId="0" borderId="16" xfId="0" applyNumberFormat="1" applyFont="1" applyBorder="1" applyAlignment="1">
      <alignment horizontal="center" vertical="center"/>
    </xf>
    <xf numFmtId="167" fontId="36" fillId="0" borderId="7" xfId="0" applyNumberFormat="1" applyFont="1" applyBorder="1"/>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49" fontId="7" fillId="0" borderId="0" xfId="0" applyNumberFormat="1" applyFont="1" applyAlignment="1">
      <alignment horizontal="left" vertical="center"/>
    </xf>
    <xf numFmtId="49" fontId="38" fillId="0" borderId="0" xfId="0" applyNumberFormat="1" applyFont="1" applyAlignment="1">
      <alignment horizontal="left" vertical="center"/>
    </xf>
    <xf numFmtId="2" fontId="8" fillId="0" borderId="0" xfId="0" applyNumberFormat="1" applyFont="1" applyAlignment="1">
      <alignment horizontal="center"/>
    </xf>
    <xf numFmtId="2" fontId="8" fillId="0" borderId="18" xfId="0" applyNumberFormat="1"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35" fillId="0" borderId="28" xfId="0" applyFont="1"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39" fillId="0" borderId="16" xfId="0" applyFont="1" applyBorder="1" applyAlignment="1">
      <alignment horizontal="center" vertical="center" wrapText="1"/>
    </xf>
    <xf numFmtId="0" fontId="39" fillId="0" borderId="7" xfId="0" applyFont="1" applyBorder="1" applyAlignment="1">
      <alignment horizontal="center" vertical="center" wrapText="1"/>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cellXfs>
  <cellStyles count="356">
    <cellStyle name="Followed Hyperlink" xfId="68" builtinId="9" hidden="1"/>
    <cellStyle name="Followed Hyperlink" xfId="72"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5" builtinId="9" hidden="1"/>
    <cellStyle name="Followed Hyperlink" xfId="243" builtinId="9" hidden="1"/>
    <cellStyle name="Followed Hyperlink" xfId="241" builtinId="9" hidden="1"/>
    <cellStyle name="Followed Hyperlink" xfId="239" builtinId="9" hidden="1"/>
    <cellStyle name="Followed Hyperlink" xfId="237" builtinId="9" hidden="1"/>
    <cellStyle name="Followed Hyperlink" xfId="235" builtinId="9" hidden="1"/>
    <cellStyle name="Followed Hyperlink" xfId="233" builtinId="9" hidden="1"/>
    <cellStyle name="Followed Hyperlink" xfId="231" builtinId="9" hidden="1"/>
    <cellStyle name="Followed Hyperlink" xfId="229" builtinId="9" hidden="1"/>
    <cellStyle name="Followed Hyperlink" xfId="227" builtinId="9" hidden="1"/>
    <cellStyle name="Followed Hyperlink" xfId="225" builtinId="9" hidden="1"/>
    <cellStyle name="Followed Hyperlink" xfId="223" builtinId="9" hidden="1"/>
    <cellStyle name="Followed Hyperlink" xfId="221" builtinId="9" hidden="1"/>
    <cellStyle name="Followed Hyperlink" xfId="219" builtinId="9" hidden="1"/>
    <cellStyle name="Followed Hyperlink" xfId="217" builtinId="9" hidden="1"/>
    <cellStyle name="Followed Hyperlink" xfId="215" builtinId="9" hidden="1"/>
    <cellStyle name="Followed Hyperlink" xfId="213" builtinId="9" hidden="1"/>
    <cellStyle name="Followed Hyperlink" xfId="211" builtinId="9" hidden="1"/>
    <cellStyle name="Followed Hyperlink" xfId="209" builtinId="9" hidden="1"/>
    <cellStyle name="Followed Hyperlink" xfId="207" builtinId="9" hidden="1"/>
    <cellStyle name="Followed Hyperlink" xfId="205" builtinId="9" hidden="1"/>
    <cellStyle name="Followed Hyperlink" xfId="203" builtinId="9" hidden="1"/>
    <cellStyle name="Followed Hyperlink" xfId="201" builtinId="9" hidden="1"/>
    <cellStyle name="Followed Hyperlink" xfId="199" builtinId="9" hidden="1"/>
    <cellStyle name="Followed Hyperlink" xfId="197" builtinId="9" hidden="1"/>
    <cellStyle name="Followed Hyperlink" xfId="195" builtinId="9" hidden="1"/>
    <cellStyle name="Followed Hyperlink" xfId="193" builtinId="9" hidden="1"/>
    <cellStyle name="Followed Hyperlink" xfId="191" builtinId="9" hidden="1"/>
    <cellStyle name="Followed Hyperlink" xfId="189" builtinId="9" hidden="1"/>
    <cellStyle name="Followed Hyperlink" xfId="187" builtinId="9" hidden="1"/>
    <cellStyle name="Followed Hyperlink" xfId="185" builtinId="9" hidden="1"/>
    <cellStyle name="Followed Hyperlink" xfId="183" builtinId="9" hidden="1"/>
    <cellStyle name="Followed Hyperlink" xfId="181" builtinId="9" hidden="1"/>
    <cellStyle name="Followed Hyperlink" xfId="179" builtinId="9" hidden="1"/>
    <cellStyle name="Followed Hyperlink" xfId="177" builtinId="9" hidden="1"/>
    <cellStyle name="Followed Hyperlink" xfId="175" builtinId="9" hidden="1"/>
    <cellStyle name="Followed Hyperlink" xfId="173" builtinId="9" hidden="1"/>
    <cellStyle name="Followed Hyperlink" xfId="171" builtinId="9" hidden="1"/>
    <cellStyle name="Followed Hyperlink" xfId="169" builtinId="9" hidden="1"/>
    <cellStyle name="Followed Hyperlink" xfId="167" builtinId="9" hidden="1"/>
    <cellStyle name="Followed Hyperlink" xfId="165" builtinId="9" hidden="1"/>
    <cellStyle name="Followed Hyperlink" xfId="163" builtinId="9" hidden="1"/>
    <cellStyle name="Followed Hyperlink" xfId="161" builtinId="9" hidden="1"/>
    <cellStyle name="Followed Hyperlink" xfId="159" builtinId="9" hidden="1"/>
    <cellStyle name="Followed Hyperlink" xfId="157" builtinId="9" hidden="1"/>
    <cellStyle name="Followed Hyperlink" xfId="155" builtinId="9" hidden="1"/>
    <cellStyle name="Followed Hyperlink" xfId="153" builtinId="9" hidden="1"/>
    <cellStyle name="Followed Hyperlink" xfId="151" builtinId="9" hidden="1"/>
    <cellStyle name="Followed Hyperlink" xfId="149" builtinId="9" hidden="1"/>
    <cellStyle name="Followed Hyperlink" xfId="147" builtinId="9" hidden="1"/>
    <cellStyle name="Followed Hyperlink" xfId="145" builtinId="9" hidden="1"/>
    <cellStyle name="Followed Hyperlink" xfId="143" builtinId="9" hidden="1"/>
    <cellStyle name="Followed Hyperlink" xfId="141" builtinId="9" hidden="1"/>
    <cellStyle name="Followed Hyperlink" xfId="139" builtinId="9" hidden="1"/>
    <cellStyle name="Followed Hyperlink" xfId="137" builtinId="9" hidden="1"/>
    <cellStyle name="Followed Hyperlink" xfId="135" builtinId="9" hidden="1"/>
    <cellStyle name="Followed Hyperlink" xfId="133" builtinId="9" hidden="1"/>
    <cellStyle name="Followed Hyperlink" xfId="131" builtinId="9" hidden="1"/>
    <cellStyle name="Followed Hyperlink" xfId="129" builtinId="9" hidden="1"/>
    <cellStyle name="Followed Hyperlink" xfId="127" builtinId="9" hidden="1"/>
    <cellStyle name="Followed Hyperlink" xfId="125" builtinId="9" hidden="1"/>
    <cellStyle name="Followed Hyperlink" xfId="123"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3"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8" builtinId="8" hidden="1"/>
    <cellStyle name="Hyperlink" xfId="350" builtinId="8" hidden="1"/>
    <cellStyle name="Hyperlink" xfId="352" builtinId="8" hidden="1"/>
    <cellStyle name="Hyperlink" xfId="354" builtinId="8" hidden="1"/>
    <cellStyle name="Hyperlink" xfId="346" builtinId="8" hidden="1"/>
    <cellStyle name="Hyperlink" xfId="330" builtinId="8" hidden="1"/>
    <cellStyle name="Hyperlink" xfId="314"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71"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40" zoomScaleNormal="140" zoomScalePageLayoutView="135" workbookViewId="0">
      <selection activeCell="B6" sqref="B6"/>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46" t="s">
        <v>0</v>
      </c>
      <c r="B1" s="146"/>
      <c r="C1" s="146"/>
      <c r="D1" s="146"/>
      <c r="E1" s="146"/>
      <c r="F1" s="146"/>
      <c r="G1" s="146"/>
      <c r="H1" s="40" t="s">
        <v>1</v>
      </c>
      <c r="Q1" s="148" t="s">
        <v>2</v>
      </c>
      <c r="R1" s="148"/>
      <c r="S1" s="148"/>
      <c r="T1" s="148"/>
      <c r="U1" s="148"/>
      <c r="V1" s="148"/>
      <c r="W1" s="148"/>
      <c r="X1" s="148"/>
      <c r="Y1" s="148"/>
      <c r="Z1" s="148"/>
      <c r="AA1" s="148"/>
      <c r="AB1" s="148"/>
      <c r="AC1" s="148"/>
      <c r="AD1" s="148"/>
      <c r="AE1" s="148"/>
      <c r="AF1" s="148"/>
      <c r="AG1" s="87"/>
    </row>
    <row r="2" spans="1:33" ht="12.95" customHeight="1" thickBot="1" x14ac:dyDescent="0.25">
      <c r="H2" s="43"/>
      <c r="I2" s="43"/>
      <c r="Q2" s="148"/>
      <c r="R2" s="148"/>
      <c r="S2" s="148"/>
      <c r="T2" s="148"/>
      <c r="U2" s="148"/>
      <c r="V2" s="148"/>
      <c r="W2" s="148"/>
      <c r="X2" s="148"/>
      <c r="Y2" s="148"/>
      <c r="Z2" s="148"/>
      <c r="AA2" s="148"/>
      <c r="AB2" s="148"/>
      <c r="AC2" s="148"/>
      <c r="AD2" s="148"/>
      <c r="AE2" s="148"/>
      <c r="AF2" s="148"/>
      <c r="AG2" s="87"/>
    </row>
    <row r="3" spans="1:33" s="47" customFormat="1" ht="12.95" customHeight="1" thickBot="1" x14ac:dyDescent="0.25">
      <c r="A3" s="46" t="s">
        <v>3</v>
      </c>
      <c r="B3" s="71">
        <v>45393</v>
      </c>
      <c r="H3" s="48"/>
      <c r="I3" s="48"/>
      <c r="Q3" s="148"/>
      <c r="R3" s="148"/>
      <c r="S3" s="148"/>
      <c r="T3" s="148"/>
      <c r="U3" s="148"/>
      <c r="V3" s="148"/>
      <c r="W3" s="148"/>
      <c r="X3" s="148"/>
      <c r="Y3" s="148"/>
      <c r="Z3" s="148"/>
      <c r="AA3" s="148"/>
      <c r="AB3" s="148"/>
      <c r="AC3" s="148"/>
      <c r="AD3" s="148"/>
      <c r="AE3" s="148"/>
      <c r="AF3" s="148"/>
      <c r="AG3" s="87"/>
    </row>
    <row r="4" spans="1:33" ht="12.95" customHeight="1" x14ac:dyDescent="0.3">
      <c r="A4" s="42" t="s">
        <v>4</v>
      </c>
      <c r="B4" s="45">
        <v>45544</v>
      </c>
      <c r="C4"/>
      <c r="H4" s="43"/>
      <c r="I4" s="43"/>
      <c r="Q4" s="148"/>
      <c r="R4" s="148"/>
      <c r="S4" s="148"/>
      <c r="T4" s="148"/>
      <c r="U4" s="148"/>
      <c r="V4" s="148"/>
      <c r="W4" s="148"/>
      <c r="X4" s="148"/>
      <c r="Y4" s="148"/>
      <c r="Z4" s="148"/>
      <c r="AA4" s="148"/>
      <c r="AB4" s="148"/>
      <c r="AC4" s="148"/>
      <c r="AD4" s="148"/>
      <c r="AE4" s="148"/>
      <c r="AF4" s="148"/>
      <c r="AG4" s="87"/>
    </row>
    <row r="5" spans="1:33" ht="6.95" customHeight="1" thickBot="1" x14ac:dyDescent="0.25">
      <c r="H5" s="43"/>
      <c r="I5" s="43"/>
      <c r="Q5" s="87"/>
      <c r="R5" s="87"/>
      <c r="S5" s="87"/>
      <c r="T5" s="87"/>
      <c r="U5" s="87"/>
      <c r="V5" s="87"/>
      <c r="W5" s="87"/>
      <c r="X5" s="87"/>
      <c r="Y5" s="87"/>
      <c r="Z5" s="87"/>
      <c r="AA5" s="87"/>
      <c r="AB5" s="87"/>
      <c r="AC5" s="87"/>
      <c r="AD5" s="87"/>
      <c r="AE5" s="87"/>
      <c r="AF5" s="87"/>
      <c r="AG5" s="87"/>
    </row>
    <row r="6" spans="1:33" ht="18" x14ac:dyDescent="0.25">
      <c r="A6" s="10" t="s">
        <v>5</v>
      </c>
      <c r="B6" s="30">
        <v>200</v>
      </c>
      <c r="C6">
        <f>IF(Brevet_Length&gt;=1200,Brevet_Length,IF(Brevet_Length&gt;=1000,1000,IF(Brevet_Length&gt;=600,600,IF(Brevet_Length&gt;=400,400,IF(Brevet_Length&gt;=300,300,IF(Brevet_Length&gt;=200,200,100))))))</f>
        <v>200</v>
      </c>
      <c r="J6" s="149" t="s">
        <v>6</v>
      </c>
      <c r="K6" s="149"/>
      <c r="Q6" s="85" t="s">
        <v>7</v>
      </c>
      <c r="R6" s="85"/>
      <c r="S6" s="85"/>
      <c r="T6" s="85"/>
      <c r="U6" s="85"/>
      <c r="V6" s="85"/>
      <c r="W6" s="85"/>
      <c r="X6" s="86"/>
      <c r="Y6" s="86"/>
      <c r="Z6" s="86"/>
    </row>
    <row r="7" spans="1:33" ht="14.25" x14ac:dyDescent="0.2">
      <c r="A7" s="11" t="s">
        <v>8</v>
      </c>
      <c r="B7" s="83">
        <f>IF(brevet=1200,90,IF(brevet=1000,75,IF(brevet=600,40,IF(brevet=400,27,IF(brevet=300,20,IF(brevet=200,13.5,IF(brevet&lt;200,L7,0)))))))</f>
        <v>13.5</v>
      </c>
      <c r="L7">
        <f>IF(Brevet_Length=150,10.5,IF(Brevet_Length=100,7,IF(Brevet_Length=50,3.5,IF(Brevet_Length=25, 2,0))))</f>
        <v>0</v>
      </c>
      <c r="Q7" s="86" t="s">
        <v>9</v>
      </c>
      <c r="R7" s="86"/>
      <c r="S7" s="86"/>
      <c r="T7" s="86"/>
      <c r="U7" s="86"/>
      <c r="V7" s="86"/>
      <c r="W7" s="86"/>
      <c r="X7" s="86"/>
      <c r="Y7" s="86"/>
      <c r="Z7" s="86"/>
    </row>
    <row r="8" spans="1:33" ht="18" x14ac:dyDescent="0.25">
      <c r="A8" s="82" t="s">
        <v>10</v>
      </c>
      <c r="B8" s="147" t="s">
        <v>11</v>
      </c>
      <c r="C8" s="147"/>
      <c r="D8" s="147"/>
      <c r="E8" s="147"/>
      <c r="F8" s="147"/>
      <c r="G8" s="84"/>
      <c r="H8" s="84"/>
      <c r="I8" s="16"/>
      <c r="J8" s="16"/>
      <c r="K8" s="16"/>
      <c r="Q8" s="85" t="s">
        <v>12</v>
      </c>
      <c r="R8" s="86"/>
      <c r="S8" s="86"/>
      <c r="T8" s="86"/>
      <c r="U8" s="86"/>
      <c r="V8" s="86"/>
      <c r="W8" s="86"/>
      <c r="X8" s="86"/>
      <c r="Y8" s="86"/>
      <c r="Z8" s="86"/>
    </row>
    <row r="9" spans="1:33" ht="18" x14ac:dyDescent="0.25">
      <c r="A9" s="11" t="s">
        <v>13</v>
      </c>
      <c r="B9" s="31">
        <v>5366</v>
      </c>
      <c r="C9" s="13"/>
      <c r="F9" s="14"/>
      <c r="G9" s="14"/>
      <c r="H9" s="14"/>
      <c r="I9" s="14"/>
      <c r="J9" s="14"/>
      <c r="K9" s="14"/>
      <c r="Q9" s="85" t="s">
        <v>14</v>
      </c>
      <c r="R9" s="86"/>
      <c r="S9" s="86"/>
      <c r="T9" s="86"/>
      <c r="U9" s="86"/>
      <c r="V9" s="86"/>
      <c r="W9" s="86"/>
      <c r="X9" s="86"/>
      <c r="Y9" s="86"/>
      <c r="Z9" s="86"/>
    </row>
    <row r="10" spans="1:33" ht="18" x14ac:dyDescent="0.25">
      <c r="A10" s="18" t="s">
        <v>15</v>
      </c>
      <c r="B10" s="32">
        <v>45550</v>
      </c>
      <c r="E10" s="79" t="s">
        <v>16</v>
      </c>
      <c r="F10" s="81"/>
      <c r="Q10" s="85" t="s">
        <v>17</v>
      </c>
      <c r="R10" s="86"/>
      <c r="S10" s="86"/>
      <c r="T10" s="86"/>
      <c r="U10" s="86"/>
      <c r="V10" s="86"/>
      <c r="W10" s="86"/>
      <c r="X10" s="86"/>
      <c r="Y10" s="86"/>
      <c r="Z10" s="86"/>
    </row>
    <row r="11" spans="1:33" ht="6" customHeight="1" x14ac:dyDescent="0.2">
      <c r="B11" s="44"/>
      <c r="Q11" s="86"/>
      <c r="R11" s="86"/>
      <c r="S11" s="86"/>
      <c r="T11" s="86"/>
      <c r="U11" s="86"/>
      <c r="V11" s="86"/>
      <c r="W11" s="86"/>
      <c r="X11" s="86"/>
      <c r="Y11" s="86"/>
      <c r="Z11" s="86"/>
    </row>
    <row r="12" spans="1:33" ht="18" customHeight="1" thickBot="1" x14ac:dyDescent="0.3">
      <c r="A12" s="41" t="s">
        <v>18</v>
      </c>
      <c r="B12" s="32">
        <v>45550</v>
      </c>
      <c r="Q12" s="85" t="s">
        <v>19</v>
      </c>
      <c r="R12" s="86"/>
      <c r="S12" s="86"/>
      <c r="T12" s="86"/>
      <c r="U12" s="86"/>
      <c r="V12" s="86"/>
      <c r="W12" s="86"/>
      <c r="X12" s="86"/>
      <c r="Y12" s="86"/>
      <c r="Z12" s="86"/>
    </row>
    <row r="13" spans="1:33" ht="18.75" thickBot="1" x14ac:dyDescent="0.3">
      <c r="A13" s="9" t="s">
        <v>20</v>
      </c>
      <c r="B13" s="33">
        <v>0.29166666666666669</v>
      </c>
      <c r="D13" s="142" t="s">
        <v>21</v>
      </c>
      <c r="E13" s="143"/>
      <c r="F13" s="143"/>
      <c r="G13" s="143"/>
      <c r="H13" s="143"/>
      <c r="I13" s="144" t="s">
        <v>22</v>
      </c>
      <c r="J13" s="143"/>
      <c r="K13" s="145"/>
      <c r="Q13" s="85" t="s">
        <v>23</v>
      </c>
      <c r="R13" s="86"/>
      <c r="S13" s="86"/>
      <c r="T13" s="86"/>
      <c r="U13" s="86"/>
      <c r="V13" s="86"/>
      <c r="W13" s="86"/>
      <c r="X13" s="86"/>
      <c r="Y13" s="86"/>
      <c r="Z13" s="86"/>
    </row>
    <row r="14" spans="1:33" ht="15" thickBot="1" x14ac:dyDescent="0.25">
      <c r="D14" s="5" t="s">
        <v>24</v>
      </c>
      <c r="E14" s="6" t="s">
        <v>25</v>
      </c>
      <c r="F14" s="24" t="s">
        <v>26</v>
      </c>
      <c r="G14" s="24" t="s">
        <v>27</v>
      </c>
      <c r="H14" s="25" t="s">
        <v>28</v>
      </c>
      <c r="I14" s="6" t="s">
        <v>29</v>
      </c>
      <c r="J14" s="6" t="s">
        <v>30</v>
      </c>
      <c r="K14" s="7" t="s">
        <v>31</v>
      </c>
      <c r="L14" t="s">
        <v>32</v>
      </c>
      <c r="M14" t="s">
        <v>33</v>
      </c>
      <c r="N14" t="s">
        <v>34</v>
      </c>
      <c r="O14" t="s">
        <v>35</v>
      </c>
      <c r="Q14" s="85" t="s">
        <v>36</v>
      </c>
      <c r="R14" s="86"/>
      <c r="S14" s="86"/>
      <c r="T14" s="86"/>
      <c r="U14" s="86"/>
      <c r="V14" s="86"/>
      <c r="W14" s="86"/>
      <c r="X14" s="86"/>
      <c r="Y14" s="86"/>
      <c r="Z14" s="86"/>
    </row>
    <row r="15" spans="1:33" ht="17.100000000000001" customHeight="1" x14ac:dyDescent="0.2">
      <c r="C15" s="2" t="s">
        <v>37</v>
      </c>
      <c r="D15" s="15">
        <v>0</v>
      </c>
      <c r="E15" s="34" t="s">
        <v>38</v>
      </c>
      <c r="F15" s="35"/>
      <c r="G15" s="35" t="s">
        <v>39</v>
      </c>
      <c r="H15" s="36"/>
      <c r="I15" s="35"/>
      <c r="J15" s="35"/>
      <c r="K15" s="36"/>
      <c r="L15" s="3">
        <f>Start_date+Start_time</f>
        <v>45550.291666666664</v>
      </c>
      <c r="M15" s="3">
        <f>L15+"1:00"</f>
        <v>45550.333333333328</v>
      </c>
      <c r="N15" s="4">
        <f>IF(ISBLANK(Distance),"",Open Control_1)</f>
        <v>45550.291666666664</v>
      </c>
      <c r="O15" s="4">
        <f>IF(ISBLANK(Distance),"",Close Control_1)</f>
        <v>45550.333333333328</v>
      </c>
      <c r="Q15" s="85" t="s">
        <v>40</v>
      </c>
      <c r="R15" s="86"/>
      <c r="S15" s="86"/>
      <c r="T15" s="86"/>
      <c r="U15" s="86"/>
      <c r="V15" s="86"/>
      <c r="W15" s="86"/>
      <c r="X15" s="86"/>
      <c r="Y15" s="86"/>
      <c r="Z15" s="86"/>
    </row>
    <row r="16" spans="1:33" ht="17.100000000000001" customHeight="1" x14ac:dyDescent="0.2">
      <c r="B16" s="38"/>
      <c r="C16" s="2" t="s">
        <v>41</v>
      </c>
      <c r="D16" s="15">
        <v>56.8</v>
      </c>
      <c r="E16" s="34" t="s">
        <v>42</v>
      </c>
      <c r="F16" s="35"/>
      <c r="G16" s="35" t="s">
        <v>43</v>
      </c>
      <c r="H16" s="36"/>
      <c r="I16" s="35"/>
      <c r="J16" s="35"/>
      <c r="K16" s="36"/>
      <c r="L16">
        <f>IF(ISBLANK(Distance),"",IF(Distance&gt;1000,(Distance-1000)/26+33.0847,(IF(Distance&gt;600,(Distance-600)/28+18.799,(IF(Distance&gt;400,(Distance-400)/30+12.1324,(IF(Distance&gt;200,(Distance-200)/32+5.8824,Distance/34))))))))</f>
        <v>1.6705882352941175</v>
      </c>
      <c r="M16">
        <f>IF(ISBLANK(Distance),"",IF(Distance&gt;=brevet,D16200IF(brevet&gt;1200,(brevet-1200)*75/1000+90,Max_time),IF(Distance&gt;1200,(Distance-1200)*75/1000+90,IF(Distance&gt;1000,(Distance-1000)/(1000/75)+75,IF(Distance&gt;600,(Distance-600)/(400/35)+40,IF(Distance&lt;=60,(Distance/20+1),Distance/15))))))</f>
        <v>3.84</v>
      </c>
      <c r="N16" s="4">
        <f>IF(ISBLANK(Distance),"",Open_time Control_1+(INT(Open)&amp;":"&amp;IF(ROUND(((Open-INT(Open))*60),0)&lt;10,0,"")&amp;ROUND(((Open-INT(Open))*60),0)))</f>
        <v>45550.361111111109</v>
      </c>
      <c r="O16" s="4">
        <f>IF(ISBLANK(Distance),"",Open_time Control_1+(INT(Close)&amp;":"&amp;IF(ROUND(((Close-INT(Close))*60),0)&lt;10,0,"")&amp;ROUND(((Close-INT(Close))*60),0)))</f>
        <v>45550.451388888883</v>
      </c>
      <c r="Q16" s="85" t="s">
        <v>44</v>
      </c>
      <c r="R16" s="86"/>
      <c r="S16" s="86"/>
      <c r="T16" s="86"/>
      <c r="U16" s="86"/>
      <c r="V16" s="86"/>
      <c r="W16" s="86"/>
      <c r="X16" s="86"/>
      <c r="Y16" s="86"/>
      <c r="Z16" s="86"/>
    </row>
    <row r="17" spans="2:26" ht="17.100000000000001" customHeight="1" x14ac:dyDescent="0.2">
      <c r="B17" s="38"/>
      <c r="C17" s="2" t="s">
        <v>45</v>
      </c>
      <c r="D17" s="15">
        <v>104.3</v>
      </c>
      <c r="E17" s="34" t="s">
        <v>46</v>
      </c>
      <c r="F17" s="35"/>
      <c r="G17" s="35" t="s">
        <v>47</v>
      </c>
      <c r="H17" s="36" t="s">
        <v>48</v>
      </c>
      <c r="I17" s="35"/>
      <c r="J17" s="35"/>
      <c r="K17" s="36"/>
      <c r="L17">
        <f>IF(ISBLANK(Distance),"",IF(Distance&gt;1000,(Distance-1000)/26+33.0847,(IF(Distance&gt;600,(Distance-600)/28+18.799,(IF(Distance&gt;400,(Distance-400)/30+12.1324,(IF(Distance&gt;200,(Distance-200)/32+5.8824,Distance/34))))))))</f>
        <v>3.0676470588235292</v>
      </c>
      <c r="M17">
        <f t="shared" ref="M17:M24" si="0">IF(ISBLANK(Distance),"",IF(Distance&gt;=brevet,IF(brevet&gt;1200,(brevet-1200)*75/1000+90,Max_time),IF(Distance&gt;1200,(Distance-1200)*75/1000+90,IF(Distance&gt;1000,(Distance-1000)/(1000/75)+75,IF(Distance&gt;600,(Distance-600)/(400/35)+40,IF(Distance&lt;=60,(Distance/20+1),Distance/15))))))</f>
        <v>6.9533333333333331</v>
      </c>
      <c r="N17" s="4">
        <f>IF(ISBLANK(Distance),"",Open_time Control_1+(INT(Open)&amp;":"&amp;IF(ROUND(((Open-INT(Open))*60),0)&lt;10,0,"")&amp;ROUND(((Open-INT(Open))*60),0)))</f>
        <v>45550.419444444444</v>
      </c>
      <c r="O17" s="4">
        <f>IF(ISBLANK(Distance),"",Open_time Control_1+(INT(Close)&amp;":"&amp;IF(ROUND(((Close-INT(Close))*60),0)&lt;10,0,"")&amp;ROUND(((Close-INT(Close))*60),0)))</f>
        <v>45550.581249999996</v>
      </c>
      <c r="Q17" s="85" t="s">
        <v>49</v>
      </c>
      <c r="R17" s="86"/>
      <c r="S17" s="86"/>
      <c r="T17" s="86"/>
      <c r="U17" s="86"/>
      <c r="V17" s="86"/>
      <c r="W17" s="86"/>
      <c r="X17" s="86"/>
      <c r="Y17" s="86"/>
      <c r="Z17" s="86"/>
    </row>
    <row r="18" spans="2:26" ht="17.100000000000001" customHeight="1" x14ac:dyDescent="0.2">
      <c r="B18" s="38"/>
      <c r="C18" s="2" t="s">
        <v>50</v>
      </c>
      <c r="D18" s="15">
        <v>120.3</v>
      </c>
      <c r="E18" s="34" t="s">
        <v>51</v>
      </c>
      <c r="F18" s="35"/>
      <c r="G18" s="35" t="s">
        <v>52</v>
      </c>
      <c r="H18" s="36"/>
      <c r="I18" s="35"/>
      <c r="J18" s="35"/>
      <c r="K18" s="36"/>
      <c r="L18">
        <f t="shared" ref="L18:L24" si="1">IF(ISBLANK(Distance),"",IF(Distance&gt;1000,(Distance-1000)/26+33.0847,(IF(Distance&gt;600,(Distance-600)/28+18.799,(IF(Distance&gt;400,(Distance-400)/30+12.1324,(IF(Distance&gt;200,(Distance-200)/32+5.8824,Distance/34))))))))</f>
        <v>3.5382352941176469</v>
      </c>
      <c r="M18">
        <f t="shared" si="0"/>
        <v>8.02</v>
      </c>
      <c r="N18" s="4">
        <f>IF(ISBLANK(Distance),"",Open_time Control_1+(INT(Open)&amp;":"&amp;IF(ROUND(((Open-INT(Open))*60),0)&lt;10,0,"")&amp;ROUND(((Open-INT(Open))*60),0)))</f>
        <v>45550.438888888886</v>
      </c>
      <c r="O18" s="4">
        <f>IF(ISBLANK(Distance),"",Open_time Control_1+(INT(Close)&amp;":"&amp;IF(ROUND(((Close-INT(Close))*60),0)&lt;10,0,"")&amp;ROUND(((Close-INT(Close))*60),0)))</f>
        <v>45550.625694444439</v>
      </c>
    </row>
    <row r="19" spans="2:26" ht="17.100000000000001" customHeight="1" x14ac:dyDescent="0.2">
      <c r="B19" s="38"/>
      <c r="C19" s="2" t="s">
        <v>53</v>
      </c>
      <c r="D19" s="15">
        <v>200.7</v>
      </c>
      <c r="E19" s="34" t="s">
        <v>38</v>
      </c>
      <c r="F19" s="35"/>
      <c r="G19" s="35" t="s">
        <v>54</v>
      </c>
      <c r="H19" s="36"/>
      <c r="I19" s="35"/>
      <c r="J19" s="35"/>
      <c r="K19" s="36"/>
      <c r="L19">
        <f t="shared" si="1"/>
        <v>5.9042749999999993</v>
      </c>
      <c r="M19">
        <f t="shared" si="0"/>
        <v>13.5</v>
      </c>
      <c r="N19" s="4">
        <f>IF(ISBLANK(Distance),"",Open_time Control_1+(INT(Open)&amp;":"&amp;IF(ROUND(((Open-INT(Open))*60),0)&lt;10,0,"")&amp;ROUND(((Open-INT(Open))*60),0)))</f>
        <v>45550.537499999999</v>
      </c>
      <c r="O19" s="4">
        <f>IF(ISBLANK(Distance),"",Open_time Control_1+(INT(Close)&amp;":"&amp;IF(ROUND(((Close-INT(Close))*60),0)&lt;10,0,"")&amp;ROUND(((Close-INT(Close))*60),0)))</f>
        <v>45550.854166666664</v>
      </c>
      <c r="Q19" s="40"/>
    </row>
    <row r="20" spans="2:26" ht="17.100000000000001" customHeight="1" x14ac:dyDescent="0.2">
      <c r="B20" s="38"/>
      <c r="C20" s="2" t="s">
        <v>55</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
      <c r="B21" s="38"/>
      <c r="C21" s="2" t="s">
        <v>56</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
      <c r="B22" s="38"/>
      <c r="C22" s="2" t="s">
        <v>57</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38"/>
      <c r="C23" s="2" t="s">
        <v>58</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38"/>
      <c r="C24" s="2" t="s">
        <v>59</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6"/>
      <c r="E25" s="27"/>
      <c r="F25" s="28"/>
      <c r="G25" s="28"/>
      <c r="H25" s="28"/>
      <c r="I25" s="28"/>
      <c r="J25" s="28"/>
      <c r="K25" s="29"/>
      <c r="N25" s="4"/>
      <c r="O25" s="4"/>
    </row>
    <row r="26" spans="2:26" ht="13.5" thickBot="1" x14ac:dyDescent="0.25">
      <c r="D26" s="142" t="s">
        <v>60</v>
      </c>
      <c r="E26" s="143"/>
      <c r="F26" s="143"/>
      <c r="G26" s="143"/>
      <c r="H26" s="143"/>
      <c r="I26" s="144" t="s">
        <v>61</v>
      </c>
      <c r="J26" s="143"/>
      <c r="K26" s="145"/>
    </row>
    <row r="27" spans="2:26" ht="13.5" thickBot="1" x14ac:dyDescent="0.25">
      <c r="D27" s="5" t="s">
        <v>24</v>
      </c>
      <c r="E27" s="6" t="s">
        <v>25</v>
      </c>
      <c r="F27" s="24" t="s">
        <v>26</v>
      </c>
      <c r="G27" s="24" t="s">
        <v>27</v>
      </c>
      <c r="H27" s="25" t="s">
        <v>28</v>
      </c>
      <c r="I27" s="6" t="s">
        <v>29</v>
      </c>
      <c r="J27" s="6" t="s">
        <v>30</v>
      </c>
      <c r="K27" s="7" t="s">
        <v>31</v>
      </c>
      <c r="L27" t="s">
        <v>32</v>
      </c>
      <c r="M27" t="s">
        <v>33</v>
      </c>
      <c r="N27" t="s">
        <v>34</v>
      </c>
      <c r="O27" t="s">
        <v>35</v>
      </c>
    </row>
    <row r="28" spans="2:26" ht="17.100000000000001" customHeight="1" x14ac:dyDescent="0.2">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zoomScale="77" zoomScaleNormal="77" zoomScalePageLayoutView="75" workbookViewId="0">
      <selection activeCell="T12" sqref="T12"/>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5.71093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4"/>
      <c r="L1" s="74"/>
      <c r="M1" s="74"/>
    </row>
    <row r="2" spans="2:15" ht="18" x14ac:dyDescent="0.25">
      <c r="C2" s="106" t="s">
        <v>62</v>
      </c>
      <c r="D2" s="106"/>
      <c r="E2" s="106"/>
      <c r="F2" s="106"/>
      <c r="G2" s="54"/>
      <c r="H2" s="54"/>
      <c r="I2" s="77" t="s">
        <v>63</v>
      </c>
      <c r="J2" s="78">
        <v>46185</v>
      </c>
      <c r="K2" s="54"/>
      <c r="L2" s="54"/>
    </row>
    <row r="3" spans="2:15" ht="45" customHeight="1" x14ac:dyDescent="0.55000000000000004">
      <c r="D3" s="12"/>
      <c r="E3" s="116" t="s">
        <v>64</v>
      </c>
      <c r="F3" s="116"/>
      <c r="G3" s="116"/>
      <c r="H3" s="116"/>
      <c r="I3" s="65" t="s">
        <v>86</v>
      </c>
      <c r="J3" s="70" t="s">
        <v>87</v>
      </c>
      <c r="K3" s="39"/>
      <c r="L3" s="39"/>
    </row>
    <row r="4" spans="2:15" ht="20.100000000000001" customHeight="1" x14ac:dyDescent="0.2">
      <c r="C4" s="12"/>
      <c r="E4" s="117" t="str">
        <f>IF(ISBLANK(Brevet_Length),"",Brevet_Length&amp;" km Randonnée")</f>
        <v>200 km Randonnée</v>
      </c>
      <c r="F4" s="117"/>
      <c r="G4" s="117"/>
      <c r="H4" s="117"/>
      <c r="K4" s="50"/>
      <c r="L4" s="50"/>
    </row>
    <row r="5" spans="2:15" ht="20.100000000000001" customHeight="1" x14ac:dyDescent="0.3">
      <c r="D5" s="51"/>
      <c r="E5" s="115" t="s">
        <v>85</v>
      </c>
      <c r="F5" s="115"/>
      <c r="G5" s="115"/>
      <c r="H5" s="115"/>
      <c r="I5" s="73"/>
      <c r="J5" s="51"/>
      <c r="K5" s="51"/>
      <c r="L5" s="51"/>
    </row>
    <row r="6" spans="2:15" ht="20.25" x14ac:dyDescent="0.3">
      <c r="D6" s="66"/>
      <c r="E6" s="115"/>
      <c r="F6" s="115"/>
      <c r="G6" s="115"/>
      <c r="H6" s="115"/>
      <c r="I6" s="73"/>
      <c r="J6" s="66"/>
      <c r="K6" s="51"/>
      <c r="L6" s="51"/>
    </row>
    <row r="7" spans="2:15" ht="24.95" customHeight="1" x14ac:dyDescent="0.2">
      <c r="C7" s="111"/>
      <c r="D7" s="111"/>
      <c r="E7" s="111"/>
      <c r="F7" s="111"/>
      <c r="H7" s="113"/>
    </row>
    <row r="8" spans="2:15" ht="21" thickBot="1" x14ac:dyDescent="0.35">
      <c r="B8" s="17" t="s">
        <v>66</v>
      </c>
      <c r="C8" s="112"/>
      <c r="D8" s="112"/>
      <c r="E8" s="112"/>
      <c r="F8" s="112"/>
      <c r="G8" s="17" t="s">
        <v>67</v>
      </c>
      <c r="H8" s="114"/>
      <c r="I8" s="52"/>
      <c r="J8" s="52"/>
      <c r="K8" s="52"/>
    </row>
    <row r="9" spans="2:15" ht="21.95" customHeight="1" x14ac:dyDescent="0.2">
      <c r="B9" s="57"/>
      <c r="C9" s="57"/>
      <c r="D9" s="57"/>
      <c r="E9" s="57"/>
      <c r="F9" s="53"/>
      <c r="G9" s="59"/>
      <c r="H9" s="59"/>
      <c r="I9" s="59"/>
      <c r="J9" s="53"/>
    </row>
    <row r="10" spans="2:15" ht="20.100000000000001" customHeight="1" x14ac:dyDescent="0.2">
      <c r="B10" s="108" t="s">
        <v>68</v>
      </c>
      <c r="C10" s="108"/>
      <c r="D10" s="63" t="s">
        <v>69</v>
      </c>
      <c r="E10" s="109" t="s">
        <v>100</v>
      </c>
      <c r="F10" s="110"/>
      <c r="G10" s="110"/>
      <c r="H10" s="69"/>
      <c r="I10" s="58"/>
      <c r="J10" s="58"/>
      <c r="K10" s="19"/>
      <c r="L10" s="118"/>
      <c r="M10" s="118"/>
      <c r="N10" s="118"/>
      <c r="O10" s="118"/>
    </row>
    <row r="11" spans="2:15" ht="23.25" x14ac:dyDescent="0.2">
      <c r="B11" s="57"/>
      <c r="C11" s="57" t="s">
        <v>71</v>
      </c>
      <c r="D11" s="57"/>
      <c r="E11" s="57"/>
      <c r="F11" s="53"/>
      <c r="G11" s="59"/>
      <c r="H11" s="59"/>
      <c r="I11" s="59"/>
      <c r="J11" s="53"/>
    </row>
    <row r="12" spans="2:15" ht="21" thickBot="1" x14ac:dyDescent="0.35">
      <c r="D12" s="132" t="s">
        <v>18</v>
      </c>
      <c r="E12" s="132"/>
      <c r="F12" s="101">
        <v>46185</v>
      </c>
      <c r="G12" s="72"/>
      <c r="H12" s="17" t="s">
        <v>72</v>
      </c>
      <c r="I12" s="67"/>
      <c r="J12" s="23"/>
    </row>
    <row r="13" spans="2:15" ht="20.25" x14ac:dyDescent="0.3">
      <c r="D13" s="22"/>
      <c r="E13" s="22"/>
      <c r="F13" s="21"/>
      <c r="G13" s="21"/>
      <c r="H13" s="21"/>
      <c r="L13" s="23"/>
      <c r="M13" s="23"/>
      <c r="N13" s="23"/>
    </row>
    <row r="14" spans="2:15" ht="21" thickBot="1" x14ac:dyDescent="0.35">
      <c r="D14" s="132" t="s">
        <v>73</v>
      </c>
      <c r="E14" s="132"/>
      <c r="F14" s="68"/>
      <c r="G14" s="72"/>
      <c r="H14" s="17" t="s">
        <v>74</v>
      </c>
      <c r="I14" s="67"/>
      <c r="J14" s="23"/>
      <c r="L14" s="44"/>
      <c r="M14" s="44"/>
      <c r="N14" s="44"/>
    </row>
    <row r="15" spans="2:15" ht="21" thickBot="1" x14ac:dyDescent="0.35">
      <c r="B15" s="22"/>
      <c r="C15" s="22"/>
      <c r="D15" s="21"/>
      <c r="E15" s="21"/>
      <c r="F15" s="101">
        <v>46185</v>
      </c>
      <c r="H15" s="21"/>
    </row>
    <row r="16" spans="2:15" ht="21" thickBot="1" x14ac:dyDescent="0.35">
      <c r="C16" s="64"/>
      <c r="D16" s="64"/>
      <c r="E16" s="64"/>
      <c r="F16" s="64"/>
      <c r="H16" s="17" t="s">
        <v>75</v>
      </c>
      <c r="I16" s="67"/>
      <c r="J16" s="23"/>
      <c r="L16" s="44"/>
      <c r="M16" s="44"/>
      <c r="N16" s="44"/>
    </row>
    <row r="17" spans="2:15" ht="20.25" x14ac:dyDescent="0.2">
      <c r="C17" s="133" t="s">
        <v>76</v>
      </c>
      <c r="D17" s="133"/>
      <c r="E17" s="133"/>
      <c r="F17" s="133"/>
      <c r="G17" s="19"/>
      <c r="H17" s="19"/>
      <c r="I17" s="128"/>
      <c r="J17" s="128"/>
      <c r="K17" s="19"/>
      <c r="L17" s="118"/>
      <c r="M17" s="118"/>
      <c r="N17" s="118"/>
      <c r="O17" s="118"/>
    </row>
    <row r="18" spans="2:15" ht="6" customHeight="1" thickBot="1" x14ac:dyDescent="0.25">
      <c r="B18" s="60"/>
      <c r="C18" s="60"/>
      <c r="D18" s="60"/>
      <c r="E18" s="60"/>
      <c r="F18" s="61"/>
      <c r="G18" s="62"/>
      <c r="H18" s="62"/>
      <c r="I18" s="62"/>
      <c r="J18" s="61"/>
    </row>
    <row r="19" spans="2:15" ht="21.75" thickTop="1" thickBot="1" x14ac:dyDescent="0.25">
      <c r="B19" s="107" t="s">
        <v>77</v>
      </c>
      <c r="C19" s="107"/>
      <c r="D19" s="107"/>
      <c r="E19" s="107"/>
      <c r="F19" s="107"/>
      <c r="G19" s="107"/>
      <c r="H19" s="107"/>
      <c r="I19" s="107"/>
      <c r="J19" s="107"/>
    </row>
    <row r="20" spans="2:15" ht="36.75" thickBot="1" x14ac:dyDescent="0.3">
      <c r="B20" s="49" t="s">
        <v>78</v>
      </c>
      <c r="C20" s="8" t="s">
        <v>32</v>
      </c>
      <c r="D20" s="8" t="s">
        <v>33</v>
      </c>
      <c r="E20" s="8" t="s">
        <v>25</v>
      </c>
      <c r="F20" s="8" t="s">
        <v>79</v>
      </c>
      <c r="G20" s="129" t="s">
        <v>80</v>
      </c>
      <c r="H20" s="130"/>
      <c r="I20" s="131"/>
      <c r="J20" s="49" t="s">
        <v>81</v>
      </c>
    </row>
    <row r="21" spans="2:15" ht="39.950000000000003" customHeight="1" x14ac:dyDescent="0.5">
      <c r="B21" s="103"/>
      <c r="C21" s="100" t="s">
        <v>88</v>
      </c>
      <c r="D21" s="100" t="s">
        <v>88</v>
      </c>
      <c r="E21" s="89"/>
      <c r="F21" s="90" t="str">
        <f>IF(ISBLANK(Control_1 Establishment_1),"",Control_1 Establishment_1)</f>
        <v/>
      </c>
      <c r="G21" s="122" t="str">
        <f>IF(ISBLANK('Control Entry'!I15),"",'Control Entry'!I15)</f>
        <v/>
      </c>
      <c r="H21" s="123"/>
      <c r="I21" s="124"/>
      <c r="J21" s="91"/>
    </row>
    <row r="22" spans="2:15" ht="39.950000000000003" customHeight="1" x14ac:dyDescent="0.35">
      <c r="B22" s="104">
        <f>IF(ISBLANK(Distance Control_1),"",Control_1 Distance)</f>
        <v>0</v>
      </c>
      <c r="C22" s="93">
        <v>0.29166666666666669</v>
      </c>
      <c r="D22" s="93">
        <v>0.33333333333333331</v>
      </c>
      <c r="E22" s="90" t="str">
        <f>IF(ISBLANK(Locale Control_1),"",Locale Control_1)</f>
        <v>Fort Langley</v>
      </c>
      <c r="F22" s="90" t="s">
        <v>89</v>
      </c>
      <c r="G22" s="125" t="str">
        <f>IF(ISBLANK('Control Entry'!J15),"",'Control Entry'!J15)</f>
        <v/>
      </c>
      <c r="H22" s="126"/>
      <c r="I22" s="127"/>
      <c r="J22" s="102"/>
    </row>
    <row r="23" spans="2:15" ht="39.950000000000003" customHeight="1" thickBot="1" x14ac:dyDescent="0.55000000000000004">
      <c r="B23" s="105"/>
      <c r="C23" s="101">
        <v>46185</v>
      </c>
      <c r="D23" s="101">
        <v>46185</v>
      </c>
      <c r="E23" s="96"/>
      <c r="F23" s="97" t="str">
        <f>IF(ISBLANK(Control_1 Establishment_3),"",Control_1 Establishment_3)</f>
        <v/>
      </c>
      <c r="G23" s="119" t="str">
        <f>IF(ISBLANK('Control Entry'!K15),"",'Control Entry'!K15)</f>
        <v/>
      </c>
      <c r="H23" s="120"/>
      <c r="I23" s="121"/>
      <c r="J23" s="98"/>
    </row>
    <row r="24" spans="2:15" ht="39.950000000000003" customHeight="1" x14ac:dyDescent="0.5">
      <c r="B24" s="103"/>
      <c r="C24" s="100" t="s">
        <v>88</v>
      </c>
      <c r="D24" s="100" t="s">
        <v>88</v>
      </c>
      <c r="E24" s="134" t="s">
        <v>90</v>
      </c>
      <c r="F24" s="134" t="s">
        <v>95</v>
      </c>
      <c r="G24" s="122" t="str">
        <f>IF(ISBLANK('Control Entry'!I16),"",'Control Entry'!I16)</f>
        <v/>
      </c>
      <c r="H24" s="123"/>
      <c r="I24" s="124"/>
      <c r="J24" s="91"/>
    </row>
    <row r="25" spans="2:15" ht="39.950000000000003" customHeight="1" x14ac:dyDescent="0.35">
      <c r="B25" s="104">
        <v>39</v>
      </c>
      <c r="C25" s="93">
        <v>0.34583333333333333</v>
      </c>
      <c r="D25" s="93">
        <v>0.41458333333333336</v>
      </c>
      <c r="E25" s="135"/>
      <c r="F25" s="135"/>
      <c r="G25" s="125" t="str">
        <f>IF(ISBLANK('Control Entry'!J16),"",'Control Entry'!J16)</f>
        <v/>
      </c>
      <c r="H25" s="126"/>
      <c r="I25" s="127"/>
      <c r="J25" s="102"/>
    </row>
    <row r="26" spans="2:15" ht="39.950000000000003" customHeight="1" thickBot="1" x14ac:dyDescent="0.55000000000000004">
      <c r="B26" s="105"/>
      <c r="C26" s="101">
        <v>46185</v>
      </c>
      <c r="D26" s="101">
        <v>46185</v>
      </c>
      <c r="E26" s="136"/>
      <c r="F26" s="136"/>
      <c r="G26" s="119" t="str">
        <f>IF(ISBLANK('Control Entry'!K16),"",'Control Entry'!K16)</f>
        <v/>
      </c>
      <c r="H26" s="120"/>
      <c r="I26" s="121"/>
      <c r="J26" s="98"/>
    </row>
    <row r="27" spans="2:15" ht="39.950000000000003" customHeight="1" x14ac:dyDescent="0.5">
      <c r="B27" s="103"/>
      <c r="C27" s="100" t="s">
        <v>88</v>
      </c>
      <c r="D27" s="100" t="s">
        <v>88</v>
      </c>
      <c r="E27" s="99"/>
      <c r="F27" s="90" t="str">
        <f>IF(ISBLANK(Control_3 Establishment_1),"",Control_3 Establishment_1)</f>
        <v/>
      </c>
      <c r="G27" s="122" t="str">
        <f>IF(ISBLANK('Control Entry'!I17),"",'Control Entry'!I17)</f>
        <v/>
      </c>
      <c r="H27" s="123"/>
      <c r="I27" s="124"/>
      <c r="J27" s="91"/>
    </row>
    <row r="28" spans="2:15" ht="39.950000000000003" customHeight="1" x14ac:dyDescent="0.35">
      <c r="B28" s="104">
        <v>69.599999999999994</v>
      </c>
      <c r="C28" s="93">
        <v>0.3888888888888889</v>
      </c>
      <c r="D28" s="93">
        <v>0.4861111111111111</v>
      </c>
      <c r="E28" s="90" t="s">
        <v>91</v>
      </c>
      <c r="F28" s="90" t="s">
        <v>96</v>
      </c>
      <c r="G28" s="125" t="str">
        <f>IF(ISBLANK('Control Entry'!J17),"",'Control Entry'!J17)</f>
        <v/>
      </c>
      <c r="H28" s="126"/>
      <c r="I28" s="127"/>
      <c r="J28" s="102"/>
    </row>
    <row r="29" spans="2:15" ht="39.950000000000003" customHeight="1" thickBot="1" x14ac:dyDescent="0.55000000000000004">
      <c r="B29" s="105"/>
      <c r="C29" s="101">
        <v>46185</v>
      </c>
      <c r="D29" s="101">
        <v>46185</v>
      </c>
      <c r="E29" s="96"/>
      <c r="F29" s="97"/>
      <c r="G29" s="119" t="str">
        <f>IF(ISBLANK('Control Entry'!K17),"",'Control Entry'!K17)</f>
        <v/>
      </c>
      <c r="H29" s="120"/>
      <c r="I29" s="121"/>
      <c r="J29" s="98"/>
    </row>
    <row r="30" spans="2:15" ht="39.950000000000003" customHeight="1" x14ac:dyDescent="0.5">
      <c r="B30" s="103"/>
      <c r="C30" s="100" t="s">
        <v>88</v>
      </c>
      <c r="D30" s="100" t="s">
        <v>88</v>
      </c>
      <c r="E30" s="134" t="s">
        <v>92</v>
      </c>
      <c r="F30" s="134" t="s">
        <v>93</v>
      </c>
      <c r="G30" s="122" t="str">
        <f>IF(ISBLANK('Control Entry'!I18),"",'Control Entry'!I18)</f>
        <v/>
      </c>
      <c r="H30" s="123"/>
      <c r="I30" s="124"/>
      <c r="J30" s="91"/>
    </row>
    <row r="31" spans="2:15" ht="39.950000000000003" customHeight="1" x14ac:dyDescent="0.35">
      <c r="B31" s="104">
        <v>100.6</v>
      </c>
      <c r="C31" s="93">
        <v>0.43194444444444446</v>
      </c>
      <c r="D31" s="93">
        <v>0.57222222222222219</v>
      </c>
      <c r="E31" s="137"/>
      <c r="F31" s="135"/>
      <c r="G31" s="125" t="str">
        <f>IF(ISBLANK('Control Entry'!J18),"",'Control Entry'!J18)</f>
        <v/>
      </c>
      <c r="H31" s="126"/>
      <c r="I31" s="127"/>
      <c r="J31" s="102"/>
    </row>
    <row r="32" spans="2:15" ht="39.950000000000003" customHeight="1" thickBot="1" x14ac:dyDescent="0.55000000000000004">
      <c r="B32" s="105"/>
      <c r="C32" s="101">
        <v>46185</v>
      </c>
      <c r="D32" s="101">
        <v>46185</v>
      </c>
      <c r="E32" s="138"/>
      <c r="F32" s="136"/>
      <c r="G32" s="119" t="str">
        <f>IF(ISBLANK('Control Entry'!K18),"",'Control Entry'!K18)</f>
        <v/>
      </c>
      <c r="H32" s="120"/>
      <c r="I32" s="121"/>
      <c r="J32" s="98"/>
    </row>
    <row r="33" spans="2:10" ht="39.950000000000003" customHeight="1" x14ac:dyDescent="0.5">
      <c r="B33" s="103"/>
      <c r="C33" s="100" t="s">
        <v>88</v>
      </c>
      <c r="D33" s="100" t="s">
        <v>88</v>
      </c>
      <c r="E33" s="134" t="s">
        <v>97</v>
      </c>
      <c r="F33" s="134" t="s">
        <v>98</v>
      </c>
      <c r="G33" s="122" t="str">
        <f>IF(ISBLANK('Control Entry'!I19),"",'Control Entry'!I19)</f>
        <v/>
      </c>
      <c r="H33" s="123"/>
      <c r="I33" s="124"/>
      <c r="J33" s="91"/>
    </row>
    <row r="34" spans="2:10" ht="39.950000000000003" customHeight="1" x14ac:dyDescent="0.35">
      <c r="B34" s="104">
        <v>107.8</v>
      </c>
      <c r="C34" s="93">
        <v>0.44166666666666665</v>
      </c>
      <c r="D34" s="93">
        <v>0.59166666666666667</v>
      </c>
      <c r="E34" s="137"/>
      <c r="F34" s="135"/>
      <c r="G34" s="125" t="str">
        <f>IF(ISBLANK('Control Entry'!J19),"",'Control Entry'!J19)</f>
        <v/>
      </c>
      <c r="H34" s="126"/>
      <c r="I34" s="127"/>
      <c r="J34" s="102"/>
    </row>
    <row r="35" spans="2:10" ht="39.950000000000003" customHeight="1" thickBot="1" x14ac:dyDescent="0.55000000000000004">
      <c r="B35" s="105"/>
      <c r="C35" s="101">
        <v>46185</v>
      </c>
      <c r="D35" s="101">
        <v>46185</v>
      </c>
      <c r="E35" s="138"/>
      <c r="F35" s="136"/>
      <c r="G35" s="119" t="str">
        <f>IF(ISBLANK('Control Entry'!K19),"",'Control Entry'!K19)</f>
        <v/>
      </c>
      <c r="H35" s="120"/>
      <c r="I35" s="121"/>
      <c r="J35" s="98"/>
    </row>
    <row r="36" spans="2:10" ht="39.950000000000003" customHeight="1" x14ac:dyDescent="0.5">
      <c r="B36" s="103"/>
      <c r="C36" s="100" t="s">
        <v>88</v>
      </c>
      <c r="D36" s="100" t="s">
        <v>88</v>
      </c>
      <c r="E36" s="134" t="s">
        <v>94</v>
      </c>
      <c r="F36" s="90" t="str">
        <f>IF(ISBLANK(Control_6 Establishment_1),"",Control_6 Establishment_1)</f>
        <v/>
      </c>
      <c r="G36" s="122" t="str">
        <f>IF(ISBLANK('Control Entry'!I20),"",'Control Entry'!I20)</f>
        <v/>
      </c>
      <c r="H36" s="123"/>
      <c r="I36" s="124"/>
      <c r="J36" s="91"/>
    </row>
    <row r="37" spans="2:10" ht="39.950000000000003" customHeight="1" x14ac:dyDescent="0.35">
      <c r="B37" s="104">
        <v>129.30000000000001</v>
      </c>
      <c r="C37" s="93">
        <v>0.47083333333333333</v>
      </c>
      <c r="D37" s="93">
        <v>0.65</v>
      </c>
      <c r="E37" s="137"/>
      <c r="F37" s="90" t="s">
        <v>99</v>
      </c>
      <c r="G37" s="125" t="str">
        <f>IF(ISBLANK('Control Entry'!J20),"",'Control Entry'!J20)</f>
        <v/>
      </c>
      <c r="H37" s="126"/>
      <c r="I37" s="127"/>
      <c r="J37" s="94"/>
    </row>
    <row r="38" spans="2:10" ht="39.950000000000003" customHeight="1" thickBot="1" x14ac:dyDescent="0.55000000000000004">
      <c r="B38" s="105"/>
      <c r="C38" s="101">
        <v>46185</v>
      </c>
      <c r="D38" s="101">
        <v>46185</v>
      </c>
      <c r="E38" s="138"/>
      <c r="F38" s="97" t="str">
        <f>IF(ISBLANK(Control_6 Establishment_3),"",Control_6 Establishment_3)</f>
        <v/>
      </c>
      <c r="G38" s="119" t="str">
        <f>IF(ISBLANK('Control Entry'!K20),"",'Control Entry'!K20)</f>
        <v/>
      </c>
      <c r="H38" s="120"/>
      <c r="I38" s="121"/>
      <c r="J38" s="98"/>
    </row>
    <row r="39" spans="2:10" ht="39.950000000000003" customHeight="1" x14ac:dyDescent="0.5">
      <c r="B39" s="103"/>
      <c r="C39" s="100" t="s">
        <v>88</v>
      </c>
      <c r="D39" s="100" t="s">
        <v>88</v>
      </c>
      <c r="E39" s="99"/>
      <c r="F39" s="90" t="str">
        <f>IF(ISBLANK(Control_7 Establishment_1),"",Control_7 Establishment_1)</f>
        <v/>
      </c>
      <c r="G39" s="122" t="str">
        <f>IF(ISBLANK('Control Entry'!I21),"",'Control Entry'!I21)</f>
        <v/>
      </c>
      <c r="H39" s="123"/>
      <c r="I39" s="124"/>
      <c r="J39" s="91"/>
    </row>
    <row r="40" spans="2:10" ht="39.950000000000003" customHeight="1" x14ac:dyDescent="0.35">
      <c r="B40" s="104">
        <v>201.6</v>
      </c>
      <c r="C40" s="93">
        <v>0.5708333333333333</v>
      </c>
      <c r="D40" s="93">
        <v>0.85</v>
      </c>
      <c r="E40" s="90" t="s">
        <v>38</v>
      </c>
      <c r="F40" s="90" t="s">
        <v>89</v>
      </c>
      <c r="G40" s="125" t="str">
        <f>IF(ISBLANK('Control Entry'!J21),"",'Control Entry'!J21)</f>
        <v/>
      </c>
      <c r="H40" s="126"/>
      <c r="I40" s="127"/>
      <c r="J40" s="94"/>
    </row>
    <row r="41" spans="2:10" ht="39.950000000000003" customHeight="1" thickBot="1" x14ac:dyDescent="0.55000000000000004">
      <c r="B41" s="105"/>
      <c r="C41" s="101">
        <v>46185</v>
      </c>
      <c r="D41" s="101">
        <v>46185</v>
      </c>
      <c r="E41" s="96"/>
      <c r="F41" s="97" t="str">
        <f>IF(ISBLANK(Control_7 Establishment_3),"",Control_7 Establishment_3)</f>
        <v/>
      </c>
      <c r="G41" s="119" t="str">
        <f>IF(ISBLANK('Control Entry'!K21),"",'Control Entry'!K21)</f>
        <v/>
      </c>
      <c r="H41" s="120"/>
      <c r="I41" s="121"/>
      <c r="J41" s="98"/>
    </row>
    <row r="42" spans="2:10" ht="39.950000000000003" customHeight="1" x14ac:dyDescent="0.5">
      <c r="B42" s="103"/>
      <c r="C42" s="100" t="str">
        <f>Control_8 Open_time</f>
        <v/>
      </c>
      <c r="D42" s="100" t="str">
        <f>Control_8 Close_time</f>
        <v/>
      </c>
      <c r="E42" s="99"/>
      <c r="F42" s="90" t="str">
        <f>IF(ISBLANK(Control_8 Establishment_1),"",Control_8 Establishment_1)</f>
        <v/>
      </c>
      <c r="G42" s="122" t="str">
        <f>IF(ISBLANK('Control Entry'!I22),"",'Control Entry'!I22)</f>
        <v/>
      </c>
      <c r="H42" s="123"/>
      <c r="I42" s="124"/>
      <c r="J42" s="91"/>
    </row>
    <row r="43" spans="2:10" ht="39.950000000000003" customHeight="1" x14ac:dyDescent="0.35">
      <c r="B43" s="104"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25" t="str">
        <f>IF(ISBLANK('Control Entry'!J22),"",'Control Entry'!J22)</f>
        <v/>
      </c>
      <c r="H43" s="126"/>
      <c r="I43" s="127"/>
      <c r="J43" s="94"/>
    </row>
    <row r="44" spans="2:10" ht="39.950000000000003" customHeight="1" thickBot="1" x14ac:dyDescent="0.55000000000000004">
      <c r="B44" s="105"/>
      <c r="C44" s="101" t="str">
        <f>Control_8 Open_time</f>
        <v/>
      </c>
      <c r="D44" s="101" t="str">
        <f>Control_8 Close_time</f>
        <v/>
      </c>
      <c r="E44" s="96"/>
      <c r="F44" s="97" t="str">
        <f>IF(ISBLANK(Control_8 Establishment_3),"",Control_8 Establishment_3)</f>
        <v/>
      </c>
      <c r="G44" s="119" t="str">
        <f>IF(ISBLANK('Control Entry'!K22),"",'Control Entry'!K22)</f>
        <v/>
      </c>
      <c r="H44" s="120"/>
      <c r="I44" s="121"/>
      <c r="J44" s="98"/>
    </row>
    <row r="45" spans="2:10" ht="39.950000000000003" customHeight="1" x14ac:dyDescent="0.5">
      <c r="B45" s="103"/>
      <c r="C45" s="100" t="str">
        <f>Control_9 Open_time</f>
        <v/>
      </c>
      <c r="D45" s="100" t="str">
        <f>Control_9 Close_time</f>
        <v/>
      </c>
      <c r="E45" s="99"/>
      <c r="F45" s="90" t="str">
        <f>IF(ISBLANK(Control_9 Establishment_1),"",Control_9 Establishment_1)</f>
        <v/>
      </c>
      <c r="G45" s="122" t="str">
        <f>IF(ISBLANK('Control Entry'!I23),"",'Control Entry'!I23)</f>
        <v/>
      </c>
      <c r="H45" s="123"/>
      <c r="I45" s="124"/>
      <c r="J45" s="91"/>
    </row>
    <row r="46" spans="2:10" ht="39.950000000000003" customHeight="1" x14ac:dyDescent="0.35">
      <c r="B46" s="104"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25" t="str">
        <f>IF(ISBLANK('Control Entry'!J23),"",'Control Entry'!J23)</f>
        <v/>
      </c>
      <c r="H46" s="126"/>
      <c r="I46" s="127"/>
      <c r="J46" s="94"/>
    </row>
    <row r="47" spans="2:10" ht="39.950000000000003" customHeight="1" thickBot="1" x14ac:dyDescent="0.55000000000000004">
      <c r="B47" s="105"/>
      <c r="C47" s="101" t="str">
        <f>Control_9 Open_time</f>
        <v/>
      </c>
      <c r="D47" s="101" t="str">
        <f>Control_9 Close_time</f>
        <v/>
      </c>
      <c r="E47" s="96"/>
      <c r="F47" s="97" t="str">
        <f>IF(ISBLANK(Control_9 Establishment_3),"",Control_9 Establishment_3)</f>
        <v/>
      </c>
      <c r="G47" s="119" t="str">
        <f>IF(ISBLANK('Control Entry'!K23),"",'Control Entry'!K23)</f>
        <v/>
      </c>
      <c r="H47" s="120"/>
      <c r="I47" s="121"/>
      <c r="J47" s="98"/>
    </row>
    <row r="48" spans="2:10" ht="39.950000000000003" customHeight="1" x14ac:dyDescent="0.35">
      <c r="B48" s="88"/>
      <c r="C48" s="100" t="str">
        <f>Control_10 Open_time</f>
        <v/>
      </c>
      <c r="D48" s="100" t="str">
        <f>Control_10 Close_time</f>
        <v/>
      </c>
      <c r="E48" s="99"/>
      <c r="F48" s="90" t="str">
        <f>IF(ISBLANK(Control_10 Establishment_1),"",Control_10 Establishment_1)</f>
        <v/>
      </c>
      <c r="G48" s="122" t="str">
        <f>IF(ISBLANK('Control Entry'!I24),"",'Control Entry'!I24)</f>
        <v/>
      </c>
      <c r="H48" s="123"/>
      <c r="I48" s="124"/>
      <c r="J48" s="91"/>
    </row>
    <row r="49" spans="2:11" ht="39.950000000000003" customHeight="1" x14ac:dyDescent="0.3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25" t="str">
        <f>IF(ISBLANK('Control Entry'!J24),"",'Control Entry'!J24)</f>
        <v/>
      </c>
      <c r="H49" s="126"/>
      <c r="I49" s="127"/>
      <c r="J49" s="94"/>
    </row>
    <row r="50" spans="2:11" ht="39.950000000000003" customHeight="1" thickBot="1" x14ac:dyDescent="0.4">
      <c r="B50" s="95"/>
      <c r="C50" s="101" t="str">
        <f>Control_10 Open_time</f>
        <v/>
      </c>
      <c r="D50" s="101" t="str">
        <f>Control_10 Close_time</f>
        <v/>
      </c>
      <c r="E50" s="96"/>
      <c r="F50" s="97" t="str">
        <f>IF(ISBLANK(Control_10 Establishment_3),"",Control_10 Establishment_3)</f>
        <v/>
      </c>
      <c r="G50" s="119" t="str">
        <f>IF(ISBLANK('Control Entry'!K24),"",'Control Entry'!K24)</f>
        <v/>
      </c>
      <c r="H50" s="120"/>
      <c r="I50" s="121"/>
      <c r="J50" s="98"/>
    </row>
    <row r="52" spans="2:11" ht="24" customHeight="1" x14ac:dyDescent="0.2">
      <c r="B52" s="141" t="s">
        <v>82</v>
      </c>
      <c r="C52" s="141"/>
      <c r="D52" s="141"/>
      <c r="E52" s="141"/>
      <c r="F52" s="141"/>
      <c r="I52" s="57" t="s">
        <v>83</v>
      </c>
      <c r="J52" s="80" t="str">
        <f>IF(ISBLANK('Control Entry'!F10),"",'Control Entry'!F10)</f>
        <v/>
      </c>
      <c r="K52" s="53"/>
    </row>
    <row r="54" spans="2:11" x14ac:dyDescent="0.2">
      <c r="B54" s="75" t="s">
        <v>84</v>
      </c>
      <c r="C54" s="76">
        <f>'Control Entry'!B3</f>
        <v>45393</v>
      </c>
    </row>
    <row r="55" spans="2:11" ht="23.25" x14ac:dyDescent="0.2">
      <c r="B55" s="57"/>
      <c r="C55" s="57"/>
      <c r="D55" s="57"/>
      <c r="E55" s="57"/>
      <c r="F55" s="53"/>
      <c r="G55" s="59"/>
      <c r="H55" s="59"/>
      <c r="I55" s="59"/>
      <c r="J55" s="53"/>
    </row>
    <row r="56" spans="2:11" x14ac:dyDescent="0.2">
      <c r="E56" s="1"/>
    </row>
    <row r="57" spans="2:11" x14ac:dyDescent="0.2">
      <c r="B57" s="55"/>
      <c r="C57" s="56"/>
      <c r="D57" s="56"/>
      <c r="E57" s="56"/>
      <c r="F57" s="139"/>
      <c r="G57" s="140"/>
      <c r="H57" s="140"/>
      <c r="I57" s="140"/>
      <c r="J57" s="140"/>
    </row>
  </sheetData>
  <mergeCells count="5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E24:E26"/>
    <mergeCell ref="F24:F26"/>
    <mergeCell ref="E30:E32"/>
    <mergeCell ref="F30:F32"/>
    <mergeCell ref="E33:E35"/>
    <mergeCell ref="F33:F35"/>
    <mergeCell ref="E36:E38"/>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25" right="0.25" top="0.75" bottom="0.75" header="0.3" footer="0.3"/>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E5" sqref="E5:H6"/>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4"/>
      <c r="L1" s="74"/>
      <c r="M1" s="74"/>
    </row>
    <row r="2" spans="2:15" ht="18" x14ac:dyDescent="0.25">
      <c r="C2" s="106" t="s">
        <v>62</v>
      </c>
      <c r="D2" s="106"/>
      <c r="E2" s="106"/>
      <c r="F2" s="106"/>
      <c r="G2" s="54"/>
      <c r="H2" s="54"/>
      <c r="I2" s="77" t="s">
        <v>63</v>
      </c>
      <c r="J2" s="78">
        <f>'Control Entry'!B4</f>
        <v>45544</v>
      </c>
      <c r="K2" s="54"/>
      <c r="L2" s="54"/>
    </row>
    <row r="3" spans="2:15" ht="45" customHeight="1" x14ac:dyDescent="0.55000000000000004">
      <c r="D3" s="12"/>
      <c r="E3" s="116" t="s">
        <v>64</v>
      </c>
      <c r="F3" s="116"/>
      <c r="G3" s="116"/>
      <c r="H3" s="116"/>
      <c r="I3" s="65" t="s">
        <v>65</v>
      </c>
      <c r="J3" s="70">
        <f>IF(ISBLANK(Brevet_Number),"",Brevet_Number)</f>
        <v>5366</v>
      </c>
      <c r="K3" s="39"/>
      <c r="L3" s="39"/>
    </row>
    <row r="4" spans="2:15" ht="20.100000000000001" customHeight="1" x14ac:dyDescent="0.2">
      <c r="C4" s="12"/>
      <c r="E4" s="117" t="str">
        <f>IF(ISBLANK(Brevet_Length),"",Brevet_Length&amp;" km Randonnée")</f>
        <v>200 km Randonnée</v>
      </c>
      <c r="F4" s="117"/>
      <c r="G4" s="117"/>
      <c r="H4" s="117"/>
      <c r="K4" s="50"/>
      <c r="L4" s="50"/>
    </row>
    <row r="5" spans="2:15" ht="20.100000000000001" customHeight="1" x14ac:dyDescent="0.3">
      <c r="D5" s="51"/>
      <c r="E5" s="115" t="str">
        <f>IF(ISBLANK(Brevet_Description),"",Brevet_Description)</f>
        <v>Fall Flatlander 2024 (Reverse Flatlander)</v>
      </c>
      <c r="F5" s="115"/>
      <c r="G5" s="115"/>
      <c r="H5" s="115"/>
      <c r="I5" s="73"/>
      <c r="J5" s="51"/>
      <c r="K5" s="51"/>
      <c r="L5" s="51"/>
    </row>
    <row r="6" spans="2:15" ht="20.25" x14ac:dyDescent="0.3">
      <c r="D6" s="66"/>
      <c r="E6" s="115"/>
      <c r="F6" s="115"/>
      <c r="G6" s="115"/>
      <c r="H6" s="115"/>
      <c r="I6" s="73"/>
      <c r="J6" s="66"/>
      <c r="K6" s="51"/>
      <c r="L6" s="51"/>
    </row>
    <row r="7" spans="2:15" ht="24.95" customHeight="1" x14ac:dyDescent="0.2">
      <c r="C7" s="151"/>
      <c r="D7" s="151"/>
      <c r="E7" s="151"/>
      <c r="F7" s="151"/>
      <c r="H7" s="153"/>
    </row>
    <row r="8" spans="2:15" ht="21" thickBot="1" x14ac:dyDescent="0.35">
      <c r="B8" s="17" t="s">
        <v>66</v>
      </c>
      <c r="C8" s="152"/>
      <c r="D8" s="152"/>
      <c r="E8" s="152"/>
      <c r="F8" s="152"/>
      <c r="G8" s="17" t="s">
        <v>67</v>
      </c>
      <c r="H8" s="154"/>
      <c r="I8" s="52"/>
      <c r="J8" s="52"/>
      <c r="K8" s="52"/>
    </row>
    <row r="9" spans="2:15" ht="21.95" customHeight="1" x14ac:dyDescent="0.2">
      <c r="B9" s="57"/>
      <c r="C9" s="57"/>
      <c r="D9" s="57"/>
      <c r="E9" s="57"/>
      <c r="F9" s="53"/>
      <c r="G9" s="59"/>
      <c r="H9" s="59"/>
      <c r="I9" s="59"/>
      <c r="J9" s="53"/>
    </row>
    <row r="10" spans="2:15" ht="20.100000000000001" customHeight="1" x14ac:dyDescent="0.2">
      <c r="B10" s="108" t="s">
        <v>68</v>
      </c>
      <c r="C10" s="108"/>
      <c r="D10" s="63" t="s">
        <v>69</v>
      </c>
      <c r="E10" s="150" t="s">
        <v>70</v>
      </c>
      <c r="F10" s="150"/>
      <c r="G10" s="150"/>
      <c r="H10" s="69"/>
      <c r="I10" s="58"/>
      <c r="J10" s="58"/>
      <c r="K10" s="19"/>
      <c r="L10" s="118"/>
      <c r="M10" s="118"/>
      <c r="N10" s="118"/>
      <c r="O10" s="118"/>
    </row>
    <row r="11" spans="2:15" ht="23.25" x14ac:dyDescent="0.2">
      <c r="B11" s="57"/>
      <c r="C11" s="57" t="s">
        <v>71</v>
      </c>
      <c r="D11" s="57"/>
      <c r="E11" s="57"/>
      <c r="F11" s="53"/>
      <c r="G11" s="59"/>
      <c r="H11" s="59"/>
      <c r="I11" s="59"/>
      <c r="J11" s="53"/>
    </row>
    <row r="12" spans="2:15" ht="21" thickBot="1" x14ac:dyDescent="0.35">
      <c r="D12" s="132" t="s">
        <v>18</v>
      </c>
      <c r="E12" s="132"/>
      <c r="F12" s="68">
        <f>IF(ISBLANK('Control Entry'!B12),"",'Control Entry'!B12)</f>
        <v>45550</v>
      </c>
      <c r="G12" s="72"/>
      <c r="H12" s="17" t="s">
        <v>72</v>
      </c>
      <c r="I12" s="67">
        <f>IF(ISBLANK('Control Entry'!B13),"",'Control Entry'!B13)</f>
        <v>0.29166666666666669</v>
      </c>
      <c r="J12" s="23"/>
    </row>
    <row r="13" spans="2:15" ht="20.25" x14ac:dyDescent="0.3">
      <c r="D13" s="22"/>
      <c r="E13" s="22"/>
      <c r="F13" s="21"/>
      <c r="G13" s="21"/>
      <c r="H13" s="21"/>
      <c r="L13" s="23"/>
      <c r="M13" s="23"/>
      <c r="N13" s="23"/>
    </row>
    <row r="14" spans="2:15" ht="21" thickBot="1" x14ac:dyDescent="0.35">
      <c r="D14" s="132" t="s">
        <v>73</v>
      </c>
      <c r="E14" s="132"/>
      <c r="F14" s="68"/>
      <c r="G14" s="72"/>
      <c r="H14" s="17" t="s">
        <v>74</v>
      </c>
      <c r="I14" s="67"/>
      <c r="J14" s="23"/>
      <c r="L14" s="44"/>
      <c r="M14" s="44"/>
      <c r="N14" s="44"/>
    </row>
    <row r="15" spans="2:15" ht="20.25" x14ac:dyDescent="0.3">
      <c r="B15" s="22"/>
      <c r="C15" s="22"/>
      <c r="D15" s="21"/>
      <c r="E15" s="21"/>
      <c r="H15" s="21"/>
    </row>
    <row r="16" spans="2:15" ht="21" thickBot="1" x14ac:dyDescent="0.35">
      <c r="C16" s="64"/>
      <c r="D16" s="64"/>
      <c r="E16" s="64"/>
      <c r="F16" s="64"/>
      <c r="H16" s="17" t="s">
        <v>75</v>
      </c>
      <c r="I16" s="67"/>
      <c r="J16" s="23"/>
      <c r="L16" s="44"/>
      <c r="M16" s="44"/>
      <c r="N16" s="44"/>
    </row>
    <row r="17" spans="2:15" ht="20.25" x14ac:dyDescent="0.2">
      <c r="C17" s="133" t="s">
        <v>76</v>
      </c>
      <c r="D17" s="133"/>
      <c r="E17" s="133"/>
      <c r="F17" s="133"/>
      <c r="G17" s="19"/>
      <c r="H17" s="19"/>
      <c r="I17" s="128"/>
      <c r="J17" s="128"/>
      <c r="K17" s="19"/>
      <c r="L17" s="118"/>
      <c r="M17" s="118"/>
      <c r="N17" s="118"/>
      <c r="O17" s="118"/>
    </row>
    <row r="18" spans="2:15" ht="6" customHeight="1" thickBot="1" x14ac:dyDescent="0.25">
      <c r="B18" s="60"/>
      <c r="C18" s="60"/>
      <c r="D18" s="60"/>
      <c r="E18" s="60"/>
      <c r="F18" s="61"/>
      <c r="G18" s="62"/>
      <c r="H18" s="62"/>
      <c r="I18" s="62"/>
      <c r="J18" s="61"/>
    </row>
    <row r="19" spans="2:15" ht="21.75" thickTop="1" thickBot="1" x14ac:dyDescent="0.25">
      <c r="B19" s="107" t="s">
        <v>77</v>
      </c>
      <c r="C19" s="107"/>
      <c r="D19" s="107"/>
      <c r="E19" s="107"/>
      <c r="F19" s="107"/>
      <c r="G19" s="107"/>
      <c r="H19" s="107"/>
      <c r="I19" s="107"/>
      <c r="J19" s="107"/>
    </row>
    <row r="20" spans="2:15" ht="36.75" thickBot="1" x14ac:dyDescent="0.3">
      <c r="B20" s="49" t="s">
        <v>78</v>
      </c>
      <c r="C20" s="8" t="s">
        <v>32</v>
      </c>
      <c r="D20" s="8" t="s">
        <v>33</v>
      </c>
      <c r="E20" s="8" t="s">
        <v>25</v>
      </c>
      <c r="F20" s="8" t="s">
        <v>79</v>
      </c>
      <c r="G20" s="129" t="s">
        <v>80</v>
      </c>
      <c r="H20" s="130"/>
      <c r="I20" s="131"/>
      <c r="J20" s="49" t="s">
        <v>81</v>
      </c>
    </row>
    <row r="21" spans="2:15" ht="39.950000000000003" customHeight="1" x14ac:dyDescent="0.35">
      <c r="B21" s="88"/>
      <c r="C21" s="100" t="str">
        <f>'Control Entry'!N$28</f>
        <v/>
      </c>
      <c r="D21" s="100" t="str">
        <f>'Control Entry'!O$28</f>
        <v/>
      </c>
      <c r="E21" s="89"/>
      <c r="F21" s="90" t="str">
        <f>IF(ISBLANK('Control Entry'!F$28),"",'Control Entry'!F$28)</f>
        <v/>
      </c>
      <c r="G21" s="122" t="str">
        <f>IF(ISBLANK('Control Entry'!I$28),"",'Control Entry'!I$28)</f>
        <v/>
      </c>
      <c r="H21" s="123"/>
      <c r="I21" s="124"/>
      <c r="J21" s="91"/>
    </row>
    <row r="22" spans="2:15" ht="39.950000000000003" customHeight="1" x14ac:dyDescent="0.3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25" t="str">
        <f>IF(ISBLANK('Control Entry'!J$28),"",'Control Entry'!J$28)</f>
        <v/>
      </c>
      <c r="H22" s="126"/>
      <c r="I22" s="127"/>
      <c r="J22" s="94"/>
    </row>
    <row r="23" spans="2:15" ht="39.950000000000003" customHeight="1" thickBot="1" x14ac:dyDescent="0.4">
      <c r="B23" s="95"/>
      <c r="C23" s="101" t="str">
        <f>'Control Entry'!N$28</f>
        <v/>
      </c>
      <c r="D23" s="101" t="str">
        <f>'Control Entry'!O$28</f>
        <v/>
      </c>
      <c r="E23" s="96"/>
      <c r="F23" s="97" t="str">
        <f>IF(ISBLANK('Control Entry'!H$28),"",'Control Entry'!H$28)</f>
        <v/>
      </c>
      <c r="G23" s="119" t="str">
        <f>IF(ISBLANK('Control Entry'!K$28),"",'Control Entry'!K$28)</f>
        <v/>
      </c>
      <c r="H23" s="120"/>
      <c r="I23" s="121"/>
      <c r="J23" s="98"/>
    </row>
    <row r="24" spans="2:15" ht="39.950000000000003" customHeight="1" x14ac:dyDescent="0.35">
      <c r="B24" s="88"/>
      <c r="C24" s="100" t="str">
        <f>'Control Entry'!N$29</f>
        <v/>
      </c>
      <c r="D24" s="100" t="str">
        <f>'Control Entry'!O$29</f>
        <v/>
      </c>
      <c r="E24" s="89"/>
      <c r="F24" s="90" t="str">
        <f>IF(ISBLANK('Control Entry'!F$29),"",'Control Entry'!F$29)</f>
        <v/>
      </c>
      <c r="G24" s="122" t="str">
        <f>IF(ISBLANK('Control Entry'!I$29),"",'Control Entry'!I$29)</f>
        <v/>
      </c>
      <c r="H24" s="123"/>
      <c r="I24" s="124"/>
      <c r="J24" s="91"/>
    </row>
    <row r="25" spans="2:15" ht="39.950000000000003" customHeight="1" x14ac:dyDescent="0.3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25" t="str">
        <f>IF(ISBLANK('Control Entry'!J$29),"",'Control Entry'!J$29)</f>
        <v/>
      </c>
      <c r="H25" s="126"/>
      <c r="I25" s="127"/>
      <c r="J25" s="94"/>
    </row>
    <row r="26" spans="2:15" ht="39.950000000000003" customHeight="1" thickBot="1" x14ac:dyDescent="0.4">
      <c r="B26" s="95"/>
      <c r="C26" s="101" t="str">
        <f>'Control Entry'!N$29</f>
        <v/>
      </c>
      <c r="D26" s="101" t="str">
        <f>'Control Entry'!O$29</f>
        <v/>
      </c>
      <c r="E26" s="96"/>
      <c r="F26" s="97" t="str">
        <f>IF(ISBLANK('Control Entry'!H$29),"",'Control Entry'!H$29)</f>
        <v/>
      </c>
      <c r="G26" s="119" t="str">
        <f>IF(ISBLANK('Control Entry'!K$29),"",'Control Entry'!K$29)</f>
        <v/>
      </c>
      <c r="H26" s="120"/>
      <c r="I26" s="121"/>
      <c r="J26" s="98"/>
    </row>
    <row r="27" spans="2:15" ht="39.950000000000003" customHeight="1" x14ac:dyDescent="0.35">
      <c r="B27" s="88"/>
      <c r="C27" s="100" t="str">
        <f>'Control Entry'!N$30</f>
        <v/>
      </c>
      <c r="D27" s="100" t="str">
        <f>'Control Entry'!O$30</f>
        <v/>
      </c>
      <c r="E27" s="89"/>
      <c r="F27" s="90" t="str">
        <f>IF(ISBLANK('Control Entry'!F$30),"",'Control Entry'!F$30)</f>
        <v/>
      </c>
      <c r="G27" s="122" t="str">
        <f>IF(ISBLANK('Control Entry'!I$30),"",'Control Entry'!I$30)</f>
        <v/>
      </c>
      <c r="H27" s="123"/>
      <c r="I27" s="124"/>
      <c r="J27" s="91"/>
    </row>
    <row r="28" spans="2:15" ht="39.950000000000003" customHeight="1" x14ac:dyDescent="0.3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25" t="str">
        <f>IF(ISBLANK('Control Entry'!J$30),"",'Control Entry'!J$30)</f>
        <v/>
      </c>
      <c r="H28" s="126"/>
      <c r="I28" s="127"/>
      <c r="J28" s="94"/>
    </row>
    <row r="29" spans="2:15" ht="39.950000000000003" customHeight="1" thickBot="1" x14ac:dyDescent="0.4">
      <c r="B29" s="95"/>
      <c r="C29" s="101" t="str">
        <f>'Control Entry'!N$30</f>
        <v/>
      </c>
      <c r="D29" s="101" t="str">
        <f>'Control Entry'!O$30</f>
        <v/>
      </c>
      <c r="E29" s="96"/>
      <c r="F29" s="97" t="str">
        <f>IF(ISBLANK('Control Entry'!H$30),"",'Control Entry'!H$30)</f>
        <v/>
      </c>
      <c r="G29" s="119" t="str">
        <f>IF(ISBLANK('Control Entry'!K$30),"",'Control Entry'!K$30)</f>
        <v/>
      </c>
      <c r="H29" s="120"/>
      <c r="I29" s="121"/>
      <c r="J29" s="98"/>
    </row>
    <row r="30" spans="2:15" ht="39.950000000000003" customHeight="1" x14ac:dyDescent="0.35">
      <c r="B30" s="88"/>
      <c r="C30" s="100" t="str">
        <f>'Control Entry'!N$31</f>
        <v/>
      </c>
      <c r="D30" s="100" t="str">
        <f>'Control Entry'!O$31</f>
        <v/>
      </c>
      <c r="E30" s="89"/>
      <c r="F30" s="90" t="str">
        <f>IF(ISBLANK('Control Entry'!F$31),"",'Control Entry'!F$31)</f>
        <v/>
      </c>
      <c r="G30" s="122" t="str">
        <f>IF(ISBLANK('Control Entry'!I$31),"",'Control Entry'!I$31)</f>
        <v/>
      </c>
      <c r="H30" s="123"/>
      <c r="I30" s="124"/>
      <c r="J30" s="91"/>
    </row>
    <row r="31" spans="2:15" ht="39.950000000000003" customHeight="1" x14ac:dyDescent="0.3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25" t="str">
        <f>IF(ISBLANK('Control Entry'!J$31),"",'Control Entry'!J$31)</f>
        <v/>
      </c>
      <c r="H31" s="126"/>
      <c r="I31" s="127"/>
      <c r="J31" s="94"/>
    </row>
    <row r="32" spans="2:15" ht="39.950000000000003" customHeight="1" thickBot="1" x14ac:dyDescent="0.4">
      <c r="B32" s="95"/>
      <c r="C32" s="101" t="str">
        <f>'Control Entry'!N$31</f>
        <v/>
      </c>
      <c r="D32" s="101" t="str">
        <f>'Control Entry'!O$31</f>
        <v/>
      </c>
      <c r="E32" s="96"/>
      <c r="F32" s="97" t="str">
        <f>IF(ISBLANK('Control Entry'!H$31),"",'Control Entry'!H$31)</f>
        <v/>
      </c>
      <c r="G32" s="119" t="str">
        <f>IF(ISBLANK('Control Entry'!K$31),"",'Control Entry'!K$31)</f>
        <v/>
      </c>
      <c r="H32" s="120"/>
      <c r="I32" s="121"/>
      <c r="J32" s="98"/>
    </row>
    <row r="33" spans="2:10" ht="39.950000000000003" customHeight="1" x14ac:dyDescent="0.35">
      <c r="B33" s="88"/>
      <c r="C33" s="100" t="str">
        <f>'Control Entry'!N$32</f>
        <v/>
      </c>
      <c r="D33" s="100" t="str">
        <f>'Control Entry'!O$32</f>
        <v/>
      </c>
      <c r="E33" s="89"/>
      <c r="F33" s="90" t="str">
        <f>IF(ISBLANK('Control Entry'!F$32),"",'Control Entry'!F$32)</f>
        <v/>
      </c>
      <c r="G33" s="122" t="str">
        <f>IF(ISBLANK('Control Entry'!I$32),"",'Control Entry'!I$32)</f>
        <v/>
      </c>
      <c r="H33" s="123"/>
      <c r="I33" s="124"/>
      <c r="J33" s="91"/>
    </row>
    <row r="34" spans="2:10" ht="39.950000000000003" customHeight="1" x14ac:dyDescent="0.3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25" t="str">
        <f>IF(ISBLANK('Control Entry'!J$32),"",'Control Entry'!J$32)</f>
        <v/>
      </c>
      <c r="H34" s="126"/>
      <c r="I34" s="127"/>
      <c r="J34" s="94"/>
    </row>
    <row r="35" spans="2:10" ht="39.950000000000003" customHeight="1" thickBot="1" x14ac:dyDescent="0.4">
      <c r="B35" s="95"/>
      <c r="C35" s="101" t="str">
        <f>'Control Entry'!N$32</f>
        <v/>
      </c>
      <c r="D35" s="101" t="str">
        <f>'Control Entry'!O$32</f>
        <v/>
      </c>
      <c r="E35" s="96"/>
      <c r="F35" s="97" t="str">
        <f>IF(ISBLANK('Control Entry'!H$32),"",'Control Entry'!H$32)</f>
        <v/>
      </c>
      <c r="G35" s="119" t="str">
        <f>IF(ISBLANK('Control Entry'!K$32),"",'Control Entry'!K$32)</f>
        <v/>
      </c>
      <c r="H35" s="120"/>
      <c r="I35" s="121"/>
      <c r="J35" s="98"/>
    </row>
    <row r="36" spans="2:10" ht="39.950000000000003" customHeight="1" x14ac:dyDescent="0.35">
      <c r="B36" s="88"/>
      <c r="C36" s="100" t="str">
        <f>'Control Entry'!N$33</f>
        <v/>
      </c>
      <c r="D36" s="100" t="str">
        <f>'Control Entry'!O$33</f>
        <v/>
      </c>
      <c r="E36" s="89"/>
      <c r="F36" s="90" t="str">
        <f>IF(ISBLANK('Control Entry'!F$33),"",'Control Entry'!F$33)</f>
        <v/>
      </c>
      <c r="G36" s="122" t="str">
        <f>IF(ISBLANK('Control Entry'!I$33),"",'Control Entry'!I$33)</f>
        <v/>
      </c>
      <c r="H36" s="123"/>
      <c r="I36" s="124"/>
      <c r="J36" s="91"/>
    </row>
    <row r="37" spans="2:10" ht="39.950000000000003" customHeight="1" x14ac:dyDescent="0.3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25" t="str">
        <f>IF(ISBLANK('Control Entry'!J$33),"",'Control Entry'!J$33)</f>
        <v/>
      </c>
      <c r="H37" s="126"/>
      <c r="I37" s="127"/>
      <c r="J37" s="94"/>
    </row>
    <row r="38" spans="2:10" ht="39.950000000000003" customHeight="1" thickBot="1" x14ac:dyDescent="0.4">
      <c r="B38" s="95"/>
      <c r="C38" s="101" t="str">
        <f>'Control Entry'!N$33</f>
        <v/>
      </c>
      <c r="D38" s="101" t="str">
        <f>'Control Entry'!O$33</f>
        <v/>
      </c>
      <c r="E38" s="96"/>
      <c r="F38" s="97" t="str">
        <f>IF(ISBLANK('Control Entry'!H$33),"",'Control Entry'!H$33)</f>
        <v/>
      </c>
      <c r="G38" s="119" t="str">
        <f>IF(ISBLANK('Control Entry'!K$33),"",'Control Entry'!K$33)</f>
        <v/>
      </c>
      <c r="H38" s="120"/>
      <c r="I38" s="121"/>
      <c r="J38" s="98"/>
    </row>
    <row r="39" spans="2:10" ht="39.950000000000003" customHeight="1" x14ac:dyDescent="0.35">
      <c r="B39" s="88"/>
      <c r="C39" s="100" t="str">
        <f>'Control Entry'!N$34</f>
        <v/>
      </c>
      <c r="D39" s="100" t="str">
        <f>'Control Entry'!O$34</f>
        <v/>
      </c>
      <c r="E39" s="89"/>
      <c r="F39" s="90" t="str">
        <f>IF(ISBLANK('Control Entry'!F$34),"",'Control Entry'!F$34)</f>
        <v/>
      </c>
      <c r="G39" s="122" t="str">
        <f>IF(ISBLANK('Control Entry'!I$34),"",'Control Entry'!I$34)</f>
        <v/>
      </c>
      <c r="H39" s="123"/>
      <c r="I39" s="124"/>
      <c r="J39" s="91"/>
    </row>
    <row r="40" spans="2:10" ht="39.950000000000003" customHeight="1" x14ac:dyDescent="0.3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25" t="str">
        <f>IF(ISBLANK('Control Entry'!J$34),"",'Control Entry'!J$34)</f>
        <v/>
      </c>
      <c r="H40" s="126"/>
      <c r="I40" s="127"/>
      <c r="J40" s="94"/>
    </row>
    <row r="41" spans="2:10" ht="39.950000000000003" customHeight="1" thickBot="1" x14ac:dyDescent="0.4">
      <c r="B41" s="95"/>
      <c r="C41" s="101" t="str">
        <f>'Control Entry'!N$34</f>
        <v/>
      </c>
      <c r="D41" s="101" t="str">
        <f>'Control Entry'!O$34</f>
        <v/>
      </c>
      <c r="E41" s="96"/>
      <c r="F41" s="97" t="str">
        <f>IF(ISBLANK('Control Entry'!H$34),"",'Control Entry'!H$34)</f>
        <v/>
      </c>
      <c r="G41" s="119" t="str">
        <f>IF(ISBLANK('Control Entry'!K$34),"",'Control Entry'!K$34)</f>
        <v/>
      </c>
      <c r="H41" s="120"/>
      <c r="I41" s="121"/>
      <c r="J41" s="98"/>
    </row>
    <row r="42" spans="2:10" ht="39.950000000000003" customHeight="1" x14ac:dyDescent="0.35">
      <c r="B42" s="88"/>
      <c r="C42" s="100" t="str">
        <f>'Control Entry'!N$35</f>
        <v/>
      </c>
      <c r="D42" s="100" t="str">
        <f>'Control Entry'!O$35</f>
        <v/>
      </c>
      <c r="E42" s="89"/>
      <c r="F42" s="90" t="str">
        <f>IF(ISBLANK('Control Entry'!F$35),"",'Control Entry'!F$35)</f>
        <v/>
      </c>
      <c r="G42" s="122" t="str">
        <f>IF(ISBLANK('Control Entry'!I$35),"",'Control Entry'!I$35)</f>
        <v/>
      </c>
      <c r="H42" s="123"/>
      <c r="I42" s="124"/>
      <c r="J42" s="91"/>
    </row>
    <row r="43" spans="2:10" ht="39.950000000000003" customHeight="1" x14ac:dyDescent="0.3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25" t="str">
        <f>IF(ISBLANK('Control Entry'!J$35),"",'Control Entry'!J$35)</f>
        <v/>
      </c>
      <c r="H43" s="126"/>
      <c r="I43" s="127"/>
      <c r="J43" s="94"/>
    </row>
    <row r="44" spans="2:10" ht="39.950000000000003" customHeight="1" thickBot="1" x14ac:dyDescent="0.4">
      <c r="B44" s="95"/>
      <c r="C44" s="101" t="str">
        <f>'Control Entry'!N$35</f>
        <v/>
      </c>
      <c r="D44" s="101" t="str">
        <f>'Control Entry'!O$35</f>
        <v/>
      </c>
      <c r="E44" s="96"/>
      <c r="F44" s="97" t="str">
        <f>IF(ISBLANK('Control Entry'!H$35),"",'Control Entry'!H$35)</f>
        <v/>
      </c>
      <c r="G44" s="119" t="str">
        <f>IF(ISBLANK('Control Entry'!K$35),"",'Control Entry'!K$35)</f>
        <v/>
      </c>
      <c r="H44" s="120"/>
      <c r="I44" s="121"/>
      <c r="J44" s="98"/>
    </row>
    <row r="45" spans="2:10" ht="39.950000000000003" customHeight="1" x14ac:dyDescent="0.35">
      <c r="B45" s="88"/>
      <c r="C45" s="100" t="str">
        <f>'Control Entry'!N$36</f>
        <v/>
      </c>
      <c r="D45" s="100" t="str">
        <f>'Control Entry'!O$36</f>
        <v/>
      </c>
      <c r="E45" s="89"/>
      <c r="F45" s="90" t="str">
        <f>IF(ISBLANK('Control Entry'!F$36),"",'Control Entry'!F$36)</f>
        <v/>
      </c>
      <c r="G45" s="122" t="str">
        <f>IF(ISBLANK('Control Entry'!I$36),"",'Control Entry'!I$36)</f>
        <v/>
      </c>
      <c r="H45" s="123"/>
      <c r="I45" s="124"/>
      <c r="J45" s="91"/>
    </row>
    <row r="46" spans="2:10" ht="39.950000000000003" customHeight="1" x14ac:dyDescent="0.3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25" t="str">
        <f>IF(ISBLANK('Control Entry'!J$36),"",'Control Entry'!J$36)</f>
        <v/>
      </c>
      <c r="H46" s="126"/>
      <c r="I46" s="127"/>
      <c r="J46" s="94"/>
    </row>
    <row r="47" spans="2:10" ht="39.950000000000003" customHeight="1" thickBot="1" x14ac:dyDescent="0.4">
      <c r="B47" s="95"/>
      <c r="C47" s="101" t="str">
        <f>'Control Entry'!N$36</f>
        <v/>
      </c>
      <c r="D47" s="101" t="str">
        <f>'Control Entry'!O$36</f>
        <v/>
      </c>
      <c r="E47" s="96"/>
      <c r="F47" s="97" t="str">
        <f>IF(ISBLANK('Control Entry'!H$36),"",'Control Entry'!H$36)</f>
        <v/>
      </c>
      <c r="G47" s="119" t="str">
        <f>IF(ISBLANK('Control Entry'!K$36),"",'Control Entry'!K$36)</f>
        <v/>
      </c>
      <c r="H47" s="120"/>
      <c r="I47" s="121"/>
      <c r="J47" s="98"/>
    </row>
    <row r="48" spans="2:10" ht="39.950000000000003" customHeight="1" x14ac:dyDescent="0.35">
      <c r="B48" s="88"/>
      <c r="C48" s="100" t="str">
        <f>'Control Entry'!N$37</f>
        <v/>
      </c>
      <c r="D48" s="100" t="str">
        <f>'Control Entry'!O$37</f>
        <v/>
      </c>
      <c r="E48" s="89"/>
      <c r="F48" s="90" t="str">
        <f>IF(ISBLANK('Control Entry'!F$37),"",'Control Entry'!F$37)</f>
        <v/>
      </c>
      <c r="G48" s="122" t="str">
        <f>IF(ISBLANK('Control Entry'!I$37),"",'Control Entry'!I$37)</f>
        <v/>
      </c>
      <c r="H48" s="123"/>
      <c r="I48" s="124"/>
      <c r="J48" s="91"/>
    </row>
    <row r="49" spans="2:11" ht="39.950000000000003" customHeight="1" x14ac:dyDescent="0.3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25" t="str">
        <f>IF(ISBLANK('Control Entry'!J$37),"",'Control Entry'!J$37)</f>
        <v/>
      </c>
      <c r="H49" s="126"/>
      <c r="I49" s="127"/>
      <c r="J49" s="94"/>
    </row>
    <row r="50" spans="2:11" ht="39.950000000000003" customHeight="1" thickBot="1" x14ac:dyDescent="0.4">
      <c r="B50" s="95"/>
      <c r="C50" s="101" t="str">
        <f>'Control Entry'!N$37</f>
        <v/>
      </c>
      <c r="D50" s="101" t="str">
        <f>'Control Entry'!O$37</f>
        <v/>
      </c>
      <c r="E50" s="96"/>
      <c r="F50" s="97" t="str">
        <f>IF(ISBLANK('Control Entry'!H$37),"",'Control Entry'!H$37)</f>
        <v/>
      </c>
      <c r="G50" s="119" t="str">
        <f>IF(ISBLANK('Control Entry'!K$37),"",'Control Entry'!K$37)</f>
        <v/>
      </c>
      <c r="H50" s="120"/>
      <c r="I50" s="121"/>
      <c r="J50" s="98"/>
    </row>
    <row r="52" spans="2:11" ht="24" customHeight="1" x14ac:dyDescent="0.2">
      <c r="B52" s="141" t="s">
        <v>82</v>
      </c>
      <c r="C52" s="141"/>
      <c r="D52" s="141"/>
      <c r="E52" s="141"/>
      <c r="F52" s="141"/>
      <c r="I52" s="57" t="s">
        <v>83</v>
      </c>
      <c r="J52" s="80" t="str">
        <f>IF(ISBLANK('Control Entry'!F10),"",'Control Entry'!F10)</f>
        <v/>
      </c>
      <c r="K52" s="53"/>
    </row>
    <row r="54" spans="2:11" x14ac:dyDescent="0.2">
      <c r="B54" s="75" t="s">
        <v>84</v>
      </c>
      <c r="C54" s="76">
        <f>'Control Entry'!B3</f>
        <v>45393</v>
      </c>
    </row>
    <row r="55" spans="2:11" ht="23.25" x14ac:dyDescent="0.2">
      <c r="B55" s="57"/>
      <c r="C55" s="57"/>
      <c r="D55" s="57"/>
      <c r="E55" s="57"/>
      <c r="F55" s="53"/>
      <c r="G55" s="59"/>
      <c r="H55" s="59"/>
      <c r="I55" s="59"/>
      <c r="J55" s="53"/>
    </row>
    <row r="56" spans="2:11" x14ac:dyDescent="0.2">
      <c r="E56" s="1"/>
    </row>
    <row r="57" spans="2:11" x14ac:dyDescent="0.2">
      <c r="B57" s="55"/>
      <c r="C57" s="56"/>
      <c r="D57" s="56"/>
      <c r="E57" s="56"/>
      <c r="F57" s="139"/>
      <c r="G57" s="140"/>
      <c r="H57" s="140"/>
      <c r="I57" s="140"/>
      <c r="J57" s="140"/>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andrew kadziola</cp:lastModifiedBy>
  <cp:revision/>
  <cp:lastPrinted>2026-06-13T22:41:44Z</cp:lastPrinted>
  <dcterms:created xsi:type="dcterms:W3CDTF">1997-11-12T04:43:39Z</dcterms:created>
  <dcterms:modified xsi:type="dcterms:W3CDTF">2026-06-13T22:45:43Z</dcterms:modified>
  <cp:category/>
  <cp:contentStatus/>
</cp:coreProperties>
</file>