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31"/>
  <workbookPr showInkAnnotation="0" autoCompressPictures="0"/>
  <mc:AlternateContent xmlns:mc="http://schemas.openxmlformats.org/markup-compatibility/2006">
    <mc:Choice Requires="x15">
      <x15ac:absPath xmlns:x15ac="http://schemas.microsoft.com/office/spreadsheetml/2010/11/ac" url="/Users/stephencarol/Documents/BCR/2026/5637 Around the Lake/"/>
    </mc:Choice>
  </mc:AlternateContent>
  <xr:revisionPtr revIDLastSave="0" documentId="13_ncr:1_{19F34D14-69EC-D947-A3FD-64F17456BF0F}" xr6:coauthVersionLast="47" xr6:coauthVersionMax="47" xr10:uidLastSave="{00000000-0000-0000-0000-000000000000}"/>
  <bookViews>
    <workbookView xWindow="0" yWindow="660" windowWidth="29400" windowHeight="18460" tabRatio="509" xr2:uid="{00000000-000D-0000-FFFF-FFFF00000000}"/>
  </bookViews>
  <sheets>
    <sheet name="Control Entry" sheetId="1" r:id="rId1"/>
    <sheet name="Card #1" sheetId="7" r:id="rId2"/>
  </sheets>
  <definedNames>
    <definedName name="Address_1" localSheetId="1">#REF!</definedName>
    <definedName name="Address_1">#REF!</definedName>
    <definedName name="Address_2" localSheetId="1">#REF!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1">#REF!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1">'Control Entry'!#REF!</definedName>
    <definedName name="Control_11">'Control Entry'!#REF!</definedName>
    <definedName name="Control_12" localSheetId="1">'Control Entry'!#REF!</definedName>
    <definedName name="Control_12">'Control Entry'!#REF!</definedName>
    <definedName name="Control_13" localSheetId="1">'Control Entry'!#REF!</definedName>
    <definedName name="Control_13">'Control Entry'!#REF!</definedName>
    <definedName name="Control_14" localSheetId="1">'Control Entry'!#REF!</definedName>
    <definedName name="Control_14">'Control Entry'!#REF!</definedName>
    <definedName name="Control_15" localSheetId="1">'Control Entry'!#REF!</definedName>
    <definedName name="Control_15">'Control Entry'!#REF!</definedName>
    <definedName name="Control_16" localSheetId="1">'Control Entry'!#REF!</definedName>
    <definedName name="Control_16">'Control Entry'!#REF!</definedName>
    <definedName name="Control_17" localSheetId="1">'Control Entry'!#REF!</definedName>
    <definedName name="Control_17">'Control Entry'!#REF!</definedName>
    <definedName name="Control_18" localSheetId="1">'Control Entry'!#REF!</definedName>
    <definedName name="Control_18">'Control Entry'!#REF!</definedName>
    <definedName name="Control_19" localSheetId="1">'Control Entry'!#REF!</definedName>
    <definedName name="Control_19">'Control Entry'!#REF!</definedName>
    <definedName name="Control_2">'Control Entry'!$D$16:$O$16</definedName>
    <definedName name="Control_20" localSheetId="1">'Control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1">#REF!</definedName>
    <definedName name="Country">#REF!</definedName>
    <definedName name="Distance">'Control Entry'!$D$15:$D$24</definedName>
    <definedName name="email" localSheetId="1">#REF!</definedName>
    <definedName name="email">#REF!</definedName>
    <definedName name="Establishment_1">'Control Entry'!$F$15:$F$24</definedName>
    <definedName name="Establishment_2">'Control Entry'!$G$15:$G$24</definedName>
    <definedName name="Establishment_3">'Control Entry'!$H$15:$H$24</definedName>
    <definedName name="Fax" localSheetId="1">#REF!</definedName>
    <definedName name="Fax">#REF!</definedName>
    <definedName name="First_Name" localSheetId="1">#REF!</definedName>
    <definedName name="First_Name">#REF!</definedName>
    <definedName name="Home_telephone" localSheetId="1">#REF!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1">#REF!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1">#REF!</definedName>
    <definedName name="Postal_Code">#REF!</definedName>
    <definedName name="_xlnm.Print_Area" localSheetId="1">'Card #1'!$A$1:$K$55</definedName>
    <definedName name="Province_State" localSheetId="1">#REF!</definedName>
    <definedName name="Province_State">#REF!</definedName>
    <definedName name="Start_date">'Control Entry'!$B$12</definedName>
    <definedName name="Start_time">'Control Entry'!$B$13</definedName>
    <definedName name="surname" localSheetId="1">#REF!</definedName>
    <definedName name="surname">#REF!</definedName>
    <definedName name="Work_telephone" localSheetId="1">#REF!</definedName>
    <definedName name="Work_telepho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7" i="1" l="1"/>
  <c r="E5" i="7" l="1"/>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F50" i="7"/>
  <c r="F49" i="7"/>
  <c r="E49" i="7"/>
  <c r="B49" i="7"/>
  <c r="F48" i="7"/>
  <c r="F47" i="7"/>
  <c r="F46" i="7"/>
  <c r="E46" i="7"/>
  <c r="B46" i="7"/>
  <c r="F45" i="7"/>
  <c r="F44" i="7"/>
  <c r="F43" i="7"/>
  <c r="E43" i="7"/>
  <c r="B43" i="7"/>
  <c r="F42" i="7"/>
  <c r="F41" i="7"/>
  <c r="F40" i="7"/>
  <c r="E40" i="7"/>
  <c r="B40" i="7"/>
  <c r="F39" i="7"/>
  <c r="F38" i="7"/>
  <c r="F37" i="7"/>
  <c r="E37" i="7"/>
  <c r="B37" i="7"/>
  <c r="F36" i="7"/>
  <c r="F35" i="7"/>
  <c r="F34" i="7"/>
  <c r="E34" i="7"/>
  <c r="B34" i="7"/>
  <c r="F33" i="7"/>
  <c r="F32" i="7"/>
  <c r="F31" i="7"/>
  <c r="E31" i="7"/>
  <c r="B31" i="7"/>
  <c r="F30" i="7"/>
  <c r="F29" i="7"/>
  <c r="F28" i="7"/>
  <c r="E28" i="7"/>
  <c r="B28" i="7"/>
  <c r="F27" i="7"/>
  <c r="F26" i="7"/>
  <c r="F25" i="7"/>
  <c r="E25" i="7"/>
  <c r="B25" i="7"/>
  <c r="F24" i="7"/>
  <c r="F23" i="7"/>
  <c r="F22" i="7"/>
  <c r="E22" i="7"/>
  <c r="B22" i="7"/>
  <c r="F21" i="7"/>
  <c r="J52" i="7" l="1"/>
  <c r="I12" i="7"/>
  <c r="F12" i="7"/>
  <c r="J2" i="7"/>
  <c r="C54" i="7"/>
  <c r="J3" i="7"/>
  <c r="E4" i="7" l="1"/>
  <c r="L15" i="1" l="1"/>
  <c r="N15" i="1" s="1"/>
  <c r="C6" i="1"/>
  <c r="L24" i="1"/>
  <c r="L23" i="1"/>
  <c r="L22" i="1"/>
  <c r="L21" i="1"/>
  <c r="L20" i="1"/>
  <c r="L19" i="1"/>
  <c r="L18" i="1"/>
  <c r="L17" i="1"/>
  <c r="L16" i="1"/>
  <c r="M16" i="1" l="1"/>
  <c r="O16" i="1" s="1"/>
  <c r="C22" i="7"/>
  <c r="C23" i="7"/>
  <c r="C21" i="7"/>
  <c r="B7" i="1"/>
  <c r="M21" i="1" s="1"/>
  <c r="O21" i="1" s="1"/>
  <c r="M19" i="1"/>
  <c r="O19" i="1" s="1"/>
  <c r="M18" i="1"/>
  <c r="O18" i="1" s="1"/>
  <c r="M17" i="1"/>
  <c r="O17" i="1" s="1"/>
  <c r="M15" i="1"/>
  <c r="O15" i="1" s="1"/>
  <c r="N18" i="1"/>
  <c r="N22" i="1"/>
  <c r="N17" i="1"/>
  <c r="N21" i="1"/>
  <c r="N24" i="1"/>
  <c r="N16" i="1"/>
  <c r="N20" i="1"/>
  <c r="N19" i="1"/>
  <c r="N23" i="1"/>
  <c r="M24" i="1" l="1"/>
  <c r="O24" i="1" s="1"/>
  <c r="D50" i="7" s="1"/>
  <c r="M23" i="1"/>
  <c r="O23" i="1" s="1"/>
  <c r="D47" i="7" s="1"/>
  <c r="M20" i="1"/>
  <c r="O20" i="1" s="1"/>
  <c r="D37" i="7" s="1"/>
  <c r="M22" i="1"/>
  <c r="O22" i="1" s="1"/>
  <c r="D44" i="7" s="1"/>
  <c r="D29" i="7"/>
  <c r="D28" i="7"/>
  <c r="D27" i="7"/>
  <c r="C26" i="7"/>
  <c r="C25" i="7"/>
  <c r="C24" i="7"/>
  <c r="D26" i="7"/>
  <c r="D24" i="7"/>
  <c r="D25" i="7"/>
  <c r="C47" i="7"/>
  <c r="C45" i="7"/>
  <c r="C46" i="7"/>
  <c r="D41" i="7"/>
  <c r="D40" i="7"/>
  <c r="D39" i="7"/>
  <c r="C39" i="7"/>
  <c r="C41" i="7"/>
  <c r="C40" i="7"/>
  <c r="C43" i="7"/>
  <c r="C42" i="7"/>
  <c r="C44" i="7"/>
  <c r="C31" i="7"/>
  <c r="C32" i="7"/>
  <c r="C30" i="7"/>
  <c r="D23" i="7"/>
  <c r="D21" i="7"/>
  <c r="D22" i="7"/>
  <c r="C50" i="7"/>
  <c r="C49" i="7"/>
  <c r="C48" i="7"/>
  <c r="C35" i="7"/>
  <c r="C33" i="7"/>
  <c r="C34" i="7"/>
  <c r="C38" i="7"/>
  <c r="C37" i="7"/>
  <c r="C36" i="7"/>
  <c r="C29" i="7"/>
  <c r="C27" i="7"/>
  <c r="C28" i="7"/>
  <c r="D35" i="7"/>
  <c r="D33" i="7"/>
  <c r="D34" i="7"/>
  <c r="D31" i="7"/>
  <c r="D32" i="7"/>
  <c r="D30" i="7"/>
  <c r="D48" i="7" l="1"/>
  <c r="D49" i="7"/>
  <c r="D38" i="7"/>
  <c r="D36" i="7"/>
  <c r="D42" i="7"/>
  <c r="D46" i="7"/>
  <c r="D45" i="7"/>
  <c r="D4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1200, 1000, 600, 400, 300, 200, 150, 100, 50, 25
</t>
        </r>
      </text>
    </comment>
    <comment ref="B7" authorId="1" shapeId="0" xr:uid="{00000000-0006-0000-0000-000002000000}">
      <text>
        <r>
          <rPr>
            <sz val="8"/>
            <color rgb="FF000000"/>
            <rFont val="Tahoma"/>
            <family val="2"/>
          </rPr>
          <t>Autocalculated based on ACP specified times</t>
        </r>
      </text>
    </comment>
    <comment ref="B8" authorId="0" shapeId="0" xr:uid="{3C1C451D-6AE0-F242-A53A-80693F934BEF}">
      <text>
        <r>
          <rPr>
            <b/>
            <sz val="10"/>
            <color rgb="FF000000"/>
            <rFont val="Tahoma"/>
            <family val="2"/>
          </rPr>
          <t>Stephen Hinde:</t>
        </r>
        <r>
          <rPr>
            <sz val="10"/>
            <color rgb="FF000000"/>
            <rFont val="Tahoma"/>
            <family val="2"/>
          </rPr>
          <t xml:space="preserve">
</t>
        </r>
        <r>
          <rPr>
            <sz val="10"/>
            <color rgb="FF000000"/>
            <rFont val="Tahoma"/>
            <family val="2"/>
          </rPr>
          <t xml:space="preserve">Name of event
</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F10" authorId="0" shapeId="0" xr:uid="{C2700BB7-AC40-4846-9773-3956CB914942}">
      <text>
        <r>
          <rPr>
            <b/>
            <sz val="10"/>
            <color rgb="FF000000"/>
            <rFont val="Tahoma"/>
            <family val="2"/>
          </rPr>
          <t>Stephen Hinde:</t>
        </r>
        <r>
          <rPr>
            <sz val="10"/>
            <color rgb="FF000000"/>
            <rFont val="Tahoma"/>
            <family val="2"/>
          </rPr>
          <t xml:space="preserve">
</t>
        </r>
        <r>
          <rPr>
            <sz val="10"/>
            <color rgb="FF000000"/>
            <rFont val="Tahoma"/>
            <family val="2"/>
          </rPr>
          <t xml:space="preserve">Optional.  </t>
        </r>
      </text>
    </comment>
    <comment ref="B12"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 ref="F14" authorId="0" shapeId="0" xr:uid="{E6B5DB4F-63CC-9A4E-B02A-4C28633B0FBD}">
      <text>
        <r>
          <rPr>
            <b/>
            <sz val="10"/>
            <color rgb="FF000000"/>
            <rFont val="Tahoma"/>
            <family val="2"/>
          </rPr>
          <t>Stephen Hinde:</t>
        </r>
        <r>
          <rPr>
            <sz val="10"/>
            <color rgb="FF000000"/>
            <rFont val="Tahoma"/>
            <family val="2"/>
          </rPr>
          <t xml:space="preserve">
</t>
        </r>
        <r>
          <rPr>
            <sz val="10"/>
            <color rgb="FF000000"/>
            <rFont val="Tahoma"/>
            <family val="2"/>
          </rPr>
          <t xml:space="preserve">It is recommended to put the type of control in this space ie 
</t>
        </r>
        <r>
          <rPr>
            <sz val="10"/>
            <color rgb="FF000000"/>
            <rFont val="Tahoma"/>
            <family val="2"/>
          </rPr>
          <t xml:space="preserve">STAFFED
</t>
        </r>
        <r>
          <rPr>
            <sz val="10"/>
            <color rgb="FF000000"/>
            <rFont val="Tahoma"/>
            <family val="2"/>
          </rPr>
          <t xml:space="preserve">BUSINESS INFORMATION
</t>
        </r>
        <r>
          <rPr>
            <sz val="10"/>
            <color rgb="FF000000"/>
            <rFont val="Tahoma"/>
            <family val="2"/>
          </rPr>
          <t>SELF CHECK</t>
        </r>
      </text>
    </comment>
  </commentList>
</comments>
</file>

<file path=xl/sharedStrings.xml><?xml version="1.0" encoding="utf-8"?>
<sst xmlns="http://schemas.openxmlformats.org/spreadsheetml/2006/main" count="126" uniqueCount="113">
  <si>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</si>
  <si>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</si>
  <si>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</si>
  <si>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</si>
  <si>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</si>
  <si>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</si>
  <si>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</si>
  <si>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</si>
  <si>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</si>
  <si>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</si>
  <si>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</si>
  <si>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</si>
  <si>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</si>
  <si>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</si>
  <si>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</si>
  <si>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</si>
  <si>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</si>
  <si>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</si>
  <si>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</si>
  <si>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</si>
  <si>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</si>
  <si>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</si>
  <si>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</si>
  <si>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</si>
  <si>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</si>
  <si>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</si>
  <si>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DIST (km)</t>
  </si>
  <si>
    <t>Establishment</t>
  </si>
  <si>
    <t>Time of Passage</t>
  </si>
  <si>
    <t>Control Card</t>
  </si>
  <si>
    <t>Report results or abandonment through registration email link</t>
  </si>
  <si>
    <t>Member #</t>
  </si>
  <si>
    <t>Schedule date:</t>
  </si>
  <si>
    <t>Founding member of LES RANDONNEURS MONDIAUX (1983)</t>
  </si>
  <si>
    <t>Bicycle Type
Circle one</t>
  </si>
  <si>
    <t>-------&gt;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</si>
  <si>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</si>
  <si>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</si>
  <si>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</si>
  <si>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</si>
  <si>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</si>
  <si>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</si>
  <si>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</si>
  <si>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</si>
  <si>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</si>
  <si>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</si>
  <si>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When using information controls, you can put your question in the Signature/Answer section eg Sig/Ans.1 Sign on main door  Sig/Ans. 2  This week's special is?  Sig/Ans. 3 ________________</t>
  </si>
  <si>
    <t>Control Card #1 Information Control Question (optional)</t>
  </si>
  <si>
    <t>Enter the start time.  This will be the official ACP listed start time found on the event page, unless a ride window has been enabled.</t>
  </si>
  <si>
    <t>Enter the start date.  This will be the same as the schedule date, exceot for pre-rides or unless a ride window has been enabled.</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</si>
  <si>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</si>
  <si>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</si>
  <si>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</si>
  <si>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Scroll right to see further instructions</t>
  </si>
  <si>
    <t xml:space="preserve">Card Revised:  </t>
  </si>
  <si>
    <t>You can create 4 control cards  (upto 40 controls) for one event, or 4 control cards (up to 10 controls) with different start loctions for a single event, or 2 sets of 2 control cards.  Control Card #1 will only show '#1' if a distance, not zero, is entered into the first distance box for Control Card #2.  Similarly for Control Card #3 and Control Card #4.  If CC#3 starts at distance 0 and CC#4 has a distance greater than 0, then CC#3 will display as CC#1 and CC#4 will display as CC#2.  This allows for 2 cards for start location 1 and two cards for start location 2.</t>
  </si>
  <si>
    <t>DO NOT MOVE OR DELETE ROWS OR COLUMNS (delete contents of cells only)</t>
  </si>
  <si>
    <t xml:space="preserve">Organizer: </t>
  </si>
  <si>
    <t>Single     Tandem     Fixed     Recumbent     Velomobile</t>
  </si>
  <si>
    <t>Card revised:</t>
  </si>
  <si>
    <t>Template revised:</t>
  </si>
  <si>
    <t>Brevet #</t>
  </si>
  <si>
    <t>Rider:</t>
  </si>
  <si>
    <t>Finish Date:</t>
  </si>
  <si>
    <t>Start time:</t>
  </si>
  <si>
    <t>Finish time:</t>
  </si>
  <si>
    <t>Elapsed time:</t>
  </si>
  <si>
    <t>Organizer phone #</t>
  </si>
  <si>
    <t>Organizer phone number is optional</t>
  </si>
  <si>
    <t>Fill in the Locale (city) for each control.  Establishment 1, 2, and 3 can be used to describe the control itself eg Locale HOPE  Est.1  BUSINESS Est.2 Dairy Queen Est.3 817 Water Ave .  For a secret control, use SECRET as the locale.</t>
  </si>
  <si>
    <t>Fill in the control distance.  The opening and closing times will be automatically calculated based on the start time and the brevet distance.  If you need more than 10 controls, or need an alternate start loction, use card #2, otherwise leave that section blank. (Similarly for cards #3 and #4.)</t>
  </si>
  <si>
    <t>Tim Hortons</t>
  </si>
  <si>
    <t>STAFFED</t>
  </si>
  <si>
    <t>LAKE COWICHAN</t>
  </si>
  <si>
    <t>INFORMATION</t>
  </si>
  <si>
    <t>BUSINESS</t>
  </si>
  <si>
    <t>Visitor Information Centre</t>
  </si>
  <si>
    <t>125C South Shore Rd</t>
  </si>
  <si>
    <t>Around the Lake</t>
  </si>
  <si>
    <t>MILL BAY</t>
  </si>
  <si>
    <t>Deloume Road</t>
  </si>
  <si>
    <t>GLENORA</t>
  </si>
  <si>
    <t>Trails Head Park</t>
  </si>
  <si>
    <t>NITINAT</t>
  </si>
  <si>
    <t>Heather Campsite</t>
  </si>
  <si>
    <t>YOUBOU</t>
  </si>
  <si>
    <t>General Store</t>
  </si>
  <si>
    <t>10480 Youbou Rd</t>
  </si>
  <si>
    <t>Cherry Pt Rd @ Sutherland Dr</t>
  </si>
  <si>
    <t>COWICHAN BAY</t>
  </si>
  <si>
    <t>Sign post with rues</t>
  </si>
  <si>
    <t>512.      738.      804</t>
  </si>
  <si>
    <t>In window, to left of door</t>
  </si>
  <si>
    <t>Bylaw number?</t>
  </si>
  <si>
    <t xml:space="preserve">Bottom of Trail Head Park side.  </t>
  </si>
  <si>
    <t>Picture of which animal?</t>
  </si>
  <si>
    <t>Sign at road</t>
  </si>
  <si>
    <t>Top plate</t>
  </si>
  <si>
    <t>Slopes which way?  Towards</t>
  </si>
  <si>
    <t>ROAD.      LAKE       DOESN'T SLOPE</t>
  </si>
  <si>
    <t>Sign on roof above door</t>
  </si>
  <si>
    <t>Which animal head?</t>
  </si>
  <si>
    <t>COWICHAN STATION</t>
  </si>
  <si>
    <t>Lakeside Rd @ Hillside Rd</t>
  </si>
  <si>
    <t>Right corner</t>
  </si>
  <si>
    <t>Sign for Sunrise Waldorf School</t>
  </si>
  <si>
    <t>Direction of arrow?</t>
  </si>
  <si>
    <t>LEFT.      STRAIGHT.      RIGHT</t>
  </si>
  <si>
    <t>BEAR      BEAVER       ELK</t>
  </si>
  <si>
    <t>Back of stop sign/Cherry Pt sign</t>
  </si>
  <si>
    <t>Yellow sticker.</t>
  </si>
  <si>
    <t>Which year?</t>
  </si>
  <si>
    <t>2000       2016       2023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</si>
</sst>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numFmts>
  <fonts count="37"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sz val="18"/>
      <name val="Arial"/>
      <family val="2"/>
    </font>
    <font>
      <sz val="14"/>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6"/>
      <color rgb="FFFF0000"/>
      <name val="Arial"/>
      <family val="2"/>
    </font>
    <font>
      <sz val="9"/>
      <name val="Arial"/>
      <family val="2"/>
    </font>
    <font>
      <sz val="11"/>
      <name val="Arial Narrow"/>
      <family val="2"/>
    </font>
    <font>
      <sz val="22"/>
      <name val="Arial"/>
      <family val="2"/>
    </font>
    <font>
      <b/>
      <sz val="18"/>
      <name val="Arial"/>
      <family val="2"/>
    </font>
    <font>
      <sz val="14"/>
      <color rgb="FFFF0000"/>
      <name val="Arial"/>
      <family val="2"/>
    </font>
    <font>
      <sz val="11"/>
      <name val="Arial"/>
      <family val="2"/>
    </font>
    <font>
      <sz val="11"/>
      <color rgb="FFFF0000"/>
      <name val="Arial"/>
      <family val="2"/>
    </font>
    <font>
      <b/>
      <sz val="22"/>
      <name val="Arial"/>
      <family val="2"/>
    </font>
    <font>
      <sz val="20"/>
      <name val="Arial Narrow"/>
      <family val="2"/>
    </font>
    <font>
      <b/>
      <sz val="20"/>
      <name val="Arial Narrow"/>
      <family val="2"/>
    </font>
    <font>
      <b/>
      <sz val="12"/>
      <name val="Arial"/>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top/>
      <bottom style="double">
        <color indexed="64"/>
      </bottom>
      <diagonal/>
    </border>
    <border>
      <left style="medium">
        <color auto="1"/>
      </left>
      <right/>
      <top/>
      <bottom style="thin">
        <color auto="1"/>
      </bottom>
      <diagonal/>
    </border>
  </borders>
  <cellStyleXfs count="356">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1" fillId="0" borderId="0"/>
    <xf numFmtId="0" fontId="4" fillId="0" borderId="0"/>
    <xf numFmtId="0" fontId="5" fillId="0" borderId="0"/>
    <xf numFmtId="0" fontId="3" fillId="0" borderId="0"/>
    <xf numFmtId="0" fontId="2" fillId="0" borderId="0"/>
    <xf numFmtId="0" fontId="1"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44">
    <xf numFmtId="0" fontId="0" fillId="0" borderId="0" xfId="0"/>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0" borderId="0" xfId="0" applyAlignment="1">
      <alignment vertical="top" textRotation="90"/>
    </xf>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0" fillId="0" borderId="0" xfId="0" applyAlignment="1">
      <alignment horizontal="center"/>
    </xf>
    <xf numFmtId="0" fontId="10" fillId="0" borderId="0" xfId="0" applyFont="1" applyAlignment="1">
      <alignment horizontal="right"/>
    </xf>
    <xf numFmtId="0" fontId="5" fillId="2" borderId="3" xfId="0" applyFont="1" applyFill="1" applyBorder="1" applyAlignment="1">
      <alignment horizontal="right"/>
    </xf>
    <xf numFmtId="0" fontId="10" fillId="0" borderId="0" xfId="0" applyFont="1" applyAlignment="1">
      <alignment vertical="center"/>
    </xf>
    <xf numFmtId="167" fontId="0" fillId="0" borderId="23" xfId="0" applyNumberFormat="1" applyBorder="1" applyProtection="1">
      <protection locked="0"/>
    </xf>
    <xf numFmtId="168" fontId="10" fillId="0" borderId="0" xfId="0" applyNumberFormat="1" applyFont="1" applyAlignment="1">
      <alignment horizontal="center"/>
    </xf>
    <xf numFmtId="0" fontId="10" fillId="0" borderId="0" xfId="0" applyFont="1" applyAlignment="1">
      <alignment horizontal="center"/>
    </xf>
    <xf numFmtId="18" fontId="20" fillId="0" borderId="0" xfId="0" applyNumberFormat="1" applyFont="1" applyAlignment="1">
      <alignment horizontal="center" wrapText="1"/>
    </xf>
    <xf numFmtId="0" fontId="24" fillId="2" borderId="12" xfId="0" applyFont="1" applyFill="1" applyBorder="1"/>
    <xf numFmtId="0" fontId="24" fillId="2" borderId="10" xfId="0" applyFont="1" applyFill="1" applyBorder="1"/>
    <xf numFmtId="167" fontId="0" fillId="0" borderId="22" xfId="0" applyNumberFormat="1" applyBorder="1" applyProtection="1">
      <protection locked="0"/>
    </xf>
    <xf numFmtId="0" fontId="12" fillId="0" borderId="18" xfId="0" applyFont="1" applyBorder="1" applyProtection="1">
      <protection locked="0"/>
    </xf>
    <xf numFmtId="49" fontId="12" fillId="0" borderId="18" xfId="0" applyNumberFormat="1" applyFont="1" applyBorder="1" applyAlignment="1" applyProtection="1">
      <alignment horizontal="center"/>
      <protection locked="0"/>
    </xf>
    <xf numFmtId="49" fontId="12" fillId="0" borderId="8" xfId="0" applyNumberFormat="1" applyFont="1" applyBorder="1" applyAlignment="1" applyProtection="1">
      <alignment horizontal="center"/>
      <protection locked="0"/>
    </xf>
    <xf numFmtId="0" fontId="12" fillId="0" borderId="2" xfId="0" applyFont="1" applyBorder="1" applyProtection="1">
      <protection locked="0"/>
    </xf>
    <xf numFmtId="1" fontId="12" fillId="0" borderId="4" xfId="0" applyNumberFormat="1" applyFont="1" applyBorder="1" applyProtection="1">
      <protection locked="0"/>
    </xf>
    <xf numFmtId="15" fontId="12" fillId="0" borderId="4" xfId="0" applyNumberFormat="1" applyFont="1" applyBorder="1" applyProtection="1">
      <protection locked="0"/>
    </xf>
    <xf numFmtId="20" fontId="12" fillId="0" borderId="8" xfId="0" applyNumberFormat="1" applyFont="1" applyBorder="1" applyProtection="1">
      <protection locked="0"/>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4" xfId="0" applyFont="1" applyBorder="1" applyProtection="1">
      <protection locked="0"/>
    </xf>
    <xf numFmtId="167" fontId="0" fillId="0" borderId="0" xfId="0" applyNumberFormat="1"/>
    <xf numFmtId="0" fontId="9" fillId="0" borderId="0" xfId="0" applyFont="1"/>
    <xf numFmtId="0" fontId="5" fillId="0" borderId="0" xfId="0" applyFont="1"/>
    <xf numFmtId="0" fontId="0" fillId="2" borderId="26" xfId="0" applyFill="1" applyBorder="1" applyAlignment="1">
      <alignment horizontal="right"/>
    </xf>
    <xf numFmtId="15" fontId="12" fillId="0" borderId="25" xfId="0" applyNumberFormat="1" applyFont="1" applyBorder="1" applyProtection="1">
      <protection locked="0"/>
    </xf>
    <xf numFmtId="0" fontId="5" fillId="2" borderId="27" xfId="0" applyFont="1" applyFill="1" applyBorder="1" applyAlignment="1">
      <alignment horizontal="right"/>
    </xf>
    <xf numFmtId="0" fontId="5" fillId="0" borderId="0" xfId="0" applyFont="1" applyAlignment="1">
      <alignment wrapText="1"/>
    </xf>
    <xf numFmtId="0" fontId="0" fillId="0" borderId="0" xfId="0" applyProtection="1">
      <protection locked="0"/>
    </xf>
    <xf numFmtId="15" fontId="27" fillId="0" borderId="4" xfId="0" applyNumberFormat="1" applyFont="1" applyBorder="1" applyAlignment="1" applyProtection="1">
      <alignment horizontal="center"/>
      <protection locked="0"/>
    </xf>
    <xf numFmtId="0" fontId="26" fillId="2" borderId="27" xfId="0" applyFont="1" applyFill="1" applyBorder="1" applyAlignment="1">
      <alignment horizontal="right"/>
    </xf>
    <xf numFmtId="0" fontId="26" fillId="0" borderId="0" xfId="0" applyFont="1"/>
    <xf numFmtId="0" fontId="26" fillId="0" borderId="0" xfId="0" applyFont="1" applyAlignment="1">
      <alignment wrapText="1"/>
    </xf>
    <xf numFmtId="0" fontId="7" fillId="2" borderId="15" xfId="0" applyFont="1" applyFill="1" applyBorder="1" applyAlignment="1">
      <alignment horizontal="center" wrapText="1"/>
    </xf>
    <xf numFmtId="0" fontId="10" fillId="0" borderId="0" xfId="0" applyFont="1" applyAlignment="1">
      <alignment vertical="center" wrapText="1"/>
    </xf>
    <xf numFmtId="0" fontId="16" fillId="0" borderId="0" xfId="0" applyFont="1"/>
    <xf numFmtId="0" fontId="10" fillId="0" borderId="0" xfId="0" applyFont="1" applyProtection="1">
      <protection locked="0"/>
    </xf>
    <xf numFmtId="0" fontId="11" fillId="0" borderId="0" xfId="0" applyFont="1" applyAlignment="1">
      <alignment vertical="center"/>
    </xf>
    <xf numFmtId="0" fontId="6" fillId="0" borderId="0" xfId="0" applyFont="1" applyAlignment="1">
      <alignment vertical="top"/>
    </xf>
    <xf numFmtId="0" fontId="5" fillId="0" borderId="0" xfId="0" applyFont="1" applyAlignment="1">
      <alignment vertical="top"/>
    </xf>
    <xf numFmtId="0" fontId="0" fillId="0" borderId="0" xfId="0" applyAlignment="1">
      <alignment vertical="top"/>
    </xf>
    <xf numFmtId="0" fontId="11" fillId="0" borderId="0" xfId="0" applyFont="1" applyAlignment="1">
      <alignment horizontal="right" vertical="center"/>
    </xf>
    <xf numFmtId="0" fontId="5" fillId="0" borderId="0" xfId="0" applyFont="1" applyAlignment="1">
      <alignment horizontal="right"/>
    </xf>
    <xf numFmtId="0" fontId="11" fillId="0" borderId="0" xfId="0" applyFont="1" applyAlignment="1">
      <alignment horizontal="left" vertical="center"/>
    </xf>
    <xf numFmtId="0" fontId="11" fillId="0" borderId="29" xfId="0" applyFont="1" applyBorder="1" applyAlignment="1">
      <alignment horizontal="right" vertical="center"/>
    </xf>
    <xf numFmtId="0" fontId="11" fillId="0" borderId="29" xfId="0" applyFont="1" applyBorder="1" applyAlignment="1">
      <alignment vertical="center"/>
    </xf>
    <xf numFmtId="0" fontId="11" fillId="0" borderId="29" xfId="0" applyFont="1" applyBorder="1" applyAlignment="1">
      <alignment horizontal="left" vertical="center"/>
    </xf>
    <xf numFmtId="0" fontId="10" fillId="0" borderId="0" xfId="0" quotePrefix="1" applyFont="1" applyAlignment="1">
      <alignment horizontal="left" vertical="center"/>
    </xf>
    <xf numFmtId="0" fontId="0" fillId="0" borderId="18" xfId="0" applyBorder="1" applyProtection="1">
      <protection locked="0"/>
    </xf>
    <xf numFmtId="0" fontId="28" fillId="0" borderId="0" xfId="0" applyFont="1" applyAlignment="1">
      <alignment horizontal="right" vertical="center"/>
    </xf>
    <xf numFmtId="0" fontId="16" fillId="0" borderId="0" xfId="0" applyFont="1" applyAlignment="1">
      <alignment vertical="top"/>
    </xf>
    <xf numFmtId="18" fontId="20" fillId="0" borderId="18" xfId="0" applyNumberFormat="1" applyFont="1" applyBorder="1" applyAlignment="1">
      <alignment horizontal="center" wrapText="1"/>
    </xf>
    <xf numFmtId="168" fontId="10" fillId="0" borderId="18" xfId="0" applyNumberFormat="1" applyFont="1" applyBorder="1" applyAlignment="1" applyProtection="1">
      <alignment horizontal="center"/>
      <protection locked="0"/>
    </xf>
    <xf numFmtId="0" fontId="10" fillId="0" borderId="0" xfId="0" applyFont="1" applyAlignment="1">
      <alignment horizontal="left" vertical="center"/>
    </xf>
    <xf numFmtId="0" fontId="28" fillId="0" borderId="0" xfId="0" applyFont="1" applyAlignment="1">
      <alignment horizontal="left" vertical="center"/>
    </xf>
    <xf numFmtId="15" fontId="26" fillId="2" borderId="2" xfId="0" applyNumberFormat="1" applyFont="1" applyFill="1" applyBorder="1" applyAlignment="1">
      <alignment horizontal="center"/>
    </xf>
    <xf numFmtId="168" fontId="10" fillId="0" borderId="0" xfId="0" applyNumberFormat="1" applyFont="1" applyAlignment="1" applyProtection="1">
      <alignment horizontal="center"/>
      <protection locked="0"/>
    </xf>
    <xf numFmtId="0" fontId="16" fillId="0" borderId="0" xfId="0" applyFont="1" applyAlignment="1">
      <alignment vertical="center" wrapText="1"/>
    </xf>
    <xf numFmtId="0" fontId="0" fillId="0" borderId="0" xfId="0" applyAlignment="1">
      <alignment horizontal="left"/>
    </xf>
    <xf numFmtId="0" fontId="5" fillId="0" borderId="0" xfId="0" applyFont="1" applyAlignment="1">
      <alignment horizontal="right" vertical="top"/>
    </xf>
    <xf numFmtId="15" fontId="5" fillId="0" borderId="0" xfId="0" applyNumberFormat="1" applyFont="1" applyAlignment="1">
      <alignment horizontal="left"/>
    </xf>
    <xf numFmtId="0" fontId="7" fillId="0" borderId="0" xfId="0" applyFont="1" applyAlignment="1">
      <alignment horizontal="right" vertical="top"/>
    </xf>
    <xf numFmtId="15" fontId="7" fillId="0" borderId="0" xfId="0" applyNumberFormat="1" applyFont="1" applyAlignment="1">
      <alignment horizontal="left"/>
    </xf>
    <xf numFmtId="0" fontId="5" fillId="2" borderId="25" xfId="0" applyFont="1" applyFill="1" applyBorder="1" applyAlignment="1">
      <alignment horizontal="right" vertical="center"/>
    </xf>
    <xf numFmtId="169" fontId="11" fillId="0" borderId="0" xfId="0" applyNumberFormat="1" applyFont="1" applyAlignment="1">
      <alignment vertical="center"/>
    </xf>
    <xf numFmtId="0" fontId="0" fillId="2" borderId="30" xfId="0" applyFill="1" applyBorder="1" applyAlignment="1">
      <alignment horizontal="right"/>
    </xf>
    <xf numFmtId="0" fontId="0" fillId="2" borderId="17" xfId="0" applyFill="1" applyBorder="1"/>
    <xf numFmtId="0" fontId="12" fillId="0" borderId="0" xfId="0" applyFont="1" applyProtection="1">
      <protection locked="0"/>
    </xf>
    <xf numFmtId="0" fontId="32" fillId="0" borderId="0" xfId="0" applyFont="1"/>
    <xf numFmtId="0" fontId="31" fillId="0" borderId="0" xfId="0" applyFont="1"/>
    <xf numFmtId="0" fontId="31" fillId="0" borderId="0" xfId="0" applyFont="1" applyAlignment="1">
      <alignment vertical="top" wrapText="1"/>
    </xf>
    <xf numFmtId="167" fontId="34" fillId="0" borderId="16" xfId="0" applyNumberFormat="1" applyFont="1" applyBorder="1" applyAlignment="1">
      <alignment horizontal="center" wrapText="1"/>
    </xf>
    <xf numFmtId="0" fontId="34" fillId="0" borderId="17" xfId="0" applyFont="1" applyBorder="1" applyAlignment="1">
      <alignment horizontal="center" vertical="center"/>
    </xf>
    <xf numFmtId="0" fontId="35" fillId="0" borderId="16" xfId="0" applyFont="1" applyBorder="1" applyAlignment="1">
      <alignment horizontal="center" vertical="center" wrapText="1"/>
    </xf>
    <xf numFmtId="0" fontId="8" fillId="0" borderId="28" xfId="0" applyFont="1" applyBorder="1"/>
    <xf numFmtId="167" fontId="35" fillId="0" borderId="16" xfId="0" applyNumberFormat="1" applyFont="1" applyBorder="1" applyAlignment="1">
      <alignment horizontal="center" vertical="center"/>
    </xf>
    <xf numFmtId="18" fontId="35" fillId="0" borderId="16" xfId="0" applyNumberFormat="1" applyFont="1" applyBorder="1" applyAlignment="1">
      <alignment horizontal="center" vertical="center" wrapText="1"/>
    </xf>
    <xf numFmtId="0" fontId="8" fillId="0" borderId="16" xfId="0" applyFont="1" applyBorder="1"/>
    <xf numFmtId="167" fontId="34" fillId="0" borderId="7" xfId="0" applyNumberFormat="1" applyFont="1" applyBorder="1"/>
    <xf numFmtId="0" fontId="34" fillId="0" borderId="18" xfId="0" applyFont="1" applyBorder="1" applyAlignment="1">
      <alignment horizontal="center" vertical="center"/>
    </xf>
    <xf numFmtId="0" fontId="35" fillId="0" borderId="7" xfId="0" applyFont="1" applyBorder="1" applyAlignment="1">
      <alignment horizontal="center" vertical="center" wrapText="1"/>
    </xf>
    <xf numFmtId="0" fontId="8" fillId="0" borderId="7" xfId="0" applyFont="1" applyBorder="1"/>
    <xf numFmtId="0" fontId="34" fillId="0" borderId="16" xfId="0" applyFont="1" applyBorder="1" applyAlignment="1">
      <alignment horizontal="center" vertical="center"/>
    </xf>
    <xf numFmtId="166" fontId="20" fillId="0" borderId="16" xfId="0" applyNumberFormat="1" applyFont="1" applyBorder="1" applyAlignment="1">
      <alignment horizontal="center" vertical="center" wrapText="1"/>
    </xf>
    <xf numFmtId="165" fontId="20" fillId="0" borderId="7" xfId="0" applyNumberFormat="1" applyFont="1" applyBorder="1" applyAlignment="1">
      <alignment horizontal="center" vertical="center" wrapText="1"/>
    </xf>
    <xf numFmtId="169" fontId="5" fillId="0" borderId="25" xfId="0" applyNumberFormat="1" applyFont="1" applyBorder="1" applyAlignment="1" applyProtection="1">
      <alignment horizontal="left"/>
      <protection locked="0"/>
    </xf>
    <xf numFmtId="0" fontId="25" fillId="0" borderId="0" xfId="0" applyFont="1" applyAlignment="1">
      <alignment horizontal="center"/>
    </xf>
    <xf numFmtId="0" fontId="12" fillId="0" borderId="25" xfId="0" applyFont="1" applyBorder="1" applyAlignment="1" applyProtection="1">
      <alignment horizontal="center"/>
      <protection locked="0"/>
    </xf>
    <xf numFmtId="0" fontId="31" fillId="0" borderId="0" xfId="0" applyFont="1" applyAlignment="1">
      <alignment horizontal="left" vertical="top" wrapText="1"/>
    </xf>
    <xf numFmtId="0" fontId="30" fillId="0" borderId="0" xfId="0" applyFont="1" applyAlignment="1">
      <alignment horizontal="right"/>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10" fillId="0" borderId="0" xfId="0" applyFont="1" applyAlignment="1">
      <alignment horizontal="right" vertical="center"/>
    </xf>
    <xf numFmtId="15" fontId="0" fillId="0" borderId="0" xfId="0" applyNumberFormat="1" applyAlignment="1">
      <alignment horizontal="left" vertical="top"/>
    </xf>
    <xf numFmtId="0" fontId="0" fillId="0" borderId="0" xfId="0" applyAlignment="1">
      <alignment horizontal="left" vertical="top"/>
    </xf>
    <xf numFmtId="0" fontId="35" fillId="0" borderId="19" xfId="0" applyFont="1" applyBorder="1" applyAlignment="1" applyProtection="1">
      <alignment horizontal="center" vertical="center" wrapText="1"/>
      <protection locked="0"/>
    </xf>
    <xf numFmtId="0" fontId="35" fillId="0" borderId="20"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35" fillId="0" borderId="22" xfId="0"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35" fillId="0" borderId="6" xfId="0" applyFont="1" applyBorder="1" applyAlignment="1" applyProtection="1">
      <alignment horizontal="center" vertical="top" wrapText="1"/>
      <protection locked="0"/>
    </xf>
    <xf numFmtId="0" fontId="35" fillId="0" borderId="0" xfId="0" applyFont="1" applyAlignment="1" applyProtection="1">
      <alignment horizontal="center" vertical="top" wrapText="1"/>
      <protection locked="0"/>
    </xf>
    <xf numFmtId="0" fontId="35" fillId="0" borderId="17" xfId="0" applyFont="1" applyBorder="1" applyAlignment="1" applyProtection="1">
      <alignment horizontal="center" vertical="top" wrapText="1"/>
      <protection locked="0"/>
    </xf>
    <xf numFmtId="0" fontId="29" fillId="0" borderId="0" xfId="0" applyFont="1" applyAlignment="1">
      <alignment horizontal="left" vertical="center"/>
    </xf>
    <xf numFmtId="0" fontId="7" fillId="2" borderId="9" xfId="0" applyFont="1" applyFill="1" applyBorder="1" applyAlignment="1">
      <alignment horizontal="center"/>
    </xf>
    <xf numFmtId="0" fontId="7" fillId="2" borderId="5" xfId="0" applyFont="1" applyFill="1" applyBorder="1" applyAlignment="1">
      <alignment horizontal="center"/>
    </xf>
    <xf numFmtId="0" fontId="7" fillId="2" borderId="10" xfId="0" applyFont="1" applyFill="1" applyBorder="1" applyAlignment="1">
      <alignment horizontal="center"/>
    </xf>
    <xf numFmtId="0" fontId="10" fillId="0" borderId="0" xfId="0" applyFont="1" applyAlignment="1">
      <alignment horizontal="right"/>
    </xf>
    <xf numFmtId="0" fontId="36" fillId="0" borderId="20" xfId="0" applyFont="1" applyBorder="1" applyAlignment="1">
      <alignment horizontal="center" vertical="top"/>
    </xf>
    <xf numFmtId="0" fontId="10" fillId="0" borderId="0" xfId="0" applyFont="1" applyAlignment="1">
      <alignment horizontal="center" vertical="center"/>
    </xf>
    <xf numFmtId="0" fontId="5" fillId="0" borderId="0" xfId="0" applyFont="1" applyAlignment="1">
      <alignment horizontal="left"/>
    </xf>
    <xf numFmtId="0" fontId="18" fillId="0" borderId="18" xfId="0" applyFont="1" applyBorder="1" applyAlignment="1">
      <alignment horizontal="center" vertical="center"/>
    </xf>
    <xf numFmtId="0" fontId="10" fillId="0" borderId="0" xfId="0" applyFont="1" applyAlignment="1">
      <alignment horizontal="right" vertical="center" wrapText="1"/>
    </xf>
    <xf numFmtId="0" fontId="10" fillId="0" borderId="0" xfId="0" applyFont="1" applyAlignment="1">
      <alignment horizontal="left" vertical="center"/>
    </xf>
    <xf numFmtId="2" fontId="0" fillId="0" borderId="0" xfId="0" applyNumberFormat="1" applyAlignment="1">
      <alignment horizontal="center"/>
    </xf>
    <xf numFmtId="2" fontId="0" fillId="0" borderId="18" xfId="0" applyNumberFormat="1" applyBorder="1" applyAlignment="1">
      <alignment horizontal="center"/>
    </xf>
    <xf numFmtId="0" fontId="0" fillId="0" borderId="0" xfId="0" applyAlignment="1">
      <alignment horizontal="center"/>
    </xf>
    <xf numFmtId="0" fontId="0" fillId="0" borderId="18" xfId="0" applyBorder="1" applyAlignment="1">
      <alignment horizontal="center"/>
    </xf>
    <xf numFmtId="0" fontId="33"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vertical="center" wrapText="1"/>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ECF1BBFE-B8D6-B945-BD9D-81491EC69EE0}"/>
            </a:ext>
          </a:extLst>
        </xdr:cNvPr>
        <xdr:cNvPicPr>
          <a:picLocks noChangeAspect="1"/>
        </xdr:cNvPicPr>
      </xdr:nvPicPr>
      <xdr:blipFill>
        <a:blip xmlns:r="http://schemas.openxmlformats.org/officeDocument/2006/relationships" r:embed="rId1"/>
        <a:stretch>
          <a:fillRect/>
        </a:stretch>
      </xdr:blipFill>
      <xdr:spPr>
        <a:xfrm>
          <a:off x="101600" y="430977"/>
          <a:ext cx="1714900" cy="13221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5"/>
  <sheetViews>
    <sheetView showGridLines="0" tabSelected="1" zoomScale="140" zoomScaleNormal="140" zoomScalePageLayoutView="135" workbookViewId="0">
      <selection activeCell="B4" sqref="B4"/>
    </sheetView>
  </sheetViews>
  <sheetFormatPr baseColWidth="10" defaultColWidth="8.83203125" defaultRowHeight="13" x14ac:dyDescent="0.15"/>
  <cols>
    <col min="1" max="1" width="16.5" style="1" customWidth="1"/>
    <col min="2" max="2" width="10.83203125" customWidth="1"/>
    <col min="3" max="3" width="1" style="2" hidden="1" customWidth="1"/>
    <col min="4" max="4" width="8.33203125" customWidth="1"/>
    <col min="5" max="5" width="17" bestFit="1" customWidth="1"/>
    <col min="6" max="11" width="34.1640625" customWidth="1"/>
    <col min="12" max="15" width="17.83203125" hidden="1" customWidth="1"/>
    <col min="16" max="16" width="2.1640625" customWidth="1"/>
  </cols>
  <sheetData>
    <row r="1" spans="1:33" ht="20" customHeight="1" x14ac:dyDescent="0.2">
      <c r="A1" s="103" t="s">
        <v>56</v>
      </c>
      <c r="B1" s="103"/>
      <c r="C1" s="103"/>
      <c r="D1" s="103"/>
      <c r="E1" s="103"/>
      <c r="F1" s="103"/>
      <c r="G1" s="103"/>
      <c r="H1" s="40" t="s">
        <v>53</v>
      </c>
      <c r="Q1" s="105" t="s">
        <v>55</v>
      </c>
      <c r="R1" s="105"/>
      <c r="S1" s="105"/>
      <c r="T1" s="105"/>
      <c r="U1" s="105"/>
      <c r="V1" s="105"/>
      <c r="W1" s="105"/>
      <c r="X1" s="105"/>
      <c r="Y1" s="105"/>
      <c r="Z1" s="105"/>
      <c r="AA1" s="105"/>
      <c r="AB1" s="105"/>
      <c r="AC1" s="105"/>
      <c r="AD1" s="105"/>
      <c r="AE1" s="105"/>
      <c r="AF1" s="105"/>
      <c r="AG1" s="87"/>
    </row>
    <row r="2" spans="1:33" ht="13" customHeight="1" thickBot="1" x14ac:dyDescent="0.2">
      <c r="H2" s="44"/>
      <c r="I2" s="44"/>
      <c r="Q2" s="105"/>
      <c r="R2" s="105"/>
      <c r="S2" s="105"/>
      <c r="T2" s="105"/>
      <c r="U2" s="105"/>
      <c r="V2" s="105"/>
      <c r="W2" s="105"/>
      <c r="X2" s="105"/>
      <c r="Y2" s="105"/>
      <c r="Z2" s="105"/>
      <c r="AA2" s="105"/>
      <c r="AB2" s="105"/>
      <c r="AC2" s="105"/>
      <c r="AD2" s="105"/>
      <c r="AE2" s="105"/>
      <c r="AF2" s="105"/>
      <c r="AG2" s="87"/>
    </row>
    <row r="3" spans="1:33" s="48" customFormat="1" ht="13" customHeight="1" thickBot="1" x14ac:dyDescent="0.2">
      <c r="A3" s="47" t="s">
        <v>52</v>
      </c>
      <c r="B3" s="72">
        <v>45167</v>
      </c>
      <c r="H3" s="49"/>
      <c r="I3" s="49"/>
      <c r="Q3" s="105"/>
      <c r="R3" s="105"/>
      <c r="S3" s="105"/>
      <c r="T3" s="105"/>
      <c r="U3" s="105"/>
      <c r="V3" s="105"/>
      <c r="W3" s="105"/>
      <c r="X3" s="105"/>
      <c r="Y3" s="105"/>
      <c r="Z3" s="105"/>
      <c r="AA3" s="105"/>
      <c r="AB3" s="105"/>
      <c r="AC3" s="105"/>
      <c r="AD3" s="105"/>
      <c r="AE3" s="105"/>
      <c r="AF3" s="105"/>
      <c r="AG3" s="87"/>
    </row>
    <row r="4" spans="1:33" ht="13" customHeight="1" x14ac:dyDescent="0.15">
      <c r="A4" s="43" t="s">
        <v>54</v>
      </c>
      <c r="B4" s="46">
        <v>46184</v>
      </c>
      <c r="C4"/>
      <c r="H4" s="44"/>
      <c r="I4" s="44"/>
      <c r="Q4" s="105"/>
      <c r="R4" s="105"/>
      <c r="S4" s="105"/>
      <c r="T4" s="105"/>
      <c r="U4" s="105"/>
      <c r="V4" s="105"/>
      <c r="W4" s="105"/>
      <c r="X4" s="105"/>
      <c r="Y4" s="105"/>
      <c r="Z4" s="105"/>
      <c r="AA4" s="105"/>
      <c r="AB4" s="105"/>
      <c r="AC4" s="105"/>
      <c r="AD4" s="105"/>
      <c r="AE4" s="105"/>
      <c r="AF4" s="105"/>
      <c r="AG4" s="87"/>
    </row>
    <row r="5" spans="1:33" ht="7" customHeight="1" thickBot="1" x14ac:dyDescent="0.2">
      <c r="H5" s="44"/>
      <c r="I5" s="44"/>
      <c r="Q5" s="87"/>
      <c r="R5" s="87"/>
      <c r="S5" s="87"/>
      <c r="T5" s="87"/>
      <c r="U5" s="87"/>
      <c r="V5" s="87"/>
      <c r="W5" s="87"/>
      <c r="X5" s="87"/>
      <c r="Y5" s="87"/>
      <c r="Z5" s="87"/>
      <c r="AA5" s="87"/>
      <c r="AB5" s="87"/>
      <c r="AC5" s="87"/>
      <c r="AD5" s="87"/>
      <c r="AE5" s="87"/>
      <c r="AF5" s="87"/>
      <c r="AG5" s="87"/>
    </row>
    <row r="6" spans="1:33" ht="18" x14ac:dyDescent="0.2">
      <c r="A6" s="10" t="s">
        <v>15</v>
      </c>
      <c r="B6" s="30">
        <v>200</v>
      </c>
      <c r="C6">
        <f>IF(Brevet_Length&gt;=1200,Brevet_Length,IF(Brevet_Length&gt;=1000,1000,IF(Brevet_Length&gt;=600,600,IF(Brevet_Length&gt;=400,400,IF(Brevet_Length&gt;=300,300,IF(Brevet_Length&gt;=200,200,100))))))</f>
        <v>200</v>
      </c>
      <c r="J6" s="106" t="s">
        <v>40</v>
      </c>
      <c r="K6" s="106"/>
      <c r="Q6" s="85" t="s">
        <v>41</v>
      </c>
      <c r="R6" s="85"/>
      <c r="S6" s="85"/>
      <c r="T6" s="85"/>
      <c r="U6" s="85"/>
      <c r="V6" s="85"/>
      <c r="W6" s="85"/>
      <c r="X6" s="86"/>
      <c r="Y6" s="86"/>
      <c r="Z6" s="86"/>
    </row>
    <row r="7" spans="1:33" ht="14" x14ac:dyDescent="0.15">
      <c r="A7" s="11" t="s">
        <v>16</v>
      </c>
      <c r="B7" s="83">
        <f>IF(brevet=1200,90,IF(brevet=1000,75,IF(brevet=600,40,IF(brevet=400,27,IF(brevet=300,20,IF(brevet=200,13.5,IF(brevet&lt;200,L7,0)))))))</f>
        <v>13.5</v>
      </c>
      <c r="L7">
        <f>IF(Brevet_Length=150,10.5,IF(Brevet_Length=100,7,IF(Brevet_Length=50,3.5,IF(Brevet_Length=25, 2,0))))</f>
        <v>0</v>
      </c>
      <c r="Q7" s="86" t="s">
        <v>42</v>
      </c>
      <c r="R7" s="86"/>
      <c r="S7" s="86"/>
      <c r="T7" s="86"/>
      <c r="U7" s="86"/>
      <c r="V7" s="86"/>
      <c r="W7" s="86"/>
      <c r="X7" s="86"/>
      <c r="Y7" s="86"/>
      <c r="Z7" s="86"/>
    </row>
    <row r="8" spans="1:33" ht="18" x14ac:dyDescent="0.2">
      <c r="A8" s="82" t="s">
        <v>17</v>
      </c>
      <c r="B8" s="104" t="s">
        <v>78</v>
      </c>
      <c r="C8" s="104"/>
      <c r="D8" s="104"/>
      <c r="E8" s="104"/>
      <c r="F8" s="104"/>
      <c r="G8" s="84"/>
      <c r="H8" s="84"/>
      <c r="I8" s="16"/>
      <c r="J8" s="16"/>
      <c r="K8" s="16"/>
      <c r="Q8" s="85" t="s">
        <v>43</v>
      </c>
      <c r="R8" s="86"/>
      <c r="S8" s="86"/>
      <c r="T8" s="86"/>
      <c r="U8" s="86"/>
      <c r="V8" s="86"/>
      <c r="W8" s="86"/>
      <c r="X8" s="86"/>
      <c r="Y8" s="86"/>
      <c r="Z8" s="86"/>
    </row>
    <row r="9" spans="1:33" ht="18" x14ac:dyDescent="0.2">
      <c r="A9" s="11" t="s">
        <v>18</v>
      </c>
      <c r="B9" s="31">
        <v>5637</v>
      </c>
      <c r="C9" s="13"/>
      <c r="F9" s="14"/>
      <c r="G9" s="14"/>
      <c r="H9" s="14"/>
      <c r="I9" s="14"/>
      <c r="J9" s="14"/>
      <c r="K9" s="14"/>
      <c r="Q9" s="85" t="s">
        <v>44</v>
      </c>
      <c r="R9" s="86"/>
      <c r="S9" s="86"/>
      <c r="T9" s="86"/>
      <c r="U9" s="86"/>
      <c r="V9" s="86"/>
      <c r="W9" s="86"/>
      <c r="X9" s="86"/>
      <c r="Y9" s="86"/>
      <c r="Z9" s="86"/>
    </row>
    <row r="10" spans="1:33" ht="18" x14ac:dyDescent="0.2">
      <c r="A10" s="18" t="s">
        <v>32</v>
      </c>
      <c r="B10" s="32">
        <v>46186</v>
      </c>
      <c r="E10" s="80" t="s">
        <v>67</v>
      </c>
      <c r="F10" s="102">
        <v>2505880457</v>
      </c>
      <c r="Q10" s="85" t="s">
        <v>45</v>
      </c>
      <c r="R10" s="86"/>
      <c r="S10" s="86"/>
      <c r="T10" s="86"/>
      <c r="U10" s="86"/>
      <c r="V10" s="86"/>
      <c r="W10" s="86"/>
      <c r="X10" s="86"/>
      <c r="Y10" s="86"/>
      <c r="Z10" s="86"/>
    </row>
    <row r="11" spans="1:33" ht="6" customHeight="1" x14ac:dyDescent="0.15">
      <c r="B11" s="45"/>
      <c r="Q11" s="86"/>
      <c r="R11" s="86"/>
      <c r="S11" s="86"/>
      <c r="T11" s="86"/>
      <c r="U11" s="86"/>
      <c r="V11" s="86"/>
      <c r="W11" s="86"/>
      <c r="X11" s="86"/>
      <c r="Y11" s="86"/>
      <c r="Z11" s="86"/>
    </row>
    <row r="12" spans="1:33" ht="18" customHeight="1" thickBot="1" x14ac:dyDescent="0.25">
      <c r="A12" s="41" t="s">
        <v>19</v>
      </c>
      <c r="B12" s="42">
        <v>46186</v>
      </c>
      <c r="Q12" s="85" t="s">
        <v>49</v>
      </c>
      <c r="R12" s="86"/>
      <c r="S12" s="86"/>
      <c r="T12" s="86"/>
      <c r="U12" s="86"/>
      <c r="V12" s="86"/>
      <c r="W12" s="86"/>
      <c r="X12" s="86"/>
      <c r="Y12" s="86"/>
      <c r="Z12" s="86"/>
    </row>
    <row r="13" spans="1:33" ht="19" thickBot="1" x14ac:dyDescent="0.25">
      <c r="A13" s="9" t="s">
        <v>20</v>
      </c>
      <c r="B13" s="33">
        <v>0.29166666666666669</v>
      </c>
      <c r="D13" s="107" t="s">
        <v>51</v>
      </c>
      <c r="E13" s="108"/>
      <c r="F13" s="108"/>
      <c r="G13" s="108"/>
      <c r="H13" s="108"/>
      <c r="I13" s="109" t="s">
        <v>47</v>
      </c>
      <c r="J13" s="108"/>
      <c r="K13" s="110"/>
      <c r="Q13" s="85" t="s">
        <v>48</v>
      </c>
      <c r="R13" s="86"/>
      <c r="S13" s="86"/>
      <c r="T13" s="86"/>
      <c r="U13" s="86"/>
      <c r="V13" s="86"/>
      <c r="W13" s="86"/>
      <c r="X13" s="86"/>
      <c r="Y13" s="86"/>
      <c r="Z13" s="86"/>
    </row>
    <row r="14" spans="1:33" ht="15" thickBot="1" x14ac:dyDescent="0.2">
      <c r="D14" s="5" t="s">
        <v>21</v>
      </c>
      <c r="E14" s="6" t="s">
        <v>22</v>
      </c>
      <c r="F14" s="24" t="s">
        <v>23</v>
      </c>
      <c r="G14" s="24" t="s">
        <v>24</v>
      </c>
      <c r="H14" s="25" t="s">
        <v>25</v>
      </c>
      <c r="I14" s="6" t="s">
        <v>37</v>
      </c>
      <c r="J14" s="6" t="s">
        <v>38</v>
      </c>
      <c r="K14" s="7" t="s">
        <v>39</v>
      </c>
      <c r="L14" t="s">
        <v>0</v>
      </c>
      <c r="M14" t="s">
        <v>1</v>
      </c>
      <c r="N14" t="s">
        <v>2</v>
      </c>
      <c r="O14" t="s">
        <v>3</v>
      </c>
      <c r="Q14" s="85" t="s">
        <v>68</v>
      </c>
      <c r="R14" s="86"/>
      <c r="S14" s="86"/>
      <c r="T14" s="86"/>
      <c r="U14" s="86"/>
      <c r="V14" s="86"/>
      <c r="W14" s="86"/>
      <c r="X14" s="86"/>
      <c r="Y14" s="86"/>
      <c r="Z14" s="86"/>
    </row>
    <row r="15" spans="1:33" ht="17" customHeight="1" x14ac:dyDescent="0.15">
      <c r="C15" s="2" t="s">
        <v>4</v>
      </c>
      <c r="D15" s="15">
        <v>0</v>
      </c>
      <c r="E15" s="34" t="s">
        <v>79</v>
      </c>
      <c r="F15" s="35" t="s">
        <v>72</v>
      </c>
      <c r="G15" s="35" t="s">
        <v>71</v>
      </c>
      <c r="H15" s="35" t="s">
        <v>80</v>
      </c>
      <c r="I15" s="35"/>
      <c r="J15" s="35"/>
      <c r="K15" s="36"/>
      <c r="L15" s="3">
        <f>Start_date+Start_time</f>
        <v>46186.291666666664</v>
      </c>
      <c r="M15" s="3">
        <f>L15+"1:00"</f>
        <v>46186.333333333328</v>
      </c>
      <c r="N15" s="4">
        <f>IF(ISBLANK(Distance),"",Open Control_1)</f>
        <v>46186.291666666664</v>
      </c>
      <c r="O15" s="4">
        <f>IF(ISBLANK(Distance),"",Close Control_1)</f>
        <v>46186.333333333328</v>
      </c>
      <c r="Q15" s="85" t="s">
        <v>70</v>
      </c>
      <c r="R15" s="86"/>
      <c r="S15" s="86"/>
      <c r="T15" s="86"/>
      <c r="U15" s="86"/>
      <c r="V15" s="86"/>
      <c r="W15" s="86"/>
      <c r="X15" s="86"/>
      <c r="Y15" s="86"/>
      <c r="Z15" s="86"/>
    </row>
    <row r="16" spans="1:33" ht="17" customHeight="1" x14ac:dyDescent="0.15">
      <c r="B16" s="38"/>
      <c r="C16" s="2" t="s">
        <v>5</v>
      </c>
      <c r="D16" s="15">
        <v>39.799999999999997</v>
      </c>
      <c r="E16" s="34" t="s">
        <v>81</v>
      </c>
      <c r="F16" s="35" t="s">
        <v>74</v>
      </c>
      <c r="G16" s="35" t="s">
        <v>82</v>
      </c>
      <c r="H16" s="36" t="s">
        <v>90</v>
      </c>
      <c r="I16" s="35" t="s">
        <v>94</v>
      </c>
      <c r="J16" s="35" t="s">
        <v>93</v>
      </c>
      <c r="K16" s="35" t="s">
        <v>91</v>
      </c>
      <c r="L16">
        <f>IF(ISBLANK(Distance),"",IF(Distance&gt;1000,(Distance-1000)/26+33.0847,(IF(Distance&gt;600,(Distance-600)/28+18.799,(IF(Distance&gt;400,(Distance-400)/30+12.1324,(IF(Distance&gt;200,(Distance-200)/32+5.8824,Distance/34))))))))</f>
        <v>1.1705882352941175</v>
      </c>
      <c r="M16">
        <f>IF(ISBLANK(Distance),"",IF(Distance&gt;=brevet,D16200IF(brevet&gt;1200,(brevet-1200)*75/1000+90,Max_time),IF(Distance&gt;1200,(Distance-1200)*75/1000+90,IF(Distance&gt;1000,(Distance-1000)/(1000/75)+75,IF(Distance&gt;600,(Distance-600)/(400/35)+40,IF(Distance&lt;=60,(Distance/20+1),Distance/15))))))</f>
        <v>2.9899999999999998</v>
      </c>
      <c r="N16" s="4">
        <f>IF(ISBLANK(Distance),"",Open_time Control_1+(INT(Open)&amp;":"&amp;IF(ROUND(((Open-INT(Open))*60),0)&lt;10,0,"")&amp;ROUND(((Open-INT(Open))*60),0)))</f>
        <v>46186.340277777774</v>
      </c>
      <c r="O16" s="4">
        <f>IF(ISBLANK(Distance),"",Open_time Control_1+(INT(Close)&amp;":"&amp;IF(ROUND(((Close-INT(Close))*60),0)&lt;10,0,"")&amp;ROUND(((Close-INT(Close))*60),0)))</f>
        <v>46186.415972222218</v>
      </c>
      <c r="Q16" s="85" t="s">
        <v>69</v>
      </c>
      <c r="R16" s="86"/>
      <c r="S16" s="86"/>
      <c r="T16" s="86"/>
      <c r="U16" s="86"/>
      <c r="V16" s="86"/>
      <c r="W16" s="86"/>
      <c r="X16" s="86"/>
      <c r="Y16" s="86"/>
      <c r="Z16" s="86"/>
    </row>
    <row r="17" spans="2:26" ht="17" customHeight="1" x14ac:dyDescent="0.15">
      <c r="B17" s="38"/>
      <c r="C17" s="2" t="s">
        <v>6</v>
      </c>
      <c r="D17" s="15">
        <v>61.9</v>
      </c>
      <c r="E17" s="34" t="s">
        <v>73</v>
      </c>
      <c r="F17" s="35" t="s">
        <v>74</v>
      </c>
      <c r="G17" s="35" t="s">
        <v>76</v>
      </c>
      <c r="H17" s="36" t="s">
        <v>77</v>
      </c>
      <c r="I17" s="35" t="s">
        <v>92</v>
      </c>
      <c r="J17" s="35" t="s">
        <v>95</v>
      </c>
      <c r="K17" s="36" t="s">
        <v>108</v>
      </c>
      <c r="L17">
        <f>IF(ISBLANK(Distance),"",IF(Distance&gt;1000,(Distance-1000)/26+33.0847,(IF(Distance&gt;600,(Distance-600)/28+18.799,(IF(Distance&gt;400,(Distance-400)/30+12.1324,(IF(Distance&gt;200,(Distance-200)/32+5.8824,Distance/34))))))))</f>
        <v>1.8205882352941176</v>
      </c>
      <c r="M17">
        <f t="shared" ref="M17:M24" si="0">IF(ISBLANK(Distance),"",IF(Distance&gt;=brevet,IF(brevet&gt;1200,(brevet-1200)*75/1000+90,Max_time),IF(Distance&gt;1200,(Distance-1200)*75/1000+90,IF(Distance&gt;1000,(Distance-1000)/(1000/75)+75,IF(Distance&gt;600,(Distance-600)/(400/35)+40,IF(Distance&lt;=60,(Distance/20+1),Distance/15))))))</f>
        <v>4.1266666666666669</v>
      </c>
      <c r="N17" s="4">
        <f>IF(ISBLANK(Distance),"",Open_time Control_1+(INT(Open)&amp;":"&amp;IF(ROUND(((Open-INT(Open))*60),0)&lt;10,0,"")&amp;ROUND(((Open-INT(Open))*60),0)))</f>
        <v>46186.367361111108</v>
      </c>
      <c r="O17" s="4">
        <f>IF(ISBLANK(Distance),"",Open_time Control_1+(INT(Close)&amp;":"&amp;IF(ROUND(((Close-INT(Close))*60),0)&lt;10,0,"")&amp;ROUND(((Close-INT(Close))*60),0)))</f>
        <v>46186.463888888888</v>
      </c>
      <c r="Q17" s="85" t="s">
        <v>46</v>
      </c>
      <c r="R17" s="86"/>
      <c r="S17" s="86"/>
      <c r="T17" s="86"/>
      <c r="U17" s="86"/>
      <c r="V17" s="86"/>
      <c r="W17" s="86"/>
      <c r="X17" s="86"/>
      <c r="Y17" s="86"/>
      <c r="Z17" s="86"/>
    </row>
    <row r="18" spans="2:26" ht="17" customHeight="1" x14ac:dyDescent="0.15">
      <c r="B18" s="38"/>
      <c r="C18" s="2" t="s">
        <v>7</v>
      </c>
      <c r="D18" s="15">
        <v>100</v>
      </c>
      <c r="E18" s="34" t="s">
        <v>83</v>
      </c>
      <c r="F18" s="35" t="s">
        <v>74</v>
      </c>
      <c r="G18" s="35" t="s">
        <v>84</v>
      </c>
      <c r="H18" s="36" t="s">
        <v>96</v>
      </c>
      <c r="I18" s="35" t="s">
        <v>97</v>
      </c>
      <c r="J18" s="35" t="s">
        <v>98</v>
      </c>
      <c r="K18" s="36" t="s">
        <v>99</v>
      </c>
      <c r="L18">
        <f t="shared" ref="L18:L24" si="1">IF(ISBLANK(Distance),"",IF(Distance&gt;1000,(Distance-1000)/26+33.0847,(IF(Distance&gt;600,(Distance-600)/28+18.799,(IF(Distance&gt;400,(Distance-400)/30+12.1324,(IF(Distance&gt;200,(Distance-200)/32+5.8824,Distance/34))))))))</f>
        <v>2.9411764705882355</v>
      </c>
      <c r="M18">
        <f t="shared" si="0"/>
        <v>6.666666666666667</v>
      </c>
      <c r="N18" s="4">
        <f>IF(ISBLANK(Distance),"",Open_time Control_1+(INT(Open)&amp;":"&amp;IF(ROUND(((Open-INT(Open))*60),0)&lt;10,0,"")&amp;ROUND(((Open-INT(Open))*60),0)))</f>
        <v>46186.413888888885</v>
      </c>
      <c r="O18" s="4">
        <f>IF(ISBLANK(Distance),"",Open_time Control_1+(INT(Close)&amp;":"&amp;IF(ROUND(((Close-INT(Close))*60),0)&lt;10,0,"")&amp;ROUND(((Close-INT(Close))*60),0)))</f>
        <v>46186.569444444445</v>
      </c>
    </row>
    <row r="19" spans="2:26" ht="17" customHeight="1" x14ac:dyDescent="0.15">
      <c r="B19" s="38"/>
      <c r="C19" s="2" t="s">
        <v>8</v>
      </c>
      <c r="D19" s="15">
        <v>121.2</v>
      </c>
      <c r="E19" s="34" t="s">
        <v>85</v>
      </c>
      <c r="F19" s="35" t="s">
        <v>74</v>
      </c>
      <c r="G19" s="35" t="s">
        <v>86</v>
      </c>
      <c r="H19" s="36" t="s">
        <v>87</v>
      </c>
      <c r="I19" s="35" t="s">
        <v>100</v>
      </c>
      <c r="J19" s="35" t="s">
        <v>101</v>
      </c>
      <c r="K19" s="36" t="s">
        <v>108</v>
      </c>
      <c r="L19">
        <f t="shared" si="1"/>
        <v>3.5647058823529414</v>
      </c>
      <c r="M19">
        <f t="shared" si="0"/>
        <v>8.08</v>
      </c>
      <c r="N19" s="4">
        <f>IF(ISBLANK(Distance),"",Open_time Control_1+(INT(Open)&amp;":"&amp;IF(ROUND(((Open-INT(Open))*60),0)&lt;10,0,"")&amp;ROUND(((Open-INT(Open))*60),0)))</f>
        <v>46186.440277777772</v>
      </c>
      <c r="O19" s="4">
        <f>IF(ISBLANK(Distance),"",Open_time Control_1+(INT(Close)&amp;":"&amp;IF(ROUND(((Close-INT(Close))*60),0)&lt;10,0,"")&amp;ROUND(((Close-INT(Close))*60),0)))</f>
        <v>46186.628472222219</v>
      </c>
      <c r="Q19" s="40"/>
    </row>
    <row r="20" spans="2:26" ht="17" customHeight="1" x14ac:dyDescent="0.15">
      <c r="B20" s="38"/>
      <c r="C20" s="2" t="s">
        <v>9</v>
      </c>
      <c r="D20" s="15">
        <v>175.5</v>
      </c>
      <c r="E20" s="34" t="s">
        <v>102</v>
      </c>
      <c r="F20" s="35" t="s">
        <v>74</v>
      </c>
      <c r="G20" s="35" t="s">
        <v>103</v>
      </c>
      <c r="H20" s="36" t="s">
        <v>104</v>
      </c>
      <c r="I20" s="35" t="s">
        <v>105</v>
      </c>
      <c r="J20" s="35" t="s">
        <v>106</v>
      </c>
      <c r="K20" s="36" t="s">
        <v>107</v>
      </c>
      <c r="L20">
        <f t="shared" si="1"/>
        <v>5.1617647058823533</v>
      </c>
      <c r="M20">
        <f t="shared" si="0"/>
        <v>11.7</v>
      </c>
      <c r="N20" s="4">
        <f>IF(ISBLANK(Distance),"",Open_time Control_1+(INT(Open)&amp;":"&amp;IF(ROUND(((Open-INT(Open))*60),0)&lt;10,0,"")&amp;ROUND(((Open-INT(Open))*60),0)))</f>
        <v>46186.506944444445</v>
      </c>
      <c r="O20" s="4">
        <f>IF(ISBLANK(Distance),"",Open_time Control_1+(INT(Close)&amp;":"&amp;IF(ROUND(((Close-INT(Close))*60),0)&lt;10,0,"")&amp;ROUND(((Close-INT(Close))*60),0)))</f>
        <v>46186.779166666667</v>
      </c>
    </row>
    <row r="21" spans="2:26" ht="17" customHeight="1" x14ac:dyDescent="0.15">
      <c r="B21" s="38"/>
      <c r="C21" s="2" t="s">
        <v>10</v>
      </c>
      <c r="D21" s="15">
        <v>187.3</v>
      </c>
      <c r="E21" s="34" t="s">
        <v>89</v>
      </c>
      <c r="F21" s="35" t="s">
        <v>74</v>
      </c>
      <c r="G21" s="35" t="s">
        <v>88</v>
      </c>
      <c r="H21" s="36" t="s">
        <v>109</v>
      </c>
      <c r="I21" s="35" t="s">
        <v>110</v>
      </c>
      <c r="J21" s="35" t="s">
        <v>111</v>
      </c>
      <c r="K21" s="36" t="s">
        <v>112</v>
      </c>
      <c r="L21">
        <f t="shared" si="1"/>
        <v>5.5088235294117647</v>
      </c>
      <c r="M21">
        <f t="shared" si="0"/>
        <v>12.486666666666668</v>
      </c>
      <c r="N21" s="4">
        <f>IF(ISBLANK(Distance),"",Open_time Control_1+(INT(Open)&amp;":"&amp;IF(ROUND(((Open-INT(Open))*60),0)&lt;10,0,"")&amp;ROUND(((Open-INT(Open))*60),0)))</f>
        <v>46186.521527777775</v>
      </c>
      <c r="O21" s="4">
        <f>IF(ISBLANK(Distance),"",Open_time Control_1+(INT(Close)&amp;":"&amp;IF(ROUND(((Close-INT(Close))*60),0)&lt;10,0,"")&amp;ROUND(((Close-INT(Close))*60),0)))</f>
        <v>46186.811805555553</v>
      </c>
    </row>
    <row r="22" spans="2:26" ht="17" customHeight="1" x14ac:dyDescent="0.15">
      <c r="B22" s="38"/>
      <c r="C22" s="2" t="s">
        <v>11</v>
      </c>
      <c r="D22" s="15">
        <v>202.4</v>
      </c>
      <c r="E22" s="34" t="s">
        <v>79</v>
      </c>
      <c r="F22" s="35" t="s">
        <v>75</v>
      </c>
      <c r="G22" s="35" t="s">
        <v>71</v>
      </c>
      <c r="H22" s="36" t="s">
        <v>80</v>
      </c>
      <c r="I22" s="35"/>
      <c r="J22" s="35"/>
      <c r="K22" s="36"/>
      <c r="L22">
        <f t="shared" si="1"/>
        <v>5.9573999999999998</v>
      </c>
      <c r="M22">
        <f t="shared" si="0"/>
        <v>13.5</v>
      </c>
      <c r="N22" s="4">
        <f>IF(ISBLANK(Distance),"",Open_time Control_1+(INT(Open)&amp;":"&amp;IF(ROUND(((Open-INT(Open))*60),0)&lt;10,0,"")&amp;ROUND(((Open-INT(Open))*60),0)))</f>
        <v>46186.539583333331</v>
      </c>
      <c r="O22" s="4">
        <f>IF(ISBLANK(Distance),"",Open_time Control_1+(INT(Close)&amp;":"&amp;IF(ROUND(((Close-INT(Close))*60),0)&lt;10,0,"")&amp;ROUND(((Close-INT(Close))*60),0)))</f>
        <v>46186.854166666664</v>
      </c>
    </row>
    <row r="23" spans="2:26" ht="17" customHeight="1" x14ac:dyDescent="0.15">
      <c r="B23" s="38"/>
      <c r="C23" s="2" t="s">
        <v>12</v>
      </c>
      <c r="D23" s="15"/>
      <c r="E23" s="34"/>
      <c r="F23" s="35"/>
      <c r="G23" s="35"/>
      <c r="H23" s="36"/>
      <c r="I23" s="35"/>
      <c r="J23" s="35"/>
      <c r="K23" s="36"/>
      <c r="L23" t="str">
        <f t="shared" si="1"/>
        <v/>
      </c>
      <c r="M23" t="str">
        <f t="shared" si="0"/>
        <v/>
      </c>
      <c r="N23" s="4" t="str">
        <f>IF(ISBLANK(Distance),"",Open_time Control_1+(INT(Open)&amp;":"&amp;IF(ROUND(((Open-INT(Open))*60),0)&lt;10,0,"")&amp;ROUND(((Open-INT(Open))*60),0)))</f>
        <v/>
      </c>
      <c r="O23" s="4" t="str">
        <f>IF(ISBLANK(Distance),"",Open_time Control_1+(INT(Close)&amp;":"&amp;IF(ROUND(((Close-INT(Close))*60),0)&lt;10,0,"")&amp;ROUND(((Close-INT(Close))*60),0)))</f>
        <v/>
      </c>
    </row>
    <row r="24" spans="2:26" ht="17" customHeight="1" thickBot="1" x14ac:dyDescent="0.2">
      <c r="B24" s="38"/>
      <c r="C24" s="2" t="s">
        <v>13</v>
      </c>
      <c r="D24" s="20"/>
      <c r="E24" s="37"/>
      <c r="F24" s="35"/>
      <c r="G24" s="35"/>
      <c r="H24" s="36"/>
      <c r="I24" s="36"/>
      <c r="J24" s="35"/>
      <c r="K24" s="36"/>
      <c r="L24" t="str">
        <f t="shared" si="1"/>
        <v/>
      </c>
      <c r="M24" t="str">
        <f t="shared" si="0"/>
        <v/>
      </c>
      <c r="N24" s="4" t="str">
        <f>IF(ISBLANK(Distance),"",Open_time Control_1+(INT(Open)&amp;":"&amp;IF(ROUND(((Open-INT(Open))*60),0)&lt;10,0,"")&amp;ROUND(((Open-INT(Open))*60),0)))</f>
        <v/>
      </c>
      <c r="O24" s="4" t="str">
        <f>IF(ISBLANK(Distance),"",Open_time Control_1+(INT(Close)&amp;":"&amp;IF(ROUND(((Close-INT(Close))*60),0)&lt;10,0,"")&amp;ROUND(((Close-INT(Close))*60),0)))</f>
        <v/>
      </c>
    </row>
    <row r="25" spans="2:26" ht="7" customHeight="1" thickBot="1" x14ac:dyDescent="0.25">
      <c r="D25" s="26"/>
      <c r="E25" s="27"/>
      <c r="F25" s="28"/>
      <c r="G25" s="28"/>
      <c r="H25" s="28"/>
      <c r="I25" s="28"/>
      <c r="J25" s="28"/>
      <c r="K25" s="29"/>
      <c r="N25" s="4"/>
      <c r="O25" s="4"/>
    </row>
  </sheetData>
  <sheetProtection formatCells="0" selectLockedCells="1"/>
  <mergeCells count="6">
    <mergeCell ref="A1:G1"/>
    <mergeCell ref="B8:F8"/>
    <mergeCell ref="Q1:AF4"/>
    <mergeCell ref="J6:K6"/>
    <mergeCell ref="D13:H13"/>
    <mergeCell ref="I13:K13"/>
  </mergeCells>
  <phoneticPr fontId="13"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4ED8-B2B3-3C4A-953E-40C153A6C07C}">
  <sheetPr>
    <pageSetUpPr fitToPage="1"/>
  </sheetPr>
  <dimension ref="B1:O57"/>
  <sheetViews>
    <sheetView view="pageLayout" zoomScale="75" zoomScaleNormal="115" zoomScalePageLayoutView="75" workbookViewId="0">
      <selection activeCell="F38" sqref="F38"/>
    </sheetView>
  </sheetViews>
  <sheetFormatPr baseColWidth="10" defaultColWidth="8.83203125" defaultRowHeight="13" x14ac:dyDescent="0.15"/>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x14ac:dyDescent="0.15">
      <c r="K1" s="75"/>
      <c r="L1" s="75"/>
      <c r="M1" s="75"/>
    </row>
    <row r="2" spans="2:15" ht="18" x14ac:dyDescent="0.2">
      <c r="C2" s="133" t="s">
        <v>33</v>
      </c>
      <c r="D2" s="133"/>
      <c r="E2" s="133"/>
      <c r="F2" s="133"/>
      <c r="G2" s="55"/>
      <c r="H2" s="55"/>
      <c r="I2" s="78" t="s">
        <v>59</v>
      </c>
      <c r="J2" s="79">
        <f>'Control Entry'!B4</f>
        <v>46184</v>
      </c>
      <c r="K2" s="55"/>
      <c r="L2" s="55"/>
    </row>
    <row r="3" spans="2:15" ht="45" customHeight="1" x14ac:dyDescent="0.45">
      <c r="D3" s="12"/>
      <c r="E3" s="142" t="s">
        <v>29</v>
      </c>
      <c r="F3" s="142"/>
      <c r="G3" s="142"/>
      <c r="H3" s="142"/>
      <c r="I3" s="66" t="s">
        <v>61</v>
      </c>
      <c r="J3" s="71">
        <f>IF(ISBLANK(Brevet_Number),"",Brevet_Number)</f>
        <v>5637</v>
      </c>
      <c r="K3" s="39"/>
      <c r="L3" s="39"/>
    </row>
    <row r="4" spans="2:15" ht="20" customHeight="1" x14ac:dyDescent="0.15">
      <c r="C4" s="12"/>
      <c r="E4" s="143" t="str">
        <f>IF(ISBLANK(Brevet_Length),"",Brevet_Length&amp;" km Randonnée")</f>
        <v>200 km Randonnée</v>
      </c>
      <c r="F4" s="143"/>
      <c r="G4" s="143"/>
      <c r="H4" s="143"/>
      <c r="K4" s="51"/>
      <c r="L4" s="51"/>
    </row>
    <row r="5" spans="2:15" ht="20" customHeight="1" x14ac:dyDescent="0.2">
      <c r="D5" s="52"/>
      <c r="E5" s="141" t="str">
        <f>IF(ISBLANK(Brevet_Description),"",Brevet_Description)</f>
        <v>Around the Lake</v>
      </c>
      <c r="F5" s="141"/>
      <c r="G5" s="141"/>
      <c r="H5" s="141"/>
      <c r="I5" s="74"/>
      <c r="J5" s="52"/>
      <c r="K5" s="52"/>
      <c r="L5" s="52"/>
    </row>
    <row r="6" spans="2:15" ht="20" x14ac:dyDescent="0.2">
      <c r="D6" s="67"/>
      <c r="E6" s="141"/>
      <c r="F6" s="141"/>
      <c r="G6" s="141"/>
      <c r="H6" s="141"/>
      <c r="I6" s="74"/>
      <c r="J6" s="67"/>
      <c r="K6" s="52"/>
      <c r="L6" s="52"/>
    </row>
    <row r="7" spans="2:15" ht="25" customHeight="1" x14ac:dyDescent="0.15">
      <c r="C7" s="137"/>
      <c r="D7" s="137"/>
      <c r="E7" s="137"/>
      <c r="F7" s="137"/>
      <c r="H7" s="139"/>
    </row>
    <row r="8" spans="2:15" ht="21" thickBot="1" x14ac:dyDescent="0.25">
      <c r="B8" s="17" t="s">
        <v>62</v>
      </c>
      <c r="C8" s="138"/>
      <c r="D8" s="138"/>
      <c r="E8" s="138"/>
      <c r="F8" s="138"/>
      <c r="G8" s="17" t="s">
        <v>31</v>
      </c>
      <c r="H8" s="140"/>
      <c r="I8" s="53"/>
      <c r="J8" s="53"/>
      <c r="K8" s="53"/>
    </row>
    <row r="9" spans="2:15" ht="22" customHeight="1" x14ac:dyDescent="0.15">
      <c r="B9" s="58"/>
      <c r="C9" s="58"/>
      <c r="D9" s="58"/>
      <c r="E9" s="58"/>
      <c r="F9" s="54"/>
      <c r="G9" s="60"/>
      <c r="H9" s="60"/>
      <c r="I9" s="60"/>
      <c r="J9" s="54"/>
    </row>
    <row r="10" spans="2:15" ht="20" customHeight="1" x14ac:dyDescent="0.15">
      <c r="B10" s="135" t="s">
        <v>34</v>
      </c>
      <c r="C10" s="135"/>
      <c r="D10" s="64" t="s">
        <v>35</v>
      </c>
      <c r="E10" s="136" t="s">
        <v>58</v>
      </c>
      <c r="F10" s="136"/>
      <c r="G10" s="136"/>
      <c r="H10" s="70"/>
      <c r="I10" s="59"/>
      <c r="J10" s="59"/>
      <c r="K10" s="19"/>
      <c r="L10" s="111"/>
      <c r="M10" s="111"/>
      <c r="N10" s="111"/>
      <c r="O10" s="111"/>
    </row>
    <row r="11" spans="2:15" ht="23" x14ac:dyDescent="0.15">
      <c r="B11" s="58"/>
      <c r="C11" s="58"/>
      <c r="D11" s="58"/>
      <c r="E11" s="58"/>
      <c r="F11" s="54"/>
      <c r="G11" s="60"/>
      <c r="H11" s="60"/>
      <c r="I11" s="60"/>
      <c r="J11" s="54"/>
    </row>
    <row r="12" spans="2:15" ht="21" thickBot="1" x14ac:dyDescent="0.25">
      <c r="D12" s="130" t="s">
        <v>19</v>
      </c>
      <c r="E12" s="130"/>
      <c r="F12" s="69">
        <f>IF(ISBLANK('Control Entry'!B12),"",'Control Entry'!B12)</f>
        <v>46186</v>
      </c>
      <c r="G12" s="73"/>
      <c r="H12" s="17" t="s">
        <v>64</v>
      </c>
      <c r="I12" s="68">
        <f>IF(ISBLANK('Control Entry'!B13),"",'Control Entry'!B13)</f>
        <v>0.29166666666666669</v>
      </c>
      <c r="J12" s="23"/>
    </row>
    <row r="13" spans="2:15" ht="20" x14ac:dyDescent="0.2">
      <c r="D13" s="22"/>
      <c r="E13" s="22"/>
      <c r="F13" s="21"/>
      <c r="G13" s="21"/>
      <c r="H13" s="21"/>
      <c r="L13" s="23"/>
      <c r="M13" s="23"/>
      <c r="N13" s="23"/>
    </row>
    <row r="14" spans="2:15" ht="21" thickBot="1" x14ac:dyDescent="0.25">
      <c r="D14" s="130" t="s">
        <v>63</v>
      </c>
      <c r="E14" s="130"/>
      <c r="F14" s="69"/>
      <c r="G14" s="73"/>
      <c r="H14" s="17" t="s">
        <v>65</v>
      </c>
      <c r="I14" s="68"/>
      <c r="J14" s="23"/>
      <c r="L14" s="45"/>
      <c r="M14" s="45"/>
      <c r="N14" s="45"/>
    </row>
    <row r="15" spans="2:15" ht="20" x14ac:dyDescent="0.2">
      <c r="B15" s="22"/>
      <c r="C15" s="22"/>
      <c r="D15" s="21"/>
      <c r="E15" s="21"/>
      <c r="H15" s="21"/>
    </row>
    <row r="16" spans="2:15" ht="21" thickBot="1" x14ac:dyDescent="0.25">
      <c r="C16" s="65"/>
      <c r="D16" s="65"/>
      <c r="E16" s="65"/>
      <c r="F16" s="65"/>
      <c r="H16" s="17" t="s">
        <v>66</v>
      </c>
      <c r="I16" s="68"/>
      <c r="J16" s="23"/>
      <c r="L16" s="45"/>
      <c r="M16" s="45"/>
      <c r="N16" s="45"/>
    </row>
    <row r="17" spans="2:15" ht="20" x14ac:dyDescent="0.15">
      <c r="C17" s="131" t="s">
        <v>14</v>
      </c>
      <c r="D17" s="131"/>
      <c r="E17" s="131"/>
      <c r="F17" s="131"/>
      <c r="G17" s="19"/>
      <c r="H17" s="19"/>
      <c r="I17" s="132"/>
      <c r="J17" s="132"/>
      <c r="K17" s="19"/>
      <c r="L17" s="111"/>
      <c r="M17" s="111"/>
      <c r="N17" s="111"/>
      <c r="O17" s="111"/>
    </row>
    <row r="18" spans="2:15" ht="6" customHeight="1" thickBot="1" x14ac:dyDescent="0.2">
      <c r="B18" s="61"/>
      <c r="C18" s="61"/>
      <c r="D18" s="61"/>
      <c r="E18" s="61"/>
      <c r="F18" s="62"/>
      <c r="G18" s="63"/>
      <c r="H18" s="63"/>
      <c r="I18" s="63"/>
      <c r="J18" s="62"/>
    </row>
    <row r="19" spans="2:15" ht="22" thickTop="1" thickBot="1" x14ac:dyDescent="0.2">
      <c r="B19" s="134" t="s">
        <v>50</v>
      </c>
      <c r="C19" s="134"/>
      <c r="D19" s="134"/>
      <c r="E19" s="134"/>
      <c r="F19" s="134"/>
      <c r="G19" s="134"/>
      <c r="H19" s="134"/>
      <c r="I19" s="134"/>
      <c r="J19" s="134"/>
    </row>
    <row r="20" spans="2:15" ht="20" thickBot="1" x14ac:dyDescent="0.25">
      <c r="B20" s="50" t="s">
        <v>26</v>
      </c>
      <c r="C20" s="8" t="s">
        <v>0</v>
      </c>
      <c r="D20" s="8" t="s">
        <v>1</v>
      </c>
      <c r="E20" s="8" t="s">
        <v>22</v>
      </c>
      <c r="F20" s="8" t="s">
        <v>27</v>
      </c>
      <c r="G20" s="127" t="s">
        <v>36</v>
      </c>
      <c r="H20" s="128"/>
      <c r="I20" s="129"/>
      <c r="J20" s="50" t="s">
        <v>28</v>
      </c>
    </row>
    <row r="21" spans="2:15" ht="40" customHeight="1" x14ac:dyDescent="0.25">
      <c r="B21" s="88"/>
      <c r="C21" s="100">
        <f>Control_1 Open_time</f>
        <v>46186.291666666664</v>
      </c>
      <c r="D21" s="100">
        <f>Control_1 Close_time</f>
        <v>46186.333333333328</v>
      </c>
      <c r="E21" s="89"/>
      <c r="F21" s="90" t="str">
        <f>IF(ISBLANK(Control_1 Establishment_1),"",Control_1 Establishment_1)</f>
        <v>STAFFED</v>
      </c>
      <c r="G21" s="114" t="str">
        <f>IF(ISBLANK('Control Entry'!I15),"",'Control Entry'!I15)</f>
        <v/>
      </c>
      <c r="H21" s="115"/>
      <c r="I21" s="116"/>
      <c r="J21" s="91"/>
    </row>
    <row r="22" spans="2:15" ht="40" customHeight="1" x14ac:dyDescent="0.25">
      <c r="B22" s="92">
        <f>IF(ISBLANK(Distance Control_1),"",Control_1 Distance)</f>
        <v>0</v>
      </c>
      <c r="C22" s="93">
        <f>Control_1 Open_time</f>
        <v>46186.291666666664</v>
      </c>
      <c r="D22" s="93">
        <f>Control_1 Close_time</f>
        <v>46186.333333333328</v>
      </c>
      <c r="E22" s="90" t="str">
        <f>IF(ISBLANK(Locale Control_1),"",Locale Control_1)</f>
        <v>MILL BAY</v>
      </c>
      <c r="F22" s="90" t="str">
        <f>IF(ISBLANK(Control_1 Establishment_2),"",Control_1 Establishment_2)</f>
        <v>Tim Hortons</v>
      </c>
      <c r="G22" s="117" t="str">
        <f>IF(ISBLANK('Control Entry'!J15),"",'Control Entry'!J15)</f>
        <v/>
      </c>
      <c r="H22" s="118"/>
      <c r="I22" s="119"/>
      <c r="J22" s="94"/>
    </row>
    <row r="23" spans="2:15" ht="40" customHeight="1" thickBot="1" x14ac:dyDescent="0.3">
      <c r="B23" s="95"/>
      <c r="C23" s="101">
        <f>Control_1 Open_time</f>
        <v>46186.291666666664</v>
      </c>
      <c r="D23" s="101">
        <f>Control_1 Close_time</f>
        <v>46186.333333333328</v>
      </c>
      <c r="E23" s="96"/>
      <c r="F23" s="97" t="str">
        <f>IF(ISBLANK(Control_1 Establishment_3),"",Control_1 Establishment_3)</f>
        <v>Deloume Road</v>
      </c>
      <c r="G23" s="120" t="str">
        <f>IF(ISBLANK('Control Entry'!K15),"",'Control Entry'!K15)</f>
        <v/>
      </c>
      <c r="H23" s="121"/>
      <c r="I23" s="122"/>
      <c r="J23" s="98"/>
    </row>
    <row r="24" spans="2:15" ht="40" customHeight="1" x14ac:dyDescent="0.25">
      <c r="B24" s="88"/>
      <c r="C24" s="100">
        <f>Control_2 Open_time</f>
        <v>46186.340277777774</v>
      </c>
      <c r="D24" s="100">
        <f>Control_2 Close_time</f>
        <v>46186.415972222218</v>
      </c>
      <c r="E24" s="99"/>
      <c r="F24" s="90" t="str">
        <f>IF(ISBLANK(Control_2 Establishment_1),"",Control_2 Establishment_1)</f>
        <v>INFORMATION</v>
      </c>
      <c r="G24" s="114" t="str">
        <f>IF(ISBLANK('Control Entry'!I16),"",'Control Entry'!I16)</f>
        <v xml:space="preserve">Bottom of Trail Head Park side.  </v>
      </c>
      <c r="H24" s="115"/>
      <c r="I24" s="116"/>
      <c r="J24" s="91"/>
    </row>
    <row r="25" spans="2:15" ht="40" customHeight="1" x14ac:dyDescent="0.25">
      <c r="B25" s="92">
        <f>IF(ISBLANK(Distance Control_2),"",Control_2 Distance)</f>
        <v>39.799999999999997</v>
      </c>
      <c r="C25" s="93">
        <f>Control_2 Open_time</f>
        <v>46186.340277777774</v>
      </c>
      <c r="D25" s="93">
        <f>Control_2 Close_time</f>
        <v>46186.415972222218</v>
      </c>
      <c r="E25" s="90" t="str">
        <f>IF(ISBLANK(Locale Control_2),"",Locale Control_2)</f>
        <v>GLENORA</v>
      </c>
      <c r="F25" s="90" t="str">
        <f>IF(ISBLANK(Control_2 Establishment_2),"",Control_2 Establishment_2)</f>
        <v>Trails Head Park</v>
      </c>
      <c r="G25" s="117" t="str">
        <f>IF(ISBLANK('Control Entry'!J16),"",'Control Entry'!J16)</f>
        <v>Bylaw number?</v>
      </c>
      <c r="H25" s="118"/>
      <c r="I25" s="119"/>
      <c r="J25" s="94"/>
    </row>
    <row r="26" spans="2:15" ht="40" customHeight="1" thickBot="1" x14ac:dyDescent="0.3">
      <c r="B26" s="95"/>
      <c r="C26" s="101">
        <f>Control_2 Open_time</f>
        <v>46186.340277777774</v>
      </c>
      <c r="D26" s="101">
        <f>Control_2 Close_time</f>
        <v>46186.415972222218</v>
      </c>
      <c r="E26" s="96"/>
      <c r="F26" s="97" t="str">
        <f>IF(ISBLANK(Control_2 Establishment_3),"",Control_2 Establishment_3)</f>
        <v>Sign post with rues</v>
      </c>
      <c r="G26" s="120" t="str">
        <f>IF(ISBLANK('Control Entry'!K16),"",'Control Entry'!K16)</f>
        <v>512.      738.      804</v>
      </c>
      <c r="H26" s="121"/>
      <c r="I26" s="122"/>
      <c r="J26" s="98"/>
    </row>
    <row r="27" spans="2:15" ht="40" customHeight="1" x14ac:dyDescent="0.25">
      <c r="B27" s="88"/>
      <c r="C27" s="100">
        <f>Control_3 Open_time</f>
        <v>46186.367361111108</v>
      </c>
      <c r="D27" s="100">
        <f>Control_3 Close_time</f>
        <v>46186.463888888888</v>
      </c>
      <c r="E27" s="99"/>
      <c r="F27" s="90" t="str">
        <f>IF(ISBLANK(Control_3 Establishment_1),"",Control_3 Establishment_1)</f>
        <v>INFORMATION</v>
      </c>
      <c r="G27" s="114" t="str">
        <f>IF(ISBLANK('Control Entry'!I17),"",'Control Entry'!I17)</f>
        <v>In window, to left of door</v>
      </c>
      <c r="H27" s="115"/>
      <c r="I27" s="116"/>
      <c r="J27" s="91"/>
    </row>
    <row r="28" spans="2:15" ht="40" customHeight="1" x14ac:dyDescent="0.25">
      <c r="B28" s="92">
        <f>IF(ISBLANK(Distance Control_3),"",Control_3 Distance)</f>
        <v>61.9</v>
      </c>
      <c r="C28" s="93">
        <f>Control_3 Open_time</f>
        <v>46186.367361111108</v>
      </c>
      <c r="D28" s="93">
        <f>Control_3 Close_time</f>
        <v>46186.463888888888</v>
      </c>
      <c r="E28" s="90" t="str">
        <f>IF(ISBLANK(Locale Control_3),"",Locale Control_3)</f>
        <v>LAKE COWICHAN</v>
      </c>
      <c r="F28" s="90" t="str">
        <f>IF(ISBLANK(Control_3 Establishment_2),"",Control_3 Establishment_2)</f>
        <v>Visitor Information Centre</v>
      </c>
      <c r="G28" s="117" t="str">
        <f>IF(ISBLANK('Control Entry'!J17),"",'Control Entry'!J17)</f>
        <v>Picture of which animal?</v>
      </c>
      <c r="H28" s="118"/>
      <c r="I28" s="119"/>
      <c r="J28" s="94"/>
    </row>
    <row r="29" spans="2:15" ht="40" customHeight="1" thickBot="1" x14ac:dyDescent="0.3">
      <c r="B29" s="95"/>
      <c r="C29" s="101">
        <f>Control_3 Open_time</f>
        <v>46186.367361111108</v>
      </c>
      <c r="D29" s="101">
        <f>Control_3 Close_time</f>
        <v>46186.463888888888</v>
      </c>
      <c r="E29" s="96"/>
      <c r="F29" s="97" t="str">
        <f>IF(ISBLANK(Control_3 Establishment_3),"",Control_3 Establishment_3)</f>
        <v>125C South Shore Rd</v>
      </c>
      <c r="G29" s="120" t="str">
        <f>IF(ISBLANK('Control Entry'!K17),"",'Control Entry'!K17)</f>
        <v>BEAR      BEAVER       ELK</v>
      </c>
      <c r="H29" s="121"/>
      <c r="I29" s="122"/>
      <c r="J29" s="98"/>
    </row>
    <row r="30" spans="2:15" ht="40" customHeight="1" x14ac:dyDescent="0.25">
      <c r="B30" s="88"/>
      <c r="C30" s="100">
        <f>Control_4 Open_time</f>
        <v>46186.413888888885</v>
      </c>
      <c r="D30" s="100">
        <f>Control_4 Close_time</f>
        <v>46186.569444444445</v>
      </c>
      <c r="E30" s="99"/>
      <c r="F30" s="90" t="str">
        <f>IF(ISBLANK(Control_4 Establishment_1),"",Control_4 Establishment_1)</f>
        <v>INFORMATION</v>
      </c>
      <c r="G30" s="114" t="str">
        <f>IF(ISBLANK('Control Entry'!I18),"",'Control Entry'!I18)</f>
        <v>Top plate</v>
      </c>
      <c r="H30" s="115"/>
      <c r="I30" s="116"/>
      <c r="J30" s="91"/>
    </row>
    <row r="31" spans="2:15" ht="40" customHeight="1" x14ac:dyDescent="0.25">
      <c r="B31" s="92">
        <f>IF(ISBLANK(Distance Control_4),"",Control_4 Distance)</f>
        <v>100</v>
      </c>
      <c r="C31" s="93">
        <f>Control_4 Open_time</f>
        <v>46186.413888888885</v>
      </c>
      <c r="D31" s="93">
        <f>Control_4 Close_time</f>
        <v>46186.569444444445</v>
      </c>
      <c r="E31" s="90" t="str">
        <f>IF(ISBLANK(Locale Control_4),"",Locale Control_4)</f>
        <v>NITINAT</v>
      </c>
      <c r="F31" s="90" t="str">
        <f>IF(ISBLANK(Control_4 Establishment_2),"",Control_4 Establishment_2)</f>
        <v>Heather Campsite</v>
      </c>
      <c r="G31" s="123" t="str">
        <f>IF(ISBLANK('Control Entry'!J18),"",'Control Entry'!J18)</f>
        <v>Slopes which way?  Towards</v>
      </c>
      <c r="H31" s="124"/>
      <c r="I31" s="125"/>
      <c r="J31" s="94"/>
    </row>
    <row r="32" spans="2:15" ht="40" customHeight="1" thickBot="1" x14ac:dyDescent="0.3">
      <c r="B32" s="95"/>
      <c r="C32" s="101">
        <f>Control_4 Open_time</f>
        <v>46186.413888888885</v>
      </c>
      <c r="D32" s="101">
        <f>Control_4 Close_time</f>
        <v>46186.569444444445</v>
      </c>
      <c r="E32" s="96"/>
      <c r="F32" s="97" t="str">
        <f>IF(ISBLANK(Control_4 Establishment_3),"",Control_4 Establishment_3)</f>
        <v>Sign at road</v>
      </c>
      <c r="G32" s="120" t="str">
        <f>IF(ISBLANK('Control Entry'!K18),"",'Control Entry'!K18)</f>
        <v>ROAD.      LAKE       DOESN'T SLOPE</v>
      </c>
      <c r="H32" s="121"/>
      <c r="I32" s="122"/>
      <c r="J32" s="98"/>
    </row>
    <row r="33" spans="2:10" ht="40" customHeight="1" x14ac:dyDescent="0.25">
      <c r="B33" s="88"/>
      <c r="C33" s="100">
        <f>Control_5 Open_time</f>
        <v>46186.440277777772</v>
      </c>
      <c r="D33" s="100">
        <f>Control_5 Close_time</f>
        <v>46186.628472222219</v>
      </c>
      <c r="E33" s="99"/>
      <c r="F33" s="90" t="str">
        <f>IF(ISBLANK(Control_5 Establishment_1),"",Control_5 Establishment_1)</f>
        <v>INFORMATION</v>
      </c>
      <c r="G33" s="114" t="str">
        <f>IF(ISBLANK('Control Entry'!I19),"",'Control Entry'!I19)</f>
        <v>Sign on roof above door</v>
      </c>
      <c r="H33" s="115"/>
      <c r="I33" s="116"/>
      <c r="J33" s="91"/>
    </row>
    <row r="34" spans="2:10" ht="40" customHeight="1" x14ac:dyDescent="0.25">
      <c r="B34" s="92">
        <f>IF(ISBLANK(Distance Control_5),"",Control_5 Distance)</f>
        <v>121.2</v>
      </c>
      <c r="C34" s="93">
        <f>Control_5 Open_time</f>
        <v>46186.440277777772</v>
      </c>
      <c r="D34" s="93">
        <f>Control_5 Close_time</f>
        <v>46186.628472222219</v>
      </c>
      <c r="E34" s="90" t="str">
        <f>IF(ISBLANK(Locale Control_5),"",Locale Control_5)</f>
        <v>YOUBOU</v>
      </c>
      <c r="F34" s="90" t="str">
        <f>IF(ISBLANK(Control_5 Establishment_2),"",Control_5 Establishment_2)</f>
        <v>General Store</v>
      </c>
      <c r="G34" s="117" t="str">
        <f>IF(ISBLANK('Control Entry'!J19),"",'Control Entry'!J19)</f>
        <v>Which animal head?</v>
      </c>
      <c r="H34" s="118"/>
      <c r="I34" s="119"/>
      <c r="J34" s="94"/>
    </row>
    <row r="35" spans="2:10" ht="40" customHeight="1" thickBot="1" x14ac:dyDescent="0.3">
      <c r="B35" s="95"/>
      <c r="C35" s="101">
        <f>Control_5 Open_time</f>
        <v>46186.440277777772</v>
      </c>
      <c r="D35" s="101">
        <f>Control_5 Close_time</f>
        <v>46186.628472222219</v>
      </c>
      <c r="E35" s="96"/>
      <c r="F35" s="97" t="str">
        <f>IF(ISBLANK(Control_5 Establishment_3),"",Control_5 Establishment_3)</f>
        <v>10480 Youbou Rd</v>
      </c>
      <c r="G35" s="120" t="str">
        <f>IF(ISBLANK('Control Entry'!K19),"",'Control Entry'!K19)</f>
        <v>BEAR      BEAVER       ELK</v>
      </c>
      <c r="H35" s="121"/>
      <c r="I35" s="122"/>
      <c r="J35" s="98"/>
    </row>
    <row r="36" spans="2:10" ht="40" customHeight="1" x14ac:dyDescent="0.25">
      <c r="B36" s="88"/>
      <c r="C36" s="100">
        <f>Control_6 Open_time</f>
        <v>46186.506944444445</v>
      </c>
      <c r="D36" s="100">
        <f>Control_6 Close_time</f>
        <v>46186.779166666667</v>
      </c>
      <c r="E36" s="99"/>
      <c r="F36" s="90" t="str">
        <f>IF(ISBLANK(Control_6 Establishment_1),"",Control_6 Establishment_1)</f>
        <v>INFORMATION</v>
      </c>
      <c r="G36" s="114" t="str">
        <f>IF(ISBLANK('Control Entry'!I20),"",'Control Entry'!I20)</f>
        <v>Sign for Sunrise Waldorf School</v>
      </c>
      <c r="H36" s="115"/>
      <c r="I36" s="116"/>
      <c r="J36" s="91"/>
    </row>
    <row r="37" spans="2:10" ht="40" customHeight="1" x14ac:dyDescent="0.25">
      <c r="B37" s="92">
        <f>IF(ISBLANK(Distance Control_6),"",Control_6 Distance)</f>
        <v>175.5</v>
      </c>
      <c r="C37" s="93">
        <f>Control_6 Open_time</f>
        <v>46186.506944444445</v>
      </c>
      <c r="D37" s="93">
        <f>Control_6 Close_time</f>
        <v>46186.779166666667</v>
      </c>
      <c r="E37" s="90" t="str">
        <f>IF(ISBLANK(Locale Control_6),"",Locale Control_6)</f>
        <v>COWICHAN STATION</v>
      </c>
      <c r="F37" s="90" t="str">
        <f>IF(ISBLANK(Control_6 Establishment_2),"",Control_6 Establishment_2)</f>
        <v>Lakeside Rd @ Hillside Rd</v>
      </c>
      <c r="G37" s="117" t="str">
        <f>IF(ISBLANK('Control Entry'!J20),"",'Control Entry'!J20)</f>
        <v>Direction of arrow?</v>
      </c>
      <c r="H37" s="118"/>
      <c r="I37" s="119"/>
      <c r="J37" s="94"/>
    </row>
    <row r="38" spans="2:10" ht="40" customHeight="1" thickBot="1" x14ac:dyDescent="0.3">
      <c r="B38" s="95"/>
      <c r="C38" s="101">
        <f>Control_6 Open_time</f>
        <v>46186.506944444445</v>
      </c>
      <c r="D38" s="101">
        <f>Control_6 Close_time</f>
        <v>46186.779166666667</v>
      </c>
      <c r="E38" s="96"/>
      <c r="F38" s="97" t="str">
        <f>IF(ISBLANK(Control_6 Establishment_3),"",Control_6 Establishment_3)</f>
        <v>Right corner</v>
      </c>
      <c r="G38" s="120" t="str">
        <f>IF(ISBLANK('Control Entry'!K20),"",'Control Entry'!K20)</f>
        <v>LEFT.      STRAIGHT.      RIGHT</v>
      </c>
      <c r="H38" s="121"/>
      <c r="I38" s="122"/>
      <c r="J38" s="98"/>
    </row>
    <row r="39" spans="2:10" ht="40" customHeight="1" x14ac:dyDescent="0.25">
      <c r="B39" s="88"/>
      <c r="C39" s="100">
        <f>Control_7 Open_time</f>
        <v>46186.521527777775</v>
      </c>
      <c r="D39" s="100">
        <f>Control_7 Close_time</f>
        <v>46186.811805555553</v>
      </c>
      <c r="E39" s="99"/>
      <c r="F39" s="90" t="str">
        <f>IF(ISBLANK(Control_7 Establishment_1),"",Control_7 Establishment_1)</f>
        <v>INFORMATION</v>
      </c>
      <c r="G39" s="114" t="str">
        <f>IF(ISBLANK('Control Entry'!I21),"",'Control Entry'!I21)</f>
        <v>Yellow sticker.</v>
      </c>
      <c r="H39" s="115"/>
      <c r="I39" s="116"/>
      <c r="J39" s="91"/>
    </row>
    <row r="40" spans="2:10" ht="40" customHeight="1" x14ac:dyDescent="0.25">
      <c r="B40" s="92">
        <f>IF(ISBLANK(Distance Control_7),"",Control_7 Distance)</f>
        <v>187.3</v>
      </c>
      <c r="C40" s="93">
        <f>Control_7 Open_time</f>
        <v>46186.521527777775</v>
      </c>
      <c r="D40" s="93">
        <f>Control_7 Close_time</f>
        <v>46186.811805555553</v>
      </c>
      <c r="E40" s="90" t="str">
        <f>IF(ISBLANK(Locale Control_7),"",Locale Control_7)</f>
        <v>COWICHAN BAY</v>
      </c>
      <c r="F40" s="90" t="str">
        <f>IF(ISBLANK(Control_7 Establishment_2),"",Control_7 Establishment_2)</f>
        <v>Cherry Pt Rd @ Sutherland Dr</v>
      </c>
      <c r="G40" s="117" t="str">
        <f>IF(ISBLANK('Control Entry'!J21),"",'Control Entry'!J21)</f>
        <v>Which year?</v>
      </c>
      <c r="H40" s="118"/>
      <c r="I40" s="119"/>
      <c r="J40" s="94"/>
    </row>
    <row r="41" spans="2:10" ht="40" customHeight="1" thickBot="1" x14ac:dyDescent="0.3">
      <c r="B41" s="95"/>
      <c r="C41" s="101">
        <f>Control_7 Open_time</f>
        <v>46186.521527777775</v>
      </c>
      <c r="D41" s="101">
        <f>Control_7 Close_time</f>
        <v>46186.811805555553</v>
      </c>
      <c r="E41" s="96"/>
      <c r="F41" s="97" t="str">
        <f>IF(ISBLANK(Control_7 Establishment_3),"",Control_7 Establishment_3)</f>
        <v>Back of stop sign/Cherry Pt sign</v>
      </c>
      <c r="G41" s="120" t="str">
        <f>IF(ISBLANK('Control Entry'!K21),"",'Control Entry'!K21)</f>
        <v>2000       2016       2023</v>
      </c>
      <c r="H41" s="121"/>
      <c r="I41" s="122"/>
      <c r="J41" s="98"/>
    </row>
    <row r="42" spans="2:10" ht="40" customHeight="1" x14ac:dyDescent="0.25">
      <c r="B42" s="88"/>
      <c r="C42" s="100">
        <f>Control_8 Open_time</f>
        <v>46186.539583333331</v>
      </c>
      <c r="D42" s="100">
        <f>Control_8 Close_time</f>
        <v>46186.854166666664</v>
      </c>
      <c r="E42" s="99"/>
      <c r="F42" s="90" t="str">
        <f>IF(ISBLANK(Control_8 Establishment_1),"",Control_8 Establishment_1)</f>
        <v>BUSINESS</v>
      </c>
      <c r="G42" s="114" t="str">
        <f>IF(ISBLANK('Control Entry'!I22),"",'Control Entry'!I22)</f>
        <v/>
      </c>
      <c r="H42" s="115"/>
      <c r="I42" s="116"/>
      <c r="J42" s="91"/>
    </row>
    <row r="43" spans="2:10" ht="40" customHeight="1" x14ac:dyDescent="0.25">
      <c r="B43" s="92">
        <f>IF(ISBLANK(Distance Control_8),"",Control_8 Distance)</f>
        <v>202.4</v>
      </c>
      <c r="C43" s="93">
        <f>Control_8 Open_time</f>
        <v>46186.539583333331</v>
      </c>
      <c r="D43" s="93">
        <f>Control_8 Close_time</f>
        <v>46186.854166666664</v>
      </c>
      <c r="E43" s="90" t="str">
        <f>IF(ISBLANK(Locale Control_8),"",Locale Control_8)</f>
        <v>MILL BAY</v>
      </c>
      <c r="F43" s="90" t="str">
        <f>IF(ISBLANK(Control_8 Establishment_2),"",Control_8 Establishment_2)</f>
        <v>Tim Hortons</v>
      </c>
      <c r="G43" s="117" t="str">
        <f>IF(ISBLANK('Control Entry'!J22),"",'Control Entry'!J22)</f>
        <v/>
      </c>
      <c r="H43" s="118"/>
      <c r="I43" s="119"/>
      <c r="J43" s="94"/>
    </row>
    <row r="44" spans="2:10" ht="40" customHeight="1" thickBot="1" x14ac:dyDescent="0.3">
      <c r="B44" s="95"/>
      <c r="C44" s="101">
        <f>Control_8 Open_time</f>
        <v>46186.539583333331</v>
      </c>
      <c r="D44" s="101">
        <f>Control_8 Close_time</f>
        <v>46186.854166666664</v>
      </c>
      <c r="E44" s="96"/>
      <c r="F44" s="97" t="str">
        <f>IF(ISBLANK(Control_8 Establishment_3),"",Control_8 Establishment_3)</f>
        <v>Deloume Road</v>
      </c>
      <c r="G44" s="120" t="str">
        <f>IF(ISBLANK('Control Entry'!K22),"",'Control Entry'!K22)</f>
        <v/>
      </c>
      <c r="H44" s="121"/>
      <c r="I44" s="122"/>
      <c r="J44" s="98"/>
    </row>
    <row r="45" spans="2:10" ht="40" customHeight="1" x14ac:dyDescent="0.25">
      <c r="B45" s="88"/>
      <c r="C45" s="100" t="str">
        <f>Control_9 Open_time</f>
        <v/>
      </c>
      <c r="D45" s="100" t="str">
        <f>Control_9 Close_time</f>
        <v/>
      </c>
      <c r="E45" s="99"/>
      <c r="F45" s="90" t="str">
        <f>IF(ISBLANK(Control_9 Establishment_1),"",Control_9 Establishment_1)</f>
        <v/>
      </c>
      <c r="G45" s="114" t="str">
        <f>IF(ISBLANK('Control Entry'!I23),"",'Control Entry'!I23)</f>
        <v/>
      </c>
      <c r="H45" s="115"/>
      <c r="I45" s="116"/>
      <c r="J45" s="91"/>
    </row>
    <row r="46" spans="2:10" ht="40" customHeight="1" x14ac:dyDescent="0.25">
      <c r="B46" s="92" t="str">
        <f>IF(ISBLANK(Distance Control_9),"",Control_9 Distance)</f>
        <v/>
      </c>
      <c r="C46" s="93" t="str">
        <f>Control_9 Open_time</f>
        <v/>
      </c>
      <c r="D46" s="93" t="str">
        <f>Control_9 Close_time</f>
        <v/>
      </c>
      <c r="E46" s="90" t="str">
        <f>IF(ISBLANK(Locale Control_9),"",Locale Control_9)</f>
        <v/>
      </c>
      <c r="F46" s="90" t="str">
        <f>IF(ISBLANK(Control_9 Establishment_2),"",Control_9 Establishment_2)</f>
        <v/>
      </c>
      <c r="G46" s="117" t="str">
        <f>IF(ISBLANK('Control Entry'!J23),"",'Control Entry'!J23)</f>
        <v/>
      </c>
      <c r="H46" s="118"/>
      <c r="I46" s="119"/>
      <c r="J46" s="94"/>
    </row>
    <row r="47" spans="2:10" ht="40" customHeight="1" thickBot="1" x14ac:dyDescent="0.3">
      <c r="B47" s="95"/>
      <c r="C47" s="101" t="str">
        <f>Control_9 Open_time</f>
        <v/>
      </c>
      <c r="D47" s="101" t="str">
        <f>Control_9 Close_time</f>
        <v/>
      </c>
      <c r="E47" s="96"/>
      <c r="F47" s="97" t="str">
        <f>IF(ISBLANK(Control_9 Establishment_3),"",Control_9 Establishment_3)</f>
        <v/>
      </c>
      <c r="G47" s="120" t="str">
        <f>IF(ISBLANK('Control Entry'!K23),"",'Control Entry'!K23)</f>
        <v/>
      </c>
      <c r="H47" s="121"/>
      <c r="I47" s="122"/>
      <c r="J47" s="98"/>
    </row>
    <row r="48" spans="2:10" ht="40" customHeight="1" x14ac:dyDescent="0.25">
      <c r="B48" s="88"/>
      <c r="C48" s="100" t="str">
        <f>Control_10 Open_time</f>
        <v/>
      </c>
      <c r="D48" s="100" t="str">
        <f>Control_10 Close_time</f>
        <v/>
      </c>
      <c r="E48" s="99"/>
      <c r="F48" s="90" t="str">
        <f>IF(ISBLANK(Control_10 Establishment_1),"",Control_10 Establishment_1)</f>
        <v/>
      </c>
      <c r="G48" s="114" t="str">
        <f>IF(ISBLANK('Control Entry'!I24),"",'Control Entry'!I24)</f>
        <v/>
      </c>
      <c r="H48" s="115"/>
      <c r="I48" s="116"/>
      <c r="J48" s="91"/>
    </row>
    <row r="49" spans="2:11" ht="40" customHeight="1" x14ac:dyDescent="0.25">
      <c r="B49" s="92" t="str">
        <f>IF(ISBLANK(Distance Control_10),"",Control_10 Distance)</f>
        <v/>
      </c>
      <c r="C49" s="93" t="str">
        <f>Control_10 Open_time</f>
        <v/>
      </c>
      <c r="D49" s="93" t="str">
        <f>Control_10 Close_time</f>
        <v/>
      </c>
      <c r="E49" s="90" t="str">
        <f>IF(ISBLANK(Locale Control_10),"",Locale Control_10)</f>
        <v/>
      </c>
      <c r="F49" s="90" t="str">
        <f>IF(ISBLANK(Control_10 Establishment_2),"",Control_10 Establishment_2)</f>
        <v/>
      </c>
      <c r="G49" s="117" t="str">
        <f>IF(ISBLANK('Control Entry'!J24),"",'Control Entry'!J24)</f>
        <v/>
      </c>
      <c r="H49" s="118"/>
      <c r="I49" s="119"/>
      <c r="J49" s="94"/>
    </row>
    <row r="50" spans="2:11" ht="40" customHeight="1" thickBot="1" x14ac:dyDescent="0.3">
      <c r="B50" s="95"/>
      <c r="C50" s="101" t="str">
        <f>Control_10 Open_time</f>
        <v/>
      </c>
      <c r="D50" s="101" t="str">
        <f>Control_10 Close_time</f>
        <v/>
      </c>
      <c r="E50" s="96"/>
      <c r="F50" s="97" t="str">
        <f>IF(ISBLANK(Control_10 Establishment_3),"",Control_10 Establishment_3)</f>
        <v/>
      </c>
      <c r="G50" s="120" t="str">
        <f>IF(ISBLANK('Control Entry'!K24),"",'Control Entry'!K24)</f>
        <v/>
      </c>
      <c r="H50" s="121"/>
      <c r="I50" s="122"/>
      <c r="J50" s="98"/>
    </row>
    <row r="52" spans="2:11" ht="24" customHeight="1" x14ac:dyDescent="0.15">
      <c r="B52" s="126" t="s">
        <v>30</v>
      </c>
      <c r="C52" s="126"/>
      <c r="D52" s="126"/>
      <c r="E52" s="126"/>
      <c r="F52" s="126"/>
      <c r="I52" s="58" t="s">
        <v>57</v>
      </c>
      <c r="J52" s="81">
        <f>IF(ISBLANK('Control Entry'!F10),"",'Control Entry'!F10)</f>
        <v>2505880457</v>
      </c>
      <c r="K52" s="54"/>
    </row>
    <row r="54" spans="2:11" x14ac:dyDescent="0.15">
      <c r="B54" s="76" t="s">
        <v>60</v>
      </c>
      <c r="C54" s="77">
        <f>'Control Entry'!B3</f>
        <v>45167</v>
      </c>
    </row>
    <row r="55" spans="2:11" ht="23" x14ac:dyDescent="0.15">
      <c r="B55" s="58"/>
      <c r="C55" s="58"/>
      <c r="D55" s="58"/>
      <c r="E55" s="58"/>
      <c r="F55" s="54"/>
      <c r="G55" s="60"/>
      <c r="H55" s="60"/>
      <c r="I55" s="60"/>
      <c r="J55" s="54"/>
    </row>
    <row r="56" spans="2:11" x14ac:dyDescent="0.15">
      <c r="E56" s="1"/>
    </row>
    <row r="57" spans="2:11" x14ac:dyDescent="0.15">
      <c r="B57" s="56"/>
      <c r="C57" s="57"/>
      <c r="D57" s="57"/>
      <c r="E57" s="57"/>
      <c r="F57" s="112"/>
      <c r="G57" s="113"/>
      <c r="H57" s="113"/>
      <c r="I57" s="113"/>
      <c r="J57" s="113"/>
    </row>
  </sheetData>
  <mergeCells count="50">
    <mergeCell ref="C2:F2"/>
    <mergeCell ref="B19:J19"/>
    <mergeCell ref="B10:C10"/>
    <mergeCell ref="E10:G10"/>
    <mergeCell ref="C7:F8"/>
    <mergeCell ref="H7:H8"/>
    <mergeCell ref="E5:H6"/>
    <mergeCell ref="E3:H3"/>
    <mergeCell ref="E4:H4"/>
    <mergeCell ref="L10:M10"/>
    <mergeCell ref="N10:O10"/>
    <mergeCell ref="G44:I44"/>
    <mergeCell ref="G38:I38"/>
    <mergeCell ref="G39:I39"/>
    <mergeCell ref="G40:I40"/>
    <mergeCell ref="G41:I41"/>
    <mergeCell ref="G42:I42"/>
    <mergeCell ref="G43:I43"/>
    <mergeCell ref="G32:I32"/>
    <mergeCell ref="G33:I33"/>
    <mergeCell ref="G34:I34"/>
    <mergeCell ref="G35:I35"/>
    <mergeCell ref="G36:I36"/>
    <mergeCell ref="I17:J17"/>
    <mergeCell ref="L17:M17"/>
    <mergeCell ref="G47:I47"/>
    <mergeCell ref="G20:I20"/>
    <mergeCell ref="D12:E12"/>
    <mergeCell ref="D14:E14"/>
    <mergeCell ref="G27:I27"/>
    <mergeCell ref="G28:I28"/>
    <mergeCell ref="G26:I26"/>
    <mergeCell ref="C17:F17"/>
    <mergeCell ref="G37:I37"/>
    <mergeCell ref="N17:O17"/>
    <mergeCell ref="F57:J57"/>
    <mergeCell ref="G48:I48"/>
    <mergeCell ref="G49:I49"/>
    <mergeCell ref="G50:I50"/>
    <mergeCell ref="G21:I21"/>
    <mergeCell ref="G22:I22"/>
    <mergeCell ref="G23:I23"/>
    <mergeCell ref="G24:I24"/>
    <mergeCell ref="G25:I25"/>
    <mergeCell ref="G29:I29"/>
    <mergeCell ref="G30:I30"/>
    <mergeCell ref="G31:I31"/>
    <mergeCell ref="B52:F52"/>
    <mergeCell ref="G45:I45"/>
    <mergeCell ref="G46:I46"/>
  </mergeCells>
  <printOptions horizontalCentered="1" verticalCentered="1"/>
  <pageMargins left="0.39370078740157483" right="0.39370078740157483" top="0.39370078740157483" bottom="0.39370078740157483" header="0.15748031496062992" footer="0.15748031496062992"/>
  <pageSetup scale="43"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27</vt:i4>
      </vt:variant>
    </vt:vector>
  </HeadingPairs>
  <TitlesOfParts>
    <vt:vector size="29" baseType="lpstr">
      <vt:lpstr>Control Entry</vt:lpstr>
      <vt:lpstr>Card #1</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'Card #1'!Print_Area</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Stephen Hinde</cp:lastModifiedBy>
  <cp:lastPrinted>2026-06-09T04:37:03Z</cp:lastPrinted>
  <dcterms:created xsi:type="dcterms:W3CDTF">1997-11-12T04:43:39Z</dcterms:created>
  <dcterms:modified xsi:type="dcterms:W3CDTF">2026-06-11T17:17:03Z</dcterms:modified>
</cp:coreProperties>
</file>