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mc:AlternateContent xmlns:mc="http://schemas.openxmlformats.org/markup-compatibility/2006">
    <mc:Choice Requires="x15">
      <x15ac:absPath xmlns:x15ac="http://schemas.microsoft.com/office/spreadsheetml/2010/11/ac" url="/Users/stephencarol/Documents/BCR/2026/5636 Riipple Blown Up/"/>
    </mc:Choice>
  </mc:AlternateContent>
  <xr:revisionPtr revIDLastSave="0" documentId="8_{D07D6ACB-890A-E24A-B76C-566704CA8A5B}" xr6:coauthVersionLast="47" xr6:coauthVersionMax="47" xr10:uidLastSave="{00000000-0000-0000-0000-000000000000}"/>
  <bookViews>
    <workbookView xWindow="1880" yWindow="2160" windowWidth="26840" windowHeight="15660" xr2:uid="{3DDB20B7-B0A5-D44F-B85E-4829D0CF7F6A}"/>
  </bookViews>
  <sheets>
    <sheet name="Control Entry" sheetId="4" r:id="rId1"/>
    <sheet name="Card #1 MB" sheetId="1" r:id="rId2"/>
    <sheet name="Card #1 Nanaimo" sheetId="2" r:id="rId3"/>
    <sheet name="Card #1 QB" sheetId="3" r:id="rId4"/>
  </sheets>
  <externalReferences>
    <externalReference r:id="rId5"/>
    <externalReference r:id="rId6"/>
    <externalReference r:id="rId7"/>
  </externalReferences>
  <definedNames>
    <definedName name="Address_1" localSheetId="1">#REF!</definedName>
    <definedName name="Address_1" localSheetId="2">#REF!</definedName>
    <definedName name="Address_1" localSheetId="3">#REF!</definedName>
    <definedName name="Address_1">#REF!</definedName>
    <definedName name="Address_2" localSheetId="1">#REF!</definedName>
    <definedName name="Address_2" localSheetId="2">#REF!</definedName>
    <definedName name="Address_2" localSheetId="3">#REF!</definedName>
    <definedName name="Address_2">#REF!</definedName>
    <definedName name="brevet" localSheetId="2">'[2]Control Entry'!$C$6</definedName>
    <definedName name="brevet" localSheetId="3">'[3]Control Entry'!$C$6</definedName>
    <definedName name="brevet">'[1]Control Entry'!$C$6</definedName>
    <definedName name="Brevet_Description" localSheetId="2">'[2]Control Entry'!$B$8</definedName>
    <definedName name="Brevet_Description" localSheetId="3">'[3]Control Entry'!$B$8</definedName>
    <definedName name="Brevet_Description">'Control Entry'!$B$8</definedName>
    <definedName name="Brevet_Length" localSheetId="2">'[2]Control Entry'!$B$6</definedName>
    <definedName name="Brevet_Length" localSheetId="3">'[3]Control Entry'!$B$6</definedName>
    <definedName name="Brevet_Length">'[1]Control Entry'!$B$6</definedName>
    <definedName name="Brevet_Number" localSheetId="2">'[2]Control Entry'!$B$9</definedName>
    <definedName name="Brevet_Number" localSheetId="3">'[3]Control Entry'!$B$9</definedName>
    <definedName name="Brevet_Number">'Control Entry'!$B$9</definedName>
    <definedName name="City" localSheetId="1">#REF!</definedName>
    <definedName name="City" localSheetId="2">#REF!</definedName>
    <definedName name="City" localSheetId="3">#REF!</definedName>
    <definedName name="City">#REF!</definedName>
    <definedName name="Close" localSheetId="2">'[2]Control Entry'!$M$15:$M$24</definedName>
    <definedName name="Close" localSheetId="3">'[3]Control Entry'!$M$15:$M$24</definedName>
    <definedName name="Close">'[1]Control Entry'!$M$15:$M$24</definedName>
    <definedName name="Close_time" localSheetId="2">'[2]Control Entry'!$O$15:$O$24</definedName>
    <definedName name="Close_time" localSheetId="3">'[3]Control Entry'!$O$15:$O$24</definedName>
    <definedName name="Close_time">'Control Entry'!$O$15:$O$24</definedName>
    <definedName name="Control_1" localSheetId="2">'[2]Control Entry'!$D$15:$O$15</definedName>
    <definedName name="Control_1" localSheetId="3">'[3]Control Entry'!$D$15:$O$15</definedName>
    <definedName name="Control_1">'[1]Control Entry'!$D$15:$O$15</definedName>
    <definedName name="Control_10" localSheetId="2">'[2]Control Entry'!$D$24:$O$24</definedName>
    <definedName name="Control_10" localSheetId="3">'[3]Control Entry'!$D$24:$O$24</definedName>
    <definedName name="Control_10">'Control Entry'!$D$24:$O$24</definedName>
    <definedName name="Control_11" localSheetId="1">'[1]Control Entry'!#REF!</definedName>
    <definedName name="Control_11" localSheetId="2">'[2]Control Entry'!#REF!</definedName>
    <definedName name="Control_11" localSheetId="3">'[3]Control Entry'!#REF!</definedName>
    <definedName name="Control_11">'Control Entry'!#REF!</definedName>
    <definedName name="Control_12" localSheetId="1">'[1]Control Entry'!#REF!</definedName>
    <definedName name="Control_12" localSheetId="2">'[2]Control Entry'!#REF!</definedName>
    <definedName name="Control_12" localSheetId="3">'[3]Control Entry'!#REF!</definedName>
    <definedName name="Control_12">'Control Entry'!#REF!</definedName>
    <definedName name="Control_13" localSheetId="1">'[1]Control Entry'!#REF!</definedName>
    <definedName name="Control_13" localSheetId="2">'[2]Control Entry'!#REF!</definedName>
    <definedName name="Control_13" localSheetId="3">'[3]Control Entry'!#REF!</definedName>
    <definedName name="Control_13">'Control Entry'!#REF!</definedName>
    <definedName name="Control_14" localSheetId="1">'[1]Control Entry'!#REF!</definedName>
    <definedName name="Control_14" localSheetId="2">'[2]Control Entry'!#REF!</definedName>
    <definedName name="Control_14" localSheetId="3">'[3]Control Entry'!#REF!</definedName>
    <definedName name="Control_14">'Control Entry'!#REF!</definedName>
    <definedName name="Control_15" localSheetId="1">'[1]Control Entry'!#REF!</definedName>
    <definedName name="Control_15" localSheetId="2">'[2]Control Entry'!#REF!</definedName>
    <definedName name="Control_15" localSheetId="3">'[3]Control Entry'!#REF!</definedName>
    <definedName name="Control_15">'Control Entry'!#REF!</definedName>
    <definedName name="Control_16" localSheetId="1">'[1]Control Entry'!#REF!</definedName>
    <definedName name="Control_16" localSheetId="2">'[2]Control Entry'!#REF!</definedName>
    <definedName name="Control_16" localSheetId="3">'[3]Control Entry'!#REF!</definedName>
    <definedName name="Control_16">'Control Entry'!#REF!</definedName>
    <definedName name="Control_17" localSheetId="1">'[1]Control Entry'!#REF!</definedName>
    <definedName name="Control_17" localSheetId="2">'[2]Control Entry'!#REF!</definedName>
    <definedName name="Control_17" localSheetId="3">'[3]Control Entry'!#REF!</definedName>
    <definedName name="Control_17">'Control Entry'!#REF!</definedName>
    <definedName name="Control_18" localSheetId="1">'[1]Control Entry'!#REF!</definedName>
    <definedName name="Control_18" localSheetId="2">'[2]Control Entry'!#REF!</definedName>
    <definedName name="Control_18" localSheetId="3">'[3]Control Entry'!#REF!</definedName>
    <definedName name="Control_18">'Control Entry'!#REF!</definedName>
    <definedName name="Control_19" localSheetId="1">'[1]Control Entry'!#REF!</definedName>
    <definedName name="Control_19" localSheetId="2">'[2]Control Entry'!#REF!</definedName>
    <definedName name="Control_19" localSheetId="3">'[3]Control Entry'!#REF!</definedName>
    <definedName name="Control_19">'Control Entry'!#REF!</definedName>
    <definedName name="Control_2" localSheetId="2">'[2]Control Entry'!$D$16:$O$16</definedName>
    <definedName name="Control_2" localSheetId="3">'[3]Control Entry'!$D$16:$O$16</definedName>
    <definedName name="Control_2">'Control Entry'!$D$16:$O$16</definedName>
    <definedName name="Control_20" localSheetId="1">'[1]Control Entry'!#REF!</definedName>
    <definedName name="Control_20" localSheetId="2">'[2]Control Entry'!#REF!</definedName>
    <definedName name="Control_20" localSheetId="3">'[3]Control Entry'!#REF!</definedName>
    <definedName name="Control_20">'Control Entry'!#REF!</definedName>
    <definedName name="Control_3" localSheetId="2">'[2]Control Entry'!$D$17:$O$17</definedName>
    <definedName name="Control_3" localSheetId="3">'[3]Control Entry'!$D$17:$O$17</definedName>
    <definedName name="Control_3">'Control Entry'!$D$17:$O$17</definedName>
    <definedName name="Control_4" localSheetId="2">'[2]Control Entry'!$D$18:$O$18</definedName>
    <definedName name="Control_4" localSheetId="3">'[3]Control Entry'!$D$18:$O$18</definedName>
    <definedName name="Control_4">'Control Entry'!$D$18:$O$18</definedName>
    <definedName name="Control_5" localSheetId="2">'[2]Control Entry'!$D$19:$O$19</definedName>
    <definedName name="Control_5" localSheetId="3">'[3]Control Entry'!$D$19:$O$19</definedName>
    <definedName name="Control_5">'Control Entry'!$D$19:$O$19</definedName>
    <definedName name="Control_6" localSheetId="2">'[2]Control Entry'!$D$20:$O$20</definedName>
    <definedName name="Control_6" localSheetId="3">'[3]Control Entry'!$D$20:$O$20</definedName>
    <definedName name="Control_6">'Control Entry'!$D$20:$O$20</definedName>
    <definedName name="Control_7" localSheetId="2">'[2]Control Entry'!$D$21:$O$21</definedName>
    <definedName name="Control_7" localSheetId="3">'[3]Control Entry'!$D$21:$O$21</definedName>
    <definedName name="Control_7">'Control Entry'!$D$21:$O$21</definedName>
    <definedName name="Control_8" localSheetId="2">'[2]Control Entry'!$D$22:$O$22</definedName>
    <definedName name="Control_8" localSheetId="3">'[3]Control Entry'!$D$22:$O$22</definedName>
    <definedName name="Control_8">'Control Entry'!$D$22:$O$22</definedName>
    <definedName name="Control_9" localSheetId="2">'[2]Control Entry'!$D$23:$O$23</definedName>
    <definedName name="Control_9" localSheetId="3">'[3]Control Entry'!$D$23:$O$23</definedName>
    <definedName name="Control_9">'Control Entry'!$D$23:$O$23</definedName>
    <definedName name="Country" localSheetId="1">#REF!</definedName>
    <definedName name="Country" localSheetId="2">#REF!</definedName>
    <definedName name="Country" localSheetId="3">#REF!</definedName>
    <definedName name="Country">#REF!</definedName>
    <definedName name="Distance" localSheetId="2">'[2]Control Entry'!$D$15:$D$24</definedName>
    <definedName name="Distance" localSheetId="3">'[3]Control Entry'!$D$15:$D$24</definedName>
    <definedName name="Distance">'[1]Control Entry'!$D$15:$D$24</definedName>
    <definedName name="email" localSheetId="1">#REF!</definedName>
    <definedName name="email" localSheetId="2">#REF!</definedName>
    <definedName name="email" localSheetId="3">#REF!</definedName>
    <definedName name="email">#REF!</definedName>
    <definedName name="Establishment_1" localSheetId="2">'[2]Control Entry'!$F$15:$F$24</definedName>
    <definedName name="Establishment_1" localSheetId="3">'[3]Control Entry'!$F$15:$F$24</definedName>
    <definedName name="Establishment_1">'Control Entry'!$F$15:$F$24</definedName>
    <definedName name="Establishment_2" localSheetId="2">'[2]Control Entry'!$G$15:$G$24</definedName>
    <definedName name="Establishment_2" localSheetId="3">'[3]Control Entry'!$G$15:$G$24</definedName>
    <definedName name="Establishment_2">'Control Entry'!$G$15:$G$24</definedName>
    <definedName name="Establishment_3" localSheetId="2">'[2]Control Entry'!$H$15:$H$24</definedName>
    <definedName name="Establishment_3" localSheetId="3">'[3]Control Entry'!$H$15:$H$24</definedName>
    <definedName name="Establishment_3">'Control Entry'!$H$15:$H$24</definedName>
    <definedName name="Fax" localSheetId="1">#REF!</definedName>
    <definedName name="Fax" localSheetId="2">#REF!</definedName>
    <definedName name="Fax" localSheetId="3">#REF!</definedName>
    <definedName name="Fax">#REF!</definedName>
    <definedName name="First_Name" localSheetId="1">#REF!</definedName>
    <definedName name="First_Name" localSheetId="2">#REF!</definedName>
    <definedName name="First_Name" localSheetId="3">#REF!</definedName>
    <definedName name="First_Name">#REF!</definedName>
    <definedName name="Home_telephone" localSheetId="1">#REF!</definedName>
    <definedName name="Home_telephone" localSheetId="2">#REF!</definedName>
    <definedName name="Home_telephone" localSheetId="3">#REF!</definedName>
    <definedName name="Home_telephone">#REF!</definedName>
    <definedName name="HTML_CodePage" hidden="1">1252</definedName>
    <definedName name="HTML_Control" localSheetId="2" hidden="1">{"'Web sheet'!$A$1:$D$92"}</definedName>
    <definedName name="HTML_Control" localSheetId="3" hidden="1">{"'Web sheet'!$A$1:$D$92"}</definedName>
    <definedName name="HTML_Control" localSheetId="0" hidden="1">{"'Web sheet'!$A$1:$D$92"}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 localSheetId="3">#REF!</definedName>
    <definedName name="Initial">#REF!</definedName>
    <definedName name="Locale" localSheetId="2">'[2]Control Entry'!$E$15:$E$24</definedName>
    <definedName name="Locale" localSheetId="3">'[3]Control Entry'!$E$15:$E$24</definedName>
    <definedName name="Locale">'Control Entry'!$E$15:$E$24</definedName>
    <definedName name="Max_time" localSheetId="2">'[2]Control Entry'!$B$7</definedName>
    <definedName name="Max_time" localSheetId="3">'[3]Control Entry'!$B$7</definedName>
    <definedName name="Max_time">'[1]Control Entry'!$B$7</definedName>
    <definedName name="Open" localSheetId="2">'[2]Control Entry'!$L$15:$L$24</definedName>
    <definedName name="Open" localSheetId="3">'[3]Control Entry'!$L$15:$L$24</definedName>
    <definedName name="Open">'[1]Control Entry'!$L$15:$L$24</definedName>
    <definedName name="Open_time" localSheetId="2">'[2]Control Entry'!$N$15:$N$24</definedName>
    <definedName name="Open_time" localSheetId="3">'[3]Control Entry'!$N$15:$N$24</definedName>
    <definedName name="Open_time">'[1]Control Entry'!$N$15:$N$24</definedName>
    <definedName name="Postal_Code" localSheetId="1">#REF!</definedName>
    <definedName name="Postal_Code" localSheetId="2">#REF!</definedName>
    <definedName name="Postal_Code" localSheetId="3">#REF!</definedName>
    <definedName name="Postal_Code">#REF!</definedName>
    <definedName name="_xlnm.Print_Area" localSheetId="1">'Card #1 MB'!$A$1:$K$55</definedName>
    <definedName name="_xlnm.Print_Area" localSheetId="2">'Card #1 Nanaimo'!$A$1:$K$55</definedName>
    <definedName name="_xlnm.Print_Area" localSheetId="3">'Card #1 QB'!$A$1:$K$55</definedName>
    <definedName name="Province_State" localSheetId="1">#REF!</definedName>
    <definedName name="Province_State" localSheetId="2">#REF!</definedName>
    <definedName name="Province_State" localSheetId="3">#REF!</definedName>
    <definedName name="Province_State">#REF!</definedName>
    <definedName name="Start_date" localSheetId="2">'[2]Control Entry'!$B$12</definedName>
    <definedName name="Start_date" localSheetId="3">'[3]Control Entry'!$B$12</definedName>
    <definedName name="Start_date">'[1]Control Entry'!$B$12</definedName>
    <definedName name="Start_time" localSheetId="2">'[2]Control Entry'!$B$13</definedName>
    <definedName name="Start_time" localSheetId="3">'[3]Control Entry'!$B$13</definedName>
    <definedName name="Start_time">'[1]Control Entry'!$B$13</definedName>
    <definedName name="surname" localSheetId="1">#REF!</definedName>
    <definedName name="surname" localSheetId="2">#REF!</definedName>
    <definedName name="surname" localSheetId="3">#REF!</definedName>
    <definedName name="surname">#REF!</definedName>
    <definedName name="Work_telephone" localSheetId="1">#REF!</definedName>
    <definedName name="Work_telephone" localSheetId="2">#REF!</definedName>
    <definedName name="Work_telephone" localSheetId="3">#REF!</definedName>
    <definedName name="Work_telephone">#REF!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O24" i="4" l="1"/>
  <c r="N24" i="4"/>
  <c r="M24" i="4"/>
  <c r="L24" i="4"/>
  <c r="O23" i="4"/>
  <c r="N23" i="4"/>
  <c r="M23" i="4"/>
  <c r="L23" i="4"/>
  <c r="O22" i="4"/>
  <c r="N22" i="4"/>
  <c r="M22" i="4"/>
  <c r="L22" i="4"/>
  <c r="O21" i="4"/>
  <c r="N21" i="4"/>
  <c r="M21" i="4"/>
  <c r="L21" i="4"/>
  <c r="O20" i="4"/>
  <c r="N20" i="4"/>
  <c r="M20" i="4"/>
  <c r="L20" i="4"/>
  <c r="O19" i="4"/>
  <c r="N19" i="4"/>
  <c r="M19" i="4"/>
  <c r="L19" i="4"/>
  <c r="O18" i="4"/>
  <c r="N18" i="4"/>
  <c r="M18" i="4"/>
  <c r="L18" i="4"/>
  <c r="O17" i="4"/>
  <c r="N17" i="4"/>
  <c r="M17" i="4"/>
  <c r="L17" i="4"/>
  <c r="O16" i="4"/>
  <c r="N16" i="4"/>
  <c r="M16" i="4"/>
  <c r="L16" i="4"/>
  <c r="O15" i="4"/>
  <c r="N15" i="4"/>
  <c r="M15" i="4"/>
  <c r="L15" i="4"/>
  <c r="L7" i="4"/>
  <c r="B7" i="4"/>
  <c r="C6" i="4"/>
  <c r="C54" i="3"/>
  <c r="J52" i="3"/>
  <c r="G50" i="3"/>
  <c r="F50" i="3"/>
  <c r="D50" i="3"/>
  <c r="C50" i="3"/>
  <c r="G49" i="3"/>
  <c r="F49" i="3"/>
  <c r="E49" i="3"/>
  <c r="D49" i="3"/>
  <c r="C49" i="3"/>
  <c r="B49" i="3"/>
  <c r="G48" i="3"/>
  <c r="F48" i="3"/>
  <c r="D48" i="3"/>
  <c r="C48" i="3"/>
  <c r="G47" i="3"/>
  <c r="F47" i="3"/>
  <c r="D47" i="3"/>
  <c r="C47" i="3"/>
  <c r="G46" i="3"/>
  <c r="F46" i="3"/>
  <c r="E46" i="3"/>
  <c r="D46" i="3"/>
  <c r="C46" i="3"/>
  <c r="B46" i="3"/>
  <c r="G45" i="3"/>
  <c r="F45" i="3"/>
  <c r="D45" i="3"/>
  <c r="C45" i="3"/>
  <c r="G44" i="3"/>
  <c r="F44" i="3"/>
  <c r="D44" i="3"/>
  <c r="C44" i="3"/>
  <c r="G43" i="3"/>
  <c r="F43" i="3"/>
  <c r="E43" i="3"/>
  <c r="D43" i="3"/>
  <c r="C43" i="3"/>
  <c r="B43" i="3"/>
  <c r="G42" i="3"/>
  <c r="F42" i="3"/>
  <c r="D42" i="3"/>
  <c r="C42" i="3"/>
  <c r="G41" i="3"/>
  <c r="F41" i="3"/>
  <c r="D41" i="3"/>
  <c r="C41" i="3"/>
  <c r="G40" i="3"/>
  <c r="F40" i="3"/>
  <c r="E40" i="3"/>
  <c r="D40" i="3"/>
  <c r="C40" i="3"/>
  <c r="B40" i="3"/>
  <c r="G39" i="3"/>
  <c r="F39" i="3"/>
  <c r="D39" i="3"/>
  <c r="C39" i="3"/>
  <c r="G38" i="3"/>
  <c r="F38" i="3"/>
  <c r="D38" i="3"/>
  <c r="C38" i="3"/>
  <c r="G37" i="3"/>
  <c r="F37" i="3"/>
  <c r="E37" i="3"/>
  <c r="D37" i="3"/>
  <c r="C37" i="3"/>
  <c r="B37" i="3"/>
  <c r="G36" i="3"/>
  <c r="F36" i="3"/>
  <c r="D36" i="3"/>
  <c r="C36" i="3"/>
  <c r="G35" i="3"/>
  <c r="F35" i="3"/>
  <c r="D35" i="3"/>
  <c r="C35" i="3"/>
  <c r="G34" i="3"/>
  <c r="F34" i="3"/>
  <c r="E34" i="3"/>
  <c r="D34" i="3"/>
  <c r="C34" i="3"/>
  <c r="B34" i="3"/>
  <c r="G33" i="3"/>
  <c r="F33" i="3"/>
  <c r="D33" i="3"/>
  <c r="C33" i="3"/>
  <c r="G32" i="3"/>
  <c r="F32" i="3"/>
  <c r="D32" i="3"/>
  <c r="C32" i="3"/>
  <c r="G31" i="3"/>
  <c r="F31" i="3"/>
  <c r="E31" i="3"/>
  <c r="D31" i="3"/>
  <c r="C31" i="3"/>
  <c r="B31" i="3"/>
  <c r="G30" i="3"/>
  <c r="F30" i="3"/>
  <c r="D30" i="3"/>
  <c r="C30" i="3"/>
  <c r="G29" i="3"/>
  <c r="F29" i="3"/>
  <c r="D29" i="3"/>
  <c r="C29" i="3"/>
  <c r="G28" i="3"/>
  <c r="F28" i="3"/>
  <c r="E28" i="3"/>
  <c r="D28" i="3"/>
  <c r="C28" i="3"/>
  <c r="B28" i="3"/>
  <c r="G27" i="3"/>
  <c r="F27" i="3"/>
  <c r="D27" i="3"/>
  <c r="C27" i="3"/>
  <c r="G26" i="3"/>
  <c r="F26" i="3"/>
  <c r="D26" i="3"/>
  <c r="C26" i="3"/>
  <c r="G25" i="3"/>
  <c r="F25" i="3"/>
  <c r="E25" i="3"/>
  <c r="D25" i="3"/>
  <c r="C25" i="3"/>
  <c r="B25" i="3"/>
  <c r="G24" i="3"/>
  <c r="F24" i="3"/>
  <c r="D24" i="3"/>
  <c r="C24" i="3"/>
  <c r="G23" i="3"/>
  <c r="F23" i="3"/>
  <c r="D23" i="3"/>
  <c r="C23" i="3"/>
  <c r="G22" i="3"/>
  <c r="F22" i="3"/>
  <c r="E22" i="3"/>
  <c r="D22" i="3"/>
  <c r="C22" i="3"/>
  <c r="B22" i="3"/>
  <c r="G21" i="3"/>
  <c r="F21" i="3"/>
  <c r="D21" i="3"/>
  <c r="C21" i="3"/>
  <c r="I12" i="3"/>
  <c r="F12" i="3"/>
  <c r="E5" i="3"/>
  <c r="E4" i="3"/>
  <c r="J3" i="3"/>
  <c r="J2" i="3"/>
  <c r="C54" i="2"/>
  <c r="J52" i="2"/>
  <c r="G50" i="2"/>
  <c r="F50" i="2"/>
  <c r="D50" i="2"/>
  <c r="C50" i="2"/>
  <c r="G49" i="2"/>
  <c r="F49" i="2"/>
  <c r="E49" i="2"/>
  <c r="D49" i="2"/>
  <c r="C49" i="2"/>
  <c r="B49" i="2"/>
  <c r="G48" i="2"/>
  <c r="F48" i="2"/>
  <c r="D48" i="2"/>
  <c r="C48" i="2"/>
  <c r="G47" i="2"/>
  <c r="F47" i="2"/>
  <c r="D47" i="2"/>
  <c r="C47" i="2"/>
  <c r="G46" i="2"/>
  <c r="F46" i="2"/>
  <c r="E46" i="2"/>
  <c r="D46" i="2"/>
  <c r="C46" i="2"/>
  <c r="B46" i="2"/>
  <c r="G45" i="2"/>
  <c r="F45" i="2"/>
  <c r="D45" i="2"/>
  <c r="C45" i="2"/>
  <c r="G44" i="2"/>
  <c r="F44" i="2"/>
  <c r="D44" i="2"/>
  <c r="C44" i="2"/>
  <c r="G43" i="2"/>
  <c r="F43" i="2"/>
  <c r="E43" i="2"/>
  <c r="D43" i="2"/>
  <c r="C43" i="2"/>
  <c r="B43" i="2"/>
  <c r="G42" i="2"/>
  <c r="F42" i="2"/>
  <c r="D42" i="2"/>
  <c r="C42" i="2"/>
  <c r="G41" i="2"/>
  <c r="F41" i="2"/>
  <c r="D41" i="2"/>
  <c r="C41" i="2"/>
  <c r="G40" i="2"/>
  <c r="F40" i="2"/>
  <c r="E40" i="2"/>
  <c r="D40" i="2"/>
  <c r="C40" i="2"/>
  <c r="B40" i="2"/>
  <c r="G39" i="2"/>
  <c r="F39" i="2"/>
  <c r="D39" i="2"/>
  <c r="C39" i="2"/>
  <c r="G38" i="2"/>
  <c r="F38" i="2"/>
  <c r="D38" i="2"/>
  <c r="C38" i="2"/>
  <c r="G37" i="2"/>
  <c r="F37" i="2"/>
  <c r="E37" i="2"/>
  <c r="D37" i="2"/>
  <c r="C37" i="2"/>
  <c r="B37" i="2"/>
  <c r="G36" i="2"/>
  <c r="F36" i="2"/>
  <c r="D36" i="2"/>
  <c r="C36" i="2"/>
  <c r="G35" i="2"/>
  <c r="F35" i="2"/>
  <c r="D35" i="2"/>
  <c r="C35" i="2"/>
  <c r="G34" i="2"/>
  <c r="F34" i="2"/>
  <c r="E34" i="2"/>
  <c r="D34" i="2"/>
  <c r="C34" i="2"/>
  <c r="B34" i="2"/>
  <c r="G33" i="2"/>
  <c r="F33" i="2"/>
  <c r="D33" i="2"/>
  <c r="C33" i="2"/>
  <c r="G32" i="2"/>
  <c r="F32" i="2"/>
  <c r="D32" i="2"/>
  <c r="C32" i="2"/>
  <c r="G31" i="2"/>
  <c r="F31" i="2"/>
  <c r="E31" i="2"/>
  <c r="D31" i="2"/>
  <c r="C31" i="2"/>
  <c r="B31" i="2"/>
  <c r="G30" i="2"/>
  <c r="F30" i="2"/>
  <c r="D30" i="2"/>
  <c r="C30" i="2"/>
  <c r="G29" i="2"/>
  <c r="F29" i="2"/>
  <c r="D29" i="2"/>
  <c r="C29" i="2"/>
  <c r="G28" i="2"/>
  <c r="F28" i="2"/>
  <c r="E28" i="2"/>
  <c r="D28" i="2"/>
  <c r="C28" i="2"/>
  <c r="B28" i="2"/>
  <c r="G27" i="2"/>
  <c r="F27" i="2"/>
  <c r="D27" i="2"/>
  <c r="C27" i="2"/>
  <c r="G26" i="2"/>
  <c r="F26" i="2"/>
  <c r="D26" i="2"/>
  <c r="C26" i="2"/>
  <c r="G25" i="2"/>
  <c r="F25" i="2"/>
  <c r="E25" i="2"/>
  <c r="D25" i="2"/>
  <c r="C25" i="2"/>
  <c r="B25" i="2"/>
  <c r="G24" i="2"/>
  <c r="F24" i="2"/>
  <c r="D24" i="2"/>
  <c r="C24" i="2"/>
  <c r="G23" i="2"/>
  <c r="F23" i="2"/>
  <c r="D23" i="2"/>
  <c r="C23" i="2"/>
  <c r="G22" i="2"/>
  <c r="F22" i="2"/>
  <c r="E22" i="2"/>
  <c r="D22" i="2"/>
  <c r="C22" i="2"/>
  <c r="B22" i="2"/>
  <c r="G21" i="2"/>
  <c r="F21" i="2"/>
  <c r="D21" i="2"/>
  <c r="C21" i="2"/>
  <c r="I12" i="2"/>
  <c r="F12" i="2"/>
  <c r="E5" i="2"/>
  <c r="E4" i="2"/>
  <c r="J3" i="2"/>
  <c r="J2" i="2"/>
  <c r="C54" i="1"/>
  <c r="J52" i="1"/>
  <c r="G50" i="1"/>
  <c r="F50" i="1"/>
  <c r="D50" i="1"/>
  <c r="G49" i="1"/>
  <c r="F49" i="1"/>
  <c r="E49" i="1"/>
  <c r="D49" i="1"/>
  <c r="G48" i="1"/>
  <c r="F48" i="1"/>
  <c r="D48" i="1"/>
  <c r="G47" i="1"/>
  <c r="F47" i="1"/>
  <c r="G46" i="1"/>
  <c r="F46" i="1"/>
  <c r="E46" i="1"/>
  <c r="G45" i="1"/>
  <c r="F45" i="1"/>
  <c r="G44" i="1"/>
  <c r="F44" i="1"/>
  <c r="G43" i="1"/>
  <c r="F43" i="1"/>
  <c r="E43" i="1"/>
  <c r="G42" i="1"/>
  <c r="F42" i="1"/>
  <c r="G41" i="1"/>
  <c r="F41" i="1"/>
  <c r="G40" i="1"/>
  <c r="F40" i="1"/>
  <c r="E40" i="1"/>
  <c r="G39" i="1"/>
  <c r="F39" i="1"/>
  <c r="G38" i="1"/>
  <c r="F38" i="1"/>
  <c r="G37" i="1"/>
  <c r="F37" i="1"/>
  <c r="E37" i="1"/>
  <c r="G36" i="1"/>
  <c r="F36" i="1"/>
  <c r="G35" i="1"/>
  <c r="F35" i="1"/>
  <c r="G34" i="1"/>
  <c r="F34" i="1"/>
  <c r="E34" i="1"/>
  <c r="G33" i="1"/>
  <c r="F33" i="1"/>
  <c r="G32" i="1"/>
  <c r="F32" i="1"/>
  <c r="G31" i="1"/>
  <c r="F31" i="1"/>
  <c r="E31" i="1"/>
  <c r="G30" i="1"/>
  <c r="F30" i="1"/>
  <c r="G29" i="1"/>
  <c r="F29" i="1"/>
  <c r="G28" i="1"/>
  <c r="F28" i="1"/>
  <c r="E28" i="1"/>
  <c r="G27" i="1"/>
  <c r="F27" i="1"/>
  <c r="G26" i="1"/>
  <c r="F26" i="1"/>
  <c r="G25" i="1"/>
  <c r="F25" i="1"/>
  <c r="E25" i="1"/>
  <c r="G24" i="1"/>
  <c r="F24" i="1"/>
  <c r="G23" i="1"/>
  <c r="G22" i="1"/>
  <c r="G21" i="1"/>
  <c r="I12" i="1"/>
  <c r="F12" i="1"/>
  <c r="E5" i="1"/>
  <c r="E4" i="1"/>
  <c r="J3" i="1"/>
  <c r="J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7E1F2002-E507-BB48-8623-B5BA4066873E}">
      <text>
        <r>
          <rPr>
            <b/>
            <sz val="10"/>
            <color rgb="FF000000"/>
            <rFont val="Tahoma"/>
            <family val="2"/>
          </rPr>
          <t>Stephen Hinde:</t>
        </r>
        <r>
          <rPr>
            <sz val="10"/>
            <color rgb="FF000000"/>
            <rFont val="Tahoma"/>
            <family val="2"/>
          </rPr>
          <t xml:space="preserve">Revision date of the brevet details on this sheet
</t>
        </r>
      </text>
    </comment>
    <comment ref="B6" authorId="0" shapeId="0" xr:uid="{55ADC560-8758-D648-88D0-55DFD1AE55C7}">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CE26B923-2CBE-554E-9805-D2D33751FE9C}">
      <text>
        <r>
          <rPr>
            <sz val="8"/>
            <color rgb="FF000000"/>
            <rFont val="Tahoma"/>
            <family val="2"/>
          </rPr>
          <t>Autocalculated based on ACP specified times</t>
        </r>
      </text>
    </comment>
    <comment ref="B8" authorId="0" shapeId="0" xr:uid="{7ECA7FC2-07AF-6746-A2BB-CA071CDC2D86}">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B30CE0B4-46BD-1148-984B-B4FE945DE7A6}">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6D69CAEE-1F86-214F-B6BB-6E28C64FDCF8}">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940115CC-C223-1A4D-BADD-1A2F9C94C07C}">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A43C6434-FEE8-9247-A7AB-A535F1015C8D}">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21F7F787-FD24-4A41-B6B0-20DDAD6737B2}">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97B48D26-A85E-CB40-AF5B-02CA4B3221A2}">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<sst xmlns="http://schemas.openxmlformats.org/spreadsheetml/2006/main" count="189" uniqueCount="119">
  <si>
    <t>Founding member of LES RANDONNEURS MONDIAUX (1983)</t>
  </si>
  <si>
    <t>Card revised:</t>
  </si>
  <si>
    <t>Control Card</t>
  </si>
  <si>
    <t>Brevet #</t>
  </si>
  <si>
    <t>Rider:</t>
  </si>
  <si>
    <t>Member #</t>
  </si>
  <si>
    <t>Bicycle Type
Circle one</t>
  </si>
  <si>
    <t>-------&gt;</t>
  </si>
  <si>
    <t>Single     Tandem     Fixed     Recumbent     Velomobile</t>
  </si>
  <si>
    <t>Start Date:</t>
  </si>
  <si>
    <t>Start time:</t>
  </si>
  <si>
    <t>Finish Date:</t>
  </si>
  <si>
    <t>Finish time:</t>
  </si>
  <si>
    <t>Elapsed time:</t>
  </si>
  <si>
    <t>Rider's signature at completion</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</si>
  <si>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</si>
  <si>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DIST (km)</t>
  </si>
  <si>
    <t>Open</t>
  </si>
  <si>
    <t>Close</t>
  </si>
  <si>
    <t>Locale</t>
  </si>
  <si>
    <t>Establishment</t>
  </si>
  <si>
    <t>Signature/Answer</t>
  </si>
  <si>
    <t>Time of Passage</t>
  </si>
  <si>
    <t>Report results or abandonment through registration email link</t>
  </si>
  <si>
    <t xml:space="preserve">Organizer: </t>
  </si>
  <si>
    <t>Template revised:</t>
  </si>
  <si>
    <t>DO NOT MOVE OR DELETE ROWS OR COLUMNS (delete contents of cells only)</t>
  </si>
  <si>
    <t>Scroll right to see further instructions</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</si>
  <si>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</si>
  <si>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 xml:space="preserve">Template Revised:  </t>
  </si>
  <si>
    <t xml:space="preserve">Card Revised:  </t>
  </si>
  <si>
    <t>Brevet Length:</t>
  </si>
  <si>
    <t>Instructions</t>
  </si>
  <si>
    <t>Fill nominal brevet length.  This is the ACP distance eg 200, 300, 1000</t>
  </si>
  <si>
    <t>Maximum Time:</t>
  </si>
  <si>
    <t>Maximum allowable time automatically calculated</t>
  </si>
  <si>
    <t>Brevet Description:</t>
  </si>
  <si>
    <t>Ripple Rock Blown Up</t>
  </si>
  <si>
    <t>Enter the brevet name eg 'Remembrance Day Brevet'</t>
  </si>
  <si>
    <t>Brevet Number:</t>
  </si>
  <si>
    <t>Enter the brevet number.  This is the BCR database number, and can be found on the event page in the database</t>
  </si>
  <si>
    <t>Schedule date:</t>
  </si>
  <si>
    <t>Organizer phone #</t>
  </si>
  <si>
    <t>‭(250) 213-3724‬</t>
  </si>
  <si>
    <t>Enter the schedule date.  This is the official ACP listed date and can be found on the shcedule on the website</t>
  </si>
  <si>
    <t>Enter the start date.  This will be the same as the schedule date, exceot for pre-rides or unless a ride window has been enabled.</t>
  </si>
  <si>
    <t>Start Time:</t>
  </si>
  <si>
    <t>Control Card #1</t>
  </si>
  <si>
    <t>Control Card #1 Information Control Question (optional)</t>
  </si>
  <si>
    <t>Enter the start time.  This will be the official ACP listed start time found on the event page, unless a ride window has been enabled.</t>
  </si>
  <si>
    <t>Distance</t>
  </si>
  <si>
    <t>Establishment 1</t>
  </si>
  <si>
    <t>Establishment 2</t>
  </si>
  <si>
    <t>Establishment 3</t>
  </si>
  <si>
    <t>Signature/Answer 1</t>
  </si>
  <si>
    <t>Signature/Answer 2</t>
  </si>
  <si>
    <t>Signature/Answer 3</t>
  </si>
  <si>
    <t>Open time</t>
  </si>
  <si>
    <t>Close time</t>
  </si>
  <si>
    <t>Organizer phone number is optional</t>
  </si>
  <si>
    <t>Control 1</t>
  </si>
  <si>
    <t>MILL BAY</t>
  </si>
  <si>
    <t>Tim Hortons</t>
  </si>
  <si>
    <t>or Shell Gas</t>
  </si>
  <si>
    <t>Deloume Rd</t>
  </si>
  <si>
    <t>BUSINESS</t>
  </si>
  <si>
    <t>Fill in the control distance.  The opening and closing times will be automatically calculated based on the start time and the brevet distance.  If you need more than 10 controls, or need an alternate start loction, use card #2, otherwise leave that section blank. (Similarly for cards #3 and #4.)</t>
  </si>
  <si>
    <t>Control 2</t>
  </si>
  <si>
    <t>YOUBOU</t>
  </si>
  <si>
    <t>INFORMATION</t>
  </si>
  <si>
    <t>Arise Café</t>
  </si>
  <si>
    <t>10375 Youbou Rd</t>
  </si>
  <si>
    <t>Face building,  AC Coffee sign</t>
  </si>
  <si>
    <t>Arrow points which way?</t>
  </si>
  <si>
    <t>LEFT       DOWN       RIGHT</t>
  </si>
  <si>
    <t>Fill in the Locale (city) for each control.  Establishment 1, 2, and 3 can be used to describe the control itself eg Locale HOPE  Est.1  BUSINESS Est.2 Dairy Queen Est.3 817 Water Ave .  For a secret control, use SECRET as the locale.</t>
  </si>
  <si>
    <t>Control 3</t>
  </si>
  <si>
    <t>CROFTON</t>
  </si>
  <si>
    <t>Old School House Museum</t>
  </si>
  <si>
    <t>1507 Joan Ave</t>
  </si>
  <si>
    <t>Sign beside door "Crofton Senior Society"</t>
  </si>
  <si>
    <t>What year?</t>
  </si>
  <si>
    <t>1890.      1986.      2006</t>
  </si>
  <si>
    <t>When using information controls, you can put your question in the Signature/Answer section eg Sig/Ans.1 Sign on main door  Sig/Ans. 2  This week's special is?  Sig/Ans. 3 ________________</t>
  </si>
  <si>
    <t>Control 4</t>
  </si>
  <si>
    <t>COMOX</t>
  </si>
  <si>
    <t>Anderton Rd before lights at Guthrie Rd</t>
  </si>
  <si>
    <t>New corner store on right corner</t>
  </si>
  <si>
    <t>Type of store?</t>
  </si>
  <si>
    <t>GROCERY       FLORIST       LIQUOR</t>
  </si>
  <si>
    <t>Control 5</t>
  </si>
  <si>
    <t>CAMPBELL RIVER</t>
  </si>
  <si>
    <t>Chevron Gas</t>
  </si>
  <si>
    <t>Island Hwy @ Redwood</t>
  </si>
  <si>
    <t>Ice coolers to right of door</t>
  </si>
  <si>
    <t>Price of 4kg ice?</t>
  </si>
  <si>
    <t>$5.__________________</t>
  </si>
  <si>
    <t>Control 6</t>
  </si>
  <si>
    <t>COURTENAY</t>
  </si>
  <si>
    <t>Piercy @ Condensory</t>
  </si>
  <si>
    <t>100m before flashing light</t>
  </si>
  <si>
    <t>Hospital direction sign</t>
  </si>
  <si>
    <t>LEFT      STRAIGHT     RIGHT</t>
  </si>
  <si>
    <t>Control 7</t>
  </si>
  <si>
    <t>QUALICUM BEACH</t>
  </si>
  <si>
    <t xml:space="preserve">Shell Gas </t>
  </si>
  <si>
    <t>On Laundromat door</t>
  </si>
  <si>
    <t>Hours of Operation?</t>
  </si>
  <si>
    <t>9AM to ________PM</t>
  </si>
  <si>
    <t>Control 8</t>
  </si>
  <si>
    <t>NANAIMO</t>
  </si>
  <si>
    <t>E&amp;N Trail @ Waddington</t>
  </si>
  <si>
    <t>North side of crosswalk.  Look back up trail</t>
  </si>
  <si>
    <t>At railway crossing</t>
  </si>
  <si>
    <t>Is there a garbage can?</t>
  </si>
  <si>
    <t xml:space="preserve">YES.      NO.      </t>
  </si>
  <si>
    <t>Control 9</t>
  </si>
  <si>
    <t>SELF SIGN</t>
  </si>
  <si>
    <t>Control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</si>
</sst>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mm\ d\,\ yyyy"/>
    <numFmt numFmtId="165" formatCode="0.0"/>
    <numFmt numFmtId="166" formatCode="dddd"/>
    <numFmt numFmtId="167" formatCode="d/mmm/yy"/>
    <numFmt numFmtId="168" formatCode="[&lt;=9999999]###\-####;###\-###\-####"/>
    <numFmt numFmtId="169" formatCode="dd/mmm/yy\ hh:mm\ AM/PM"/>
  </numFmts>
  <fonts count="30" x14ac:knownFonts="1">
    <font>
      <sz val="10"/>
      <name val="Arial"/>
      <family val="2"/>
    </font>
    <font>
      <sz val="10"/>
      <name val="Arial"/>
      <family val="2"/>
    </font>
    <font>
      <sz val="12"/>
      <name val="Arial"/>
      <family val="2"/>
    </font>
    <font>
      <sz val="14"/>
      <name val="Arial"/>
      <family val="2"/>
    </font>
    <font>
      <sz val="36"/>
      <name val="Arial"/>
      <family val="2"/>
    </font>
    <font>
      <sz val="22"/>
      <name val="Arial"/>
      <family val="2"/>
    </font>
    <font>
      <sz val="16"/>
      <name val="Arial"/>
      <family val="2"/>
    </font>
    <font>
      <b/>
      <sz val="16"/>
      <name val="Arial"/>
      <family val="2"/>
    </font>
    <font>
      <b/>
      <sz val="22"/>
      <name val="Arial"/>
      <family val="2"/>
    </font>
    <font>
      <sz val="18"/>
      <name val="Arial"/>
      <family val="2"/>
    </font>
    <font>
      <sz val="16"/>
      <name val="Arial Narrow"/>
      <family val="2"/>
    </font>
    <font>
      <b/>
      <sz val="12"/>
      <name val="Arial"/>
      <family val="2"/>
    </font>
    <font>
      <i/>
      <sz val="16"/>
      <name val="Arial"/>
      <family val="2"/>
    </font>
    <font>
      <b/>
      <i/>
      <sz val="16"/>
      <name val="Arial"/>
      <family val="2"/>
    </font>
    <font>
      <sz val="20"/>
      <name val="Arial Narrow"/>
      <family val="2"/>
    </font>
    <font>
      <b/>
      <sz val="20"/>
      <name val="Arial Narrow"/>
      <family val="2"/>
    </font>
    <font>
      <sz val="20"/>
      <name val="Arial"/>
      <family val="2"/>
    </font>
    <font>
      <b/>
      <sz val="18"/>
      <name val="Arial Narrow"/>
      <family val="2"/>
    </font>
    <font>
      <b/>
      <sz val="18"/>
      <name val="Arial"/>
      <family val="2"/>
    </font>
    <font>
      <sz val="16"/>
      <color rgb="FFFF0000"/>
      <name val="Arial"/>
      <family val="2"/>
    </font>
    <font>
      <sz val="11"/>
      <name val="Arial"/>
      <family val="2"/>
    </font>
    <font>
      <sz val="9"/>
      <name val="Arial"/>
      <family val="2"/>
    </font>
    <font>
      <sz val="11"/>
      <name val="Arial Narrow"/>
      <family val="2"/>
    </font>
    <font>
      <sz val="14"/>
      <name val="Arial Narrow"/>
      <family val="2"/>
    </font>
    <font>
      <sz val="14"/>
      <color rgb="FFFF0000"/>
      <name val="Arial"/>
      <family val="2"/>
    </font>
    <font>
      <sz val="11"/>
      <color rgb="FFFF0000"/>
      <name val="Arial"/>
      <family val="2"/>
    </font>
    <font>
      <sz val="10"/>
      <name val="Arial Narrow"/>
      <family val="2"/>
    </font>
    <font>
      <b/>
      <sz val="10"/>
      <color rgb="FF000000"/>
      <name val="Tahoma"/>
      <family val="2"/>
    </font>
    <font>
      <sz val="10"/>
      <color rgb="FF000000"/>
      <name val="Tahoma"/>
      <family val="2"/>
    </font>
    <font>
      <sz val="8"/>
      <color rgb="FF000000"/>
      <name val="Tahoma"/>
      <family val="2"/>
    </font>
  </fonts>
  <fills count="3">
    <fill>
      <patternFill patternType="none"/>
    </fill>
    <fill>
      <patternFill patternType="gray125"/>
    </fill>
    <fill>
      <patternFill patternType="solid">
        <fgColor indexed="22"/>
        <bgColor indexed="64"/>
      </patternFill>
    </fill>
  </fills>
  <borders count="32">
    <border>
      <left/>
      <right/>
      <top/>
      <bottom/>
      <diagonal/>
    </border>
    <border>
      <left/>
      <right/>
      <top/>
      <bottom style="medium">
        <color auto="1"/>
      </bottom>
      <diagonal/>
    </border>
    <border>
      <left/>
      <right/>
      <top style="medium">
        <color auto="1"/>
      </top>
      <bottom/>
      <diagonal/>
    </border>
    <border>
      <left/>
      <right/>
      <top/>
      <bottom style="double">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cellStyleXfs>
  <cellXfs count="148">
    <xf numFmtId="0" fontId="0" fillId="0" borderId="0" xfId="0"/>
    <xf numFmtId="0" fontId="0" fillId="0" borderId="0" xfId="0" applyAlignment="1">
      <alignment horizontal="left"/>
    </xf>
    <xf numFmtId="0" fontId="1" fillId="0" borderId="0" xfId="0" applyFont="1" applyAlignment="1">
      <alignment horizontal="left"/>
    </xf>
    <xf numFmtId="0" fontId="2" fillId="0" borderId="0" xfId="0" applyFont="1" applyAlignment="1">
      <alignment vertical="top"/>
    </xf>
    <xf numFmtId="0" fontId="3" fillId="0" borderId="0" xfId="0" applyFont="1" applyAlignment="1">
      <alignment horizontal="right" vertical="top"/>
    </xf>
    <xf numFmtId="15" fontId="3" fillId="0" borderId="0" xfId="0" applyNumberFormat="1" applyFont="1" applyAlignment="1">
      <alignment horizontal="left"/>
    </xf>
    <xf numFmtId="0" fontId="0" fillId="0" borderId="0" xfId="0" applyAlignment="1">
      <alignment vertical="top" textRotation="90"/>
    </xf>
    <xf numFmtId="0" fontId="4" fillId="0" borderId="0" xfId="0" applyFont="1" applyAlignment="1">
      <alignment horizont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xf numFmtId="0" fontId="6" fillId="0" borderId="0" xfId="0" applyFont="1" applyAlignment="1">
      <alignment horizontal="center" vertical="center" wrapText="1"/>
    </xf>
    <xf numFmtId="0" fontId="6" fillId="0" borderId="0" xfId="0" applyFont="1" applyAlignment="1">
      <alignment vertical="center" wrapText="1"/>
    </xf>
    <xf numFmtId="0" fontId="7" fillId="0" borderId="0" xfId="0" applyFont="1"/>
    <xf numFmtId="0" fontId="8"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vertical="top"/>
    </xf>
    <xf numFmtId="2" fontId="0" fillId="0" borderId="0" xfId="0" applyNumberFormat="1" applyAlignment="1">
      <alignment horizontal="center"/>
    </xf>
    <xf numFmtId="0" fontId="0" fillId="0" borderId="0" xfId="0" applyAlignment="1">
      <alignment horizontal="center"/>
    </xf>
    <xf numFmtId="0" fontId="6" fillId="0" borderId="0" xfId="0" applyFont="1" applyAlignment="1">
      <alignment horizontal="right"/>
    </xf>
    <xf numFmtId="2" fontId="0" fillId="0" borderId="1" xfId="0" applyNumberFormat="1" applyBorder="1" applyAlignment="1">
      <alignment horizontal="center"/>
    </xf>
    <xf numFmtId="0" fontId="0" fillId="0" borderId="1" xfId="0" applyBorder="1" applyAlignment="1">
      <alignment horizontal="center"/>
    </xf>
    <xf numFmtId="0" fontId="6" fillId="0" borderId="0" xfId="0" applyFont="1" applyProtection="1">
      <protection locked="0"/>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left" vertical="center"/>
    </xf>
    <xf numFmtId="0" fontId="6" fillId="0" borderId="0" xfId="0" applyFont="1" applyAlignment="1">
      <alignment horizontal="right" vertical="center" wrapText="1"/>
    </xf>
    <xf numFmtId="0" fontId="6" fillId="0" borderId="0" xfId="0" quotePrefix="1"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right"/>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right"/>
    </xf>
    <xf numFmtId="164" fontId="6" fillId="0" borderId="1" xfId="0" applyNumberFormat="1" applyFont="1" applyBorder="1" applyAlignment="1" applyProtection="1">
      <alignment horizontal="center"/>
      <protection locked="0"/>
    </xf>
    <xf numFmtId="164" fontId="6" fillId="0" borderId="0" xfId="0" applyNumberFormat="1" applyFont="1" applyAlignment="1" applyProtection="1">
      <alignment horizontal="center"/>
      <protection locked="0"/>
    </xf>
    <xf numFmtId="18" fontId="10" fillId="0" borderId="1" xfId="0" applyNumberFormat="1" applyFont="1" applyBorder="1" applyAlignment="1">
      <alignment horizontal="center" wrapText="1"/>
    </xf>
    <xf numFmtId="18" fontId="10" fillId="0" borderId="0" xfId="0" applyNumberFormat="1" applyFont="1" applyAlignment="1">
      <alignment horizontal="center" wrapText="1"/>
    </xf>
    <xf numFmtId="0" fontId="6" fillId="0" borderId="0" xfId="0" applyFont="1" applyAlignment="1">
      <alignment horizontal="center"/>
    </xf>
    <xf numFmtId="164" fontId="6" fillId="0" borderId="0" xfId="0" applyNumberFormat="1" applyFont="1" applyAlignment="1">
      <alignment horizontal="center"/>
    </xf>
    <xf numFmtId="0" fontId="0" fillId="0" borderId="0" xfId="0" applyProtection="1">
      <protection locked="0"/>
    </xf>
    <xf numFmtId="0" fontId="0" fillId="0" borderId="1" xfId="0" applyBorder="1" applyProtection="1">
      <protection locked="0"/>
    </xf>
    <xf numFmtId="0" fontId="11" fillId="0" borderId="2" xfId="0" applyFont="1" applyBorder="1" applyAlignment="1">
      <alignment horizontal="center" vertical="top"/>
    </xf>
    <xf numFmtId="0" fontId="6" fillId="0" borderId="0" xfId="0" applyFont="1" applyAlignment="1">
      <alignment horizontal="center" vertical="center"/>
    </xf>
    <xf numFmtId="0" fontId="9" fillId="0" borderId="3" xfId="0" applyFont="1" applyBorder="1" applyAlignment="1">
      <alignment horizontal="right" vertical="center"/>
    </xf>
    <xf numFmtId="0" fontId="9" fillId="0" borderId="3" xfId="0" applyFont="1" applyBorder="1" applyAlignment="1">
      <alignment vertical="center"/>
    </xf>
    <xf numFmtId="0" fontId="9" fillId="0" borderId="3" xfId="0" applyFont="1" applyBorder="1" applyAlignment="1">
      <alignment horizontal="left" vertical="center"/>
    </xf>
    <xf numFmtId="0" fontId="12" fillId="0" borderId="1" xfId="0" applyFont="1" applyBorder="1" applyAlignment="1">
      <alignment horizontal="center" vertical="center"/>
    </xf>
    <xf numFmtId="0" fontId="3" fillId="2" borderId="4" xfId="0" applyFont="1" applyFill="1" applyBorder="1" applyAlignment="1">
      <alignment horizontal="center" wrapText="1"/>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165" fontId="14" fillId="0" borderId="8" xfId="0" applyNumberFormat="1" applyFont="1" applyBorder="1" applyAlignment="1">
      <alignment horizontal="center" wrapText="1"/>
    </xf>
    <xf numFmtId="166" fontId="10" fillId="0" borderId="8" xfId="0" applyNumberFormat="1" applyFont="1" applyBorder="1" applyAlignment="1">
      <alignment horizontal="center" vertical="center" wrapText="1"/>
    </xf>
    <xf numFmtId="0" fontId="14" fillId="0" borderId="9" xfId="0" applyFont="1" applyBorder="1" applyAlignment="1">
      <alignment horizontal="center" vertical="center"/>
    </xf>
    <xf numFmtId="0" fontId="15" fillId="0" borderId="8"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6" fillId="0" borderId="12" xfId="0" applyFont="1" applyBorder="1"/>
    <xf numFmtId="165" fontId="15" fillId="0" borderId="8" xfId="0" applyNumberFormat="1" applyFont="1" applyBorder="1" applyAlignment="1">
      <alignment horizontal="center" vertical="center"/>
    </xf>
    <xf numFmtId="18" fontId="15" fillId="0" borderId="8" xfId="0" applyNumberFormat="1" applyFont="1" applyBorder="1" applyAlignment="1">
      <alignment horizontal="center" vertical="center" wrapText="1"/>
    </xf>
    <xf numFmtId="0" fontId="15" fillId="0" borderId="13"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6" fillId="0" borderId="8" xfId="0" applyFont="1" applyBorder="1"/>
    <xf numFmtId="165" fontId="14" fillId="0" borderId="14" xfId="0" applyNumberFormat="1" applyFont="1" applyBorder="1"/>
    <xf numFmtId="167" fontId="10" fillId="0" borderId="14" xfId="0" applyNumberFormat="1" applyFont="1" applyBorder="1" applyAlignment="1">
      <alignment horizontal="center" vertical="center" wrapText="1"/>
    </xf>
    <xf numFmtId="0" fontId="14" fillId="0" borderId="1" xfId="0" applyFont="1" applyBorder="1" applyAlignment="1">
      <alignment horizontal="center" vertical="center"/>
    </xf>
    <xf numFmtId="0" fontId="15" fillId="0" borderId="14" xfId="0" applyFont="1" applyBorder="1" applyAlignment="1">
      <alignment horizontal="center" vertical="center" wrapText="1"/>
    </xf>
    <xf numFmtId="0" fontId="15" fillId="0" borderId="15"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6" fillId="0" borderId="14" xfId="0" applyFont="1" applyBorder="1"/>
    <xf numFmtId="0" fontId="14" fillId="0" borderId="8" xfId="0" applyFont="1" applyBorder="1" applyAlignment="1">
      <alignment horizontal="center" vertical="center"/>
    </xf>
    <xf numFmtId="0" fontId="15" fillId="0" borderId="13" xfId="0" applyFont="1" applyBorder="1" applyAlignment="1" applyProtection="1">
      <alignment horizontal="center" vertical="top" wrapText="1"/>
      <protection locked="0"/>
    </xf>
    <xf numFmtId="0" fontId="15" fillId="0" borderId="0" xfId="0" applyFont="1" applyAlignment="1" applyProtection="1">
      <alignment horizontal="center" vertical="top" wrapText="1"/>
      <protection locked="0"/>
    </xf>
    <xf numFmtId="0" fontId="15" fillId="0" borderId="9" xfId="0" applyFont="1" applyBorder="1" applyAlignment="1" applyProtection="1">
      <alignment horizontal="center" vertical="top" wrapText="1"/>
      <protection locked="0"/>
    </xf>
    <xf numFmtId="0" fontId="17" fillId="0" borderId="14" xfId="0" applyFont="1" applyBorder="1" applyAlignment="1">
      <alignment horizontal="center" vertical="center" wrapText="1"/>
    </xf>
    <xf numFmtId="0" fontId="18" fillId="0" borderId="0" xfId="0" applyFont="1" applyAlignment="1">
      <alignment horizontal="left" vertical="center"/>
    </xf>
    <xf numFmtId="168" fontId="9" fillId="0" borderId="0" xfId="0" applyNumberFormat="1" applyFont="1" applyAlignment="1">
      <alignment vertical="center"/>
    </xf>
    <xf numFmtId="0" fontId="1" fillId="0" borderId="0" xfId="0" applyFont="1" applyAlignment="1">
      <alignment horizontal="right" vertical="top"/>
    </xf>
    <xf numFmtId="15" fontId="1" fillId="0" borderId="0" xfId="0" applyNumberFormat="1" applyFont="1" applyAlignment="1">
      <alignment horizontal="left"/>
    </xf>
    <xf numFmtId="0" fontId="0" fillId="0" borderId="0" xfId="0" applyAlignment="1">
      <alignment horizontal="right"/>
    </xf>
    <xf numFmtId="0" fontId="1" fillId="0" borderId="0" xfId="0" applyFont="1" applyAlignment="1">
      <alignment vertical="top"/>
    </xf>
    <xf numFmtId="0" fontId="0" fillId="0" borderId="0" xfId="0" applyAlignment="1">
      <alignment vertical="top"/>
    </xf>
    <xf numFmtId="15" fontId="0" fillId="0" borderId="0" xfId="0" applyNumberFormat="1" applyAlignment="1">
      <alignment horizontal="left" vertical="top"/>
    </xf>
    <xf numFmtId="0" fontId="0" fillId="0" borderId="0" xfId="0" applyAlignment="1">
      <alignment horizontal="left" vertical="top"/>
    </xf>
    <xf numFmtId="0" fontId="19" fillId="0" borderId="0" xfId="0" applyFont="1" applyAlignment="1">
      <alignment horizontal="center"/>
    </xf>
    <xf numFmtId="0" fontId="1" fillId="0" borderId="0" xfId="0" applyFont="1"/>
    <xf numFmtId="0" fontId="20" fillId="0" borderId="0" xfId="0" applyFont="1" applyAlignment="1">
      <alignment horizontal="left" vertical="top" wrapText="1"/>
    </xf>
    <xf numFmtId="0" fontId="20" fillId="0" borderId="0" xfId="0" applyFont="1" applyAlignment="1">
      <alignment vertical="top" wrapText="1"/>
    </xf>
    <xf numFmtId="0" fontId="0" fillId="0" borderId="0" xfId="0" applyProtection="1">
      <protection hidden="1"/>
    </xf>
    <xf numFmtId="0" fontId="1" fillId="0" borderId="0" xfId="0" applyFont="1" applyAlignment="1">
      <alignment wrapText="1"/>
    </xf>
    <xf numFmtId="0" fontId="21" fillId="2" borderId="17" xfId="0" applyFont="1" applyFill="1" applyBorder="1" applyAlignment="1">
      <alignment horizontal="right"/>
    </xf>
    <xf numFmtId="15" fontId="21" fillId="2" borderId="18" xfId="0" applyNumberFormat="1" applyFont="1" applyFill="1" applyBorder="1" applyAlignment="1">
      <alignment horizontal="center"/>
    </xf>
    <xf numFmtId="0" fontId="21" fillId="0" borderId="0" xfId="0" applyFont="1"/>
    <xf numFmtId="0" fontId="21" fillId="0" borderId="0" xfId="0" applyFont="1" applyAlignment="1">
      <alignment wrapText="1"/>
    </xf>
    <xf numFmtId="0" fontId="1" fillId="2" borderId="17" xfId="0" applyFont="1" applyFill="1" applyBorder="1" applyAlignment="1">
      <alignment horizontal="right"/>
    </xf>
    <xf numFmtId="15" fontId="22" fillId="0" borderId="19" xfId="0" applyNumberFormat="1" applyFont="1" applyBorder="1" applyAlignment="1" applyProtection="1">
      <alignment horizontal="center"/>
      <protection locked="0"/>
    </xf>
    <xf numFmtId="0" fontId="0" fillId="2" borderId="20" xfId="0" applyFill="1" applyBorder="1" applyAlignment="1">
      <alignment horizontal="right"/>
    </xf>
    <xf numFmtId="0" fontId="23" fillId="0" borderId="18" xfId="0" applyFont="1" applyBorder="1" applyProtection="1">
      <protection locked="0"/>
    </xf>
    <xf numFmtId="0" fontId="24" fillId="0" borderId="0" xfId="0" applyFont="1" applyAlignment="1">
      <alignment horizontal="right"/>
    </xf>
    <xf numFmtId="0" fontId="25" fillId="0" borderId="0" xfId="0" applyFont="1"/>
    <xf numFmtId="0" fontId="20" fillId="0" borderId="0" xfId="0" applyFont="1"/>
    <xf numFmtId="0" fontId="0" fillId="2" borderId="21" xfId="0" applyFill="1" applyBorder="1" applyAlignment="1">
      <alignment horizontal="right"/>
    </xf>
    <xf numFmtId="0" fontId="0" fillId="2" borderId="9" xfId="0" applyFill="1" applyBorder="1"/>
    <xf numFmtId="0" fontId="0" fillId="2" borderId="22" xfId="0" applyFill="1" applyBorder="1" applyAlignment="1">
      <alignment horizontal="right"/>
    </xf>
    <xf numFmtId="0" fontId="23" fillId="0" borderId="23" xfId="0" applyFont="1" applyBorder="1" applyAlignment="1" applyProtection="1">
      <alignment horizontal="center"/>
      <protection locked="0"/>
    </xf>
    <xf numFmtId="0" fontId="23" fillId="0" borderId="0" xfId="0" applyFont="1" applyProtection="1">
      <protection locked="0"/>
    </xf>
    <xf numFmtId="0" fontId="0" fillId="0" borderId="0" xfId="0" applyAlignment="1">
      <alignment horizontal="center"/>
    </xf>
    <xf numFmtId="1" fontId="23" fillId="0" borderId="19" xfId="0" applyNumberFormat="1" applyFont="1" applyBorder="1" applyProtection="1">
      <protection locked="0"/>
    </xf>
    <xf numFmtId="0" fontId="0" fillId="0" borderId="0" xfId="0" applyAlignment="1" applyProtection="1">
      <alignment horizontal="centerContinuous"/>
      <protection hidden="1"/>
    </xf>
    <xf numFmtId="0" fontId="0" fillId="0" borderId="0" xfId="0" applyAlignment="1">
      <alignment horizontal="centerContinuous"/>
    </xf>
    <xf numFmtId="0" fontId="1" fillId="2" borderId="21" xfId="0" applyFont="1" applyFill="1" applyBorder="1" applyAlignment="1">
      <alignment horizontal="right"/>
    </xf>
    <xf numFmtId="15" fontId="23" fillId="0" borderId="19" xfId="0" applyNumberFormat="1" applyFont="1" applyBorder="1" applyProtection="1">
      <protection locked="0"/>
    </xf>
    <xf numFmtId="0" fontId="1" fillId="2" borderId="23" xfId="0" applyFont="1" applyFill="1" applyBorder="1" applyAlignment="1">
      <alignment horizontal="right" vertical="center"/>
    </xf>
    <xf numFmtId="168" fontId="1" fillId="0" borderId="23" xfId="0" applyNumberFormat="1" applyFont="1" applyBorder="1" applyAlignment="1" applyProtection="1">
      <alignment horizontal="left"/>
      <protection locked="0"/>
    </xf>
    <xf numFmtId="0" fontId="0" fillId="2" borderId="24" xfId="0" applyFill="1" applyBorder="1" applyAlignment="1">
      <alignment horizontal="right"/>
    </xf>
    <xf numFmtId="15" fontId="23" fillId="0" borderId="23" xfId="0" applyNumberFormat="1" applyFont="1" applyBorder="1" applyProtection="1">
      <protection locked="0"/>
    </xf>
    <xf numFmtId="0" fontId="0" fillId="2" borderId="14" xfId="0" applyFill="1" applyBorder="1" applyAlignment="1">
      <alignment horizontal="right"/>
    </xf>
    <xf numFmtId="20" fontId="23" fillId="0" borderId="16" xfId="0" applyNumberFormat="1" applyFont="1" applyBorder="1" applyProtection="1">
      <protection locked="0"/>
    </xf>
    <xf numFmtId="0" fontId="1" fillId="2" borderId="5" xfId="0" applyFont="1" applyFill="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0" fillId="2" borderId="25" xfId="0" applyFill="1" applyBorder="1"/>
    <xf numFmtId="0" fontId="0" fillId="2" borderId="26" xfId="0" applyFill="1" applyBorder="1"/>
    <xf numFmtId="0" fontId="26" fillId="2" borderId="26" xfId="0" applyFont="1" applyFill="1" applyBorder="1"/>
    <xf numFmtId="0" fontId="26" fillId="2" borderId="7" xfId="0" applyFont="1" applyFill="1" applyBorder="1"/>
    <xf numFmtId="0" fontId="0" fillId="2" borderId="7" xfId="0" applyFill="1" applyBorder="1"/>
    <xf numFmtId="165" fontId="0" fillId="0" borderId="27" xfId="0" applyNumberFormat="1" applyBorder="1" applyProtection="1">
      <protection locked="0"/>
    </xf>
    <xf numFmtId="0" fontId="1" fillId="0" borderId="28" xfId="0" applyFont="1" applyBorder="1" applyProtection="1">
      <protection locked="0"/>
    </xf>
    <xf numFmtId="49" fontId="1" fillId="0" borderId="28" xfId="0" applyNumberFormat="1" applyFont="1" applyBorder="1" applyAlignment="1" applyProtection="1">
      <alignment horizontal="center"/>
      <protection locked="0"/>
    </xf>
    <xf numFmtId="49" fontId="1" fillId="0" borderId="19" xfId="0" applyNumberFormat="1" applyFont="1" applyBorder="1" applyAlignment="1" applyProtection="1">
      <alignment horizontal="center"/>
      <protection locked="0"/>
    </xf>
    <xf numFmtId="169" fontId="0" fillId="0" borderId="0" xfId="0" applyNumberFormat="1"/>
    <xf numFmtId="169" fontId="0" fillId="0" borderId="0" xfId="0" applyNumberFormat="1" applyAlignment="1">
      <alignment horizontal="center" vertical="center" wrapText="1"/>
    </xf>
    <xf numFmtId="165" fontId="0" fillId="0" borderId="0" xfId="0" applyNumberFormat="1"/>
    <xf numFmtId="49" fontId="1" fillId="0" borderId="19" xfId="0" quotePrefix="1" applyNumberFormat="1" applyFont="1" applyBorder="1" applyAlignment="1" applyProtection="1">
      <alignment horizontal="center"/>
      <protection locked="0"/>
    </xf>
    <xf numFmtId="165" fontId="0" fillId="0" borderId="29" xfId="0" applyNumberFormat="1" applyBorder="1" applyProtection="1">
      <protection locked="0"/>
    </xf>
    <xf numFmtId="0" fontId="1" fillId="0" borderId="30" xfId="0" applyFont="1" applyBorder="1" applyProtection="1">
      <protection locked="0"/>
    </xf>
    <xf numFmtId="49" fontId="1" fillId="0" borderId="30" xfId="0" applyNumberFormat="1" applyFont="1" applyBorder="1" applyAlignment="1" applyProtection="1">
      <alignment horizontal="center"/>
      <protection locked="0"/>
    </xf>
    <xf numFmtId="49" fontId="1" fillId="0" borderId="31" xfId="0" applyNumberFormat="1" applyFont="1" applyBorder="1" applyAlignment="1" applyProtection="1">
      <alignment horizontal="center"/>
      <protection locked="0"/>
    </xf>
    <xf numFmtId="165" fontId="0" fillId="0" borderId="15" xfId="0" applyNumberFormat="1" applyBorder="1" applyProtection="1">
      <protection locked="0"/>
    </xf>
    <xf numFmtId="0" fontId="23" fillId="0" borderId="1" xfId="0" applyFont="1" applyBorder="1" applyProtection="1">
      <protection locked="0"/>
    </xf>
    <xf numFmtId="49" fontId="23" fillId="0" borderId="1" xfId="0" applyNumberFormat="1" applyFont="1" applyBorder="1" applyAlignment="1" applyProtection="1">
      <alignment horizontal="center"/>
      <protection locked="0"/>
    </xf>
    <xf numFmtId="49" fontId="23" fillId="0" borderId="16" xfId="0" applyNumberFormat="1"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6B948F2-E8CB-DF42-98F4-C247657CDAAA}"/>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AFAB65C3-E6D3-A240-97C9-D8DC71520EB2}"/>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05D1FC16-17ED-3649-8DFB-D07F95BB6A59}"/>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stephencarol/Documents/BCR/2026/5636%20Riipple%20Blown%20Up/5636%20Ripple%20Rock%20EDIT%20Mill%20Bay.xlsx" TargetMode="External"/><Relationship Id="rId1" Type="http://schemas.openxmlformats.org/officeDocument/2006/relationships/externalLinkPath" Target="5636%20Ripple%20Rock%20EDIT%20Mill%20Ba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stephencarol/Documents/BCR/2026/5636%20Riipple%20Blown%20Up/5636%20Ripple%20Rock%20EDIT%20Nanaimo.xlsx" TargetMode="External"/><Relationship Id="rId1" Type="http://schemas.openxmlformats.org/officeDocument/2006/relationships/externalLinkPath" Target="5636%20Ripple%20Rock%20EDIT%20Nanaim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stephencarol/Documents/BCR/2026/5636%20Riipple%20Blown%20Up/5636%20Ripple%20Rock%20EDIT%20QB.xlsx" TargetMode="External"/><Relationship Id="rId1" Type="http://schemas.openxmlformats.org/officeDocument/2006/relationships/externalLinkPath" Target="5636%20Ripple%20Rock%20EDIT%20Q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Entry"/>
      <sheetName val="Card #1 MB"/>
    </sheetNames>
    <sheetDataSet>
      <sheetData sheetId="0">
        <row r="3">
          <cell r="B3">
            <v>45167</v>
          </cell>
        </row>
        <row r="4">
          <cell r="B4">
            <v>46164</v>
          </cell>
        </row>
        <row r="6">
          <cell r="B6">
            <v>600</v>
          </cell>
          <cell r="C6">
            <v>600</v>
          </cell>
        </row>
        <row r="7">
          <cell r="B7">
            <v>40</v>
          </cell>
        </row>
        <row r="10">
          <cell r="F10" t="str">
            <v>‭(250) 213-3724‬</v>
          </cell>
        </row>
        <row r="12">
          <cell r="B12">
            <v>46172</v>
          </cell>
        </row>
        <row r="13">
          <cell r="B13">
            <v>0.25</v>
          </cell>
        </row>
        <row r="15">
          <cell r="D15">
            <v>0</v>
          </cell>
          <cell r="E15" t="str">
            <v>MILL BAY</v>
          </cell>
          <cell r="F15" t="str">
            <v>Tim Hortons</v>
          </cell>
          <cell r="G15" t="str">
            <v>or Shell Gas</v>
          </cell>
          <cell r="H15" t="str">
            <v>Deloume Rd</v>
          </cell>
          <cell r="I15" t="str">
            <v>BUSINESS</v>
          </cell>
          <cell r="L15">
            <v>46172.25</v>
          </cell>
          <cell r="M15">
            <v>46172.291666666664</v>
          </cell>
          <cell r="N15">
            <v>46172.25</v>
          </cell>
          <cell r="O15">
            <v>46172.291666666664</v>
          </cell>
        </row>
        <row r="16">
          <cell r="D16">
            <v>71.3</v>
          </cell>
          <cell r="I16" t="str">
            <v>Face building,  AC Coffee sign</v>
          </cell>
          <cell r="J16" t="str">
            <v>Arrow points which way?</v>
          </cell>
          <cell r="K16" t="str">
            <v>LEFT       DOWN       RIGHT</v>
          </cell>
          <cell r="L16">
            <v>2.0970588235294119</v>
          </cell>
          <cell r="M16">
            <v>4.753333333333333</v>
          </cell>
          <cell r="N16">
            <v>46172.337500000001</v>
          </cell>
        </row>
        <row r="17">
          <cell r="D17">
            <v>125.2</v>
          </cell>
          <cell r="I17" t="str">
            <v>Sign beside door "Crofton Senior Society"</v>
          </cell>
          <cell r="J17" t="str">
            <v>What year?</v>
          </cell>
          <cell r="K17" t="str">
            <v>1890.      1986.      2006</v>
          </cell>
          <cell r="L17">
            <v>3.6823529411764708</v>
          </cell>
          <cell r="M17">
            <v>8.3466666666666676</v>
          </cell>
          <cell r="N17">
            <v>46172.40347222222</v>
          </cell>
        </row>
        <row r="18">
          <cell r="D18">
            <v>291.89999999999998</v>
          </cell>
          <cell r="I18" t="str">
            <v>Type of store?</v>
          </cell>
          <cell r="K18" t="str">
            <v>GROCERY       FLORIST       LIQUOR</v>
          </cell>
          <cell r="L18">
            <v>8.7542749999999998</v>
          </cell>
          <cell r="M18">
            <v>19.459999999999997</v>
          </cell>
          <cell r="N18">
            <v>46172.614583333336</v>
          </cell>
        </row>
        <row r="19">
          <cell r="D19">
            <v>344.5</v>
          </cell>
          <cell r="I19" t="str">
            <v>Ice coolers to right of door</v>
          </cell>
          <cell r="J19" t="str">
            <v>Price of 4kg ice?</v>
          </cell>
          <cell r="K19" t="str">
            <v>$5.__________________</v>
          </cell>
          <cell r="L19">
            <v>10.398025000000001</v>
          </cell>
          <cell r="M19">
            <v>22.966666666666665</v>
          </cell>
          <cell r="N19">
            <v>46172.683333333334</v>
          </cell>
        </row>
        <row r="20">
          <cell r="D20">
            <v>399.3</v>
          </cell>
          <cell r="I20" t="str">
            <v>Hospital direction sign</v>
          </cell>
          <cell r="J20" t="str">
            <v>Arrow points which way?</v>
          </cell>
          <cell r="K20" t="str">
            <v>LEFT      STRAIGHT     RIGHT</v>
          </cell>
          <cell r="L20">
            <v>12.110524999999999</v>
          </cell>
          <cell r="M20">
            <v>26.62</v>
          </cell>
          <cell r="N20">
            <v>46172.754861111112</v>
          </cell>
        </row>
        <row r="21">
          <cell r="D21">
            <v>464.2</v>
          </cell>
          <cell r="I21" t="str">
            <v>On Laundromat door</v>
          </cell>
          <cell r="J21" t="str">
            <v>Hours of Operation?</v>
          </cell>
          <cell r="K21" t="str">
            <v>9AM to ________PM</v>
          </cell>
          <cell r="L21">
            <v>14.272400000000001</v>
          </cell>
          <cell r="M21">
            <v>30.946666666666665</v>
          </cell>
          <cell r="N21">
            <v>46172.844444444447</v>
          </cell>
        </row>
        <row r="22">
          <cell r="D22">
            <v>510.7</v>
          </cell>
          <cell r="I22" t="str">
            <v>At railway crossing</v>
          </cell>
          <cell r="J22" t="str">
            <v>Is there a garbage can?</v>
          </cell>
          <cell r="K22" t="str">
            <v xml:space="preserve">YES.      NO.      </v>
          </cell>
          <cell r="L22">
            <v>15.8224</v>
          </cell>
          <cell r="M22">
            <v>34.046666666666667</v>
          </cell>
          <cell r="N22">
            <v>46172.90902777778</v>
          </cell>
        </row>
        <row r="23">
          <cell r="D23">
            <v>600.9</v>
          </cell>
          <cell r="L23">
            <v>18.831142857142854</v>
          </cell>
          <cell r="M23">
            <v>40</v>
          </cell>
          <cell r="N23">
            <v>46173.034722222219</v>
          </cell>
        </row>
        <row r="24">
          <cell r="L24" t="str">
            <v/>
          </cell>
          <cell r="M24" t="str">
            <v/>
          </cell>
          <cell r="N24" t="str">
            <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Entry"/>
      <sheetName val="Card #1 Nanaimo"/>
    </sheetNames>
    <sheetDataSet>
      <sheetData sheetId="0">
        <row r="3">
          <cell r="B3">
            <v>45167</v>
          </cell>
        </row>
        <row r="4">
          <cell r="B4">
            <v>46164</v>
          </cell>
        </row>
        <row r="6">
          <cell r="B6">
            <v>600</v>
          </cell>
          <cell r="C6">
            <v>600</v>
          </cell>
        </row>
        <row r="7">
          <cell r="B7">
            <v>40</v>
          </cell>
        </row>
        <row r="8">
          <cell r="B8" t="str">
            <v>Ripple Rock Blown Up</v>
          </cell>
        </row>
        <row r="9">
          <cell r="B9">
            <v>5636</v>
          </cell>
        </row>
        <row r="10">
          <cell r="F10" t="str">
            <v>‭(250) 213-3724‬</v>
          </cell>
        </row>
        <row r="12">
          <cell r="B12">
            <v>46172</v>
          </cell>
        </row>
        <row r="13">
          <cell r="B13">
            <v>0.25</v>
          </cell>
        </row>
        <row r="15">
          <cell r="D15">
            <v>0</v>
          </cell>
          <cell r="E15" t="str">
            <v>NANAIMO</v>
          </cell>
          <cell r="F15" t="str">
            <v>SELF SIGN</v>
          </cell>
          <cell r="G15" t="str">
            <v>E&amp;N Trail @ Waddington</v>
          </cell>
          <cell r="H15" t="str">
            <v>North side of crosswalk.  Look back up trail</v>
          </cell>
          <cell r="I15" t="str">
            <v>At railway crossing</v>
          </cell>
          <cell r="J15" t="str">
            <v>Is there a garbage can?</v>
          </cell>
          <cell r="K15" t="str">
            <v xml:space="preserve">YES.      NO.      </v>
          </cell>
          <cell r="L15">
            <v>46172.25</v>
          </cell>
          <cell r="M15">
            <v>46172.291666666664</v>
          </cell>
          <cell r="N15">
            <v>46172.25</v>
          </cell>
          <cell r="O15">
            <v>46172.291666666664</v>
          </cell>
        </row>
        <row r="16">
          <cell r="D16">
            <v>90.199999999999989</v>
          </cell>
          <cell r="E16" t="str">
            <v>MILL BAY</v>
          </cell>
          <cell r="F16" t="str">
            <v>INFORMATION</v>
          </cell>
          <cell r="G16" t="str">
            <v>Tim Hortons</v>
          </cell>
          <cell r="H16" t="str">
            <v>Deloume Rd</v>
          </cell>
          <cell r="I16" t="str">
            <v>On  door</v>
          </cell>
          <cell r="J16" t="str">
            <v>Restaurant Hours?</v>
          </cell>
          <cell r="K16" t="str">
            <v>__________AM to 10 PM</v>
          </cell>
          <cell r="L16">
            <v>2.6529411764705877</v>
          </cell>
          <cell r="M16">
            <v>6.0133333333333328</v>
          </cell>
          <cell r="N16">
            <v>46172.36041666667</v>
          </cell>
          <cell r="O16">
            <v>46172.500694444447</v>
          </cell>
        </row>
        <row r="17">
          <cell r="D17">
            <v>161.5</v>
          </cell>
          <cell r="E17" t="str">
            <v>YOUBOU</v>
          </cell>
          <cell r="F17" t="str">
            <v>INFORMATION</v>
          </cell>
          <cell r="G17" t="str">
            <v>Arise Café</v>
          </cell>
          <cell r="H17" t="str">
            <v>10375 Youbou Rd</v>
          </cell>
          <cell r="I17" t="str">
            <v>Face building,  AC Coffee sign</v>
          </cell>
          <cell r="J17" t="str">
            <v>Arrow points which way?</v>
          </cell>
          <cell r="K17" t="str">
            <v>LEFT       DOWN       RIGHT</v>
          </cell>
          <cell r="L17">
            <v>4.75</v>
          </cell>
          <cell r="M17">
            <v>10.766666666666667</v>
          </cell>
          <cell r="N17">
            <v>46172.447916666664</v>
          </cell>
          <cell r="O17">
            <v>46172.698611111111</v>
          </cell>
        </row>
        <row r="18">
          <cell r="D18">
            <v>215.39999999999998</v>
          </cell>
          <cell r="E18" t="str">
            <v>CROFTON</v>
          </cell>
          <cell r="F18" t="str">
            <v>INFORMATION</v>
          </cell>
          <cell r="G18" t="str">
            <v>Old School House Museum</v>
          </cell>
          <cell r="H18" t="str">
            <v>1507 Joan Ave</v>
          </cell>
          <cell r="I18" t="str">
            <v>Sign beside door "Crofton Senior Society"</v>
          </cell>
          <cell r="J18" t="str">
            <v>What year?</v>
          </cell>
          <cell r="K18" t="str">
            <v>1890.      1986.      2006</v>
          </cell>
          <cell r="L18">
            <v>6.3636499999999989</v>
          </cell>
          <cell r="M18">
            <v>14.359999999999998</v>
          </cell>
          <cell r="N18">
            <v>46172.515277777777</v>
          </cell>
          <cell r="O18">
            <v>46172.848611111112</v>
          </cell>
        </row>
        <row r="19">
          <cell r="D19">
            <v>382.09999999999997</v>
          </cell>
          <cell r="E19" t="str">
            <v>COMOX</v>
          </cell>
          <cell r="F19" t="str">
            <v>INFORMATION</v>
          </cell>
          <cell r="G19" t="str">
            <v>Anderton Rd before lights at Guthrie Rd</v>
          </cell>
          <cell r="H19" t="str">
            <v>New corner store on right corner</v>
          </cell>
          <cell r="I19" t="str">
            <v>Type of store?</v>
          </cell>
          <cell r="K19" t="str">
            <v>GROCERY       FLORIST       LIQUOR</v>
          </cell>
          <cell r="L19">
            <v>11.573024999999998</v>
          </cell>
          <cell r="M19">
            <v>25.473333333333333</v>
          </cell>
          <cell r="N19">
            <v>46172.731944444444</v>
          </cell>
          <cell r="O19">
            <v>46173.311111111114</v>
          </cell>
        </row>
        <row r="20">
          <cell r="D20">
            <v>434.7</v>
          </cell>
          <cell r="E20" t="str">
            <v>CAMPBELL RIVER</v>
          </cell>
          <cell r="F20" t="str">
            <v>INFORMATION</v>
          </cell>
          <cell r="G20" t="str">
            <v>Chevron Gas</v>
          </cell>
          <cell r="H20" t="str">
            <v>Island Hwy @ Redwood</v>
          </cell>
          <cell r="I20" t="str">
            <v>Ice coolers to right of door</v>
          </cell>
          <cell r="J20" t="str">
            <v>Price of 4kg ice?</v>
          </cell>
          <cell r="K20" t="str">
            <v>$5.__________________</v>
          </cell>
          <cell r="L20">
            <v>13.289066666666667</v>
          </cell>
          <cell r="M20">
            <v>28.98</v>
          </cell>
          <cell r="N20">
            <v>46172.803472222222</v>
          </cell>
          <cell r="O20">
            <v>46173.457638888889</v>
          </cell>
        </row>
        <row r="21">
          <cell r="D21">
            <v>489.5</v>
          </cell>
          <cell r="E21" t="str">
            <v>COURTENAY</v>
          </cell>
          <cell r="F21" t="str">
            <v>INFORMATION</v>
          </cell>
          <cell r="G21" t="str">
            <v>Piercy @ Condensory</v>
          </cell>
          <cell r="H21" t="str">
            <v>100m before flashing light</v>
          </cell>
          <cell r="I21" t="str">
            <v>Hospital direction sign</v>
          </cell>
          <cell r="J21" t="str">
            <v>Arrow points which way?</v>
          </cell>
          <cell r="K21" t="str">
            <v>LEFT      STRAIGHT     RIGHT</v>
          </cell>
          <cell r="L21">
            <v>15.115733333333335</v>
          </cell>
          <cell r="M21">
            <v>32.633333333333333</v>
          </cell>
          <cell r="N21">
            <v>46172.879861111112</v>
          </cell>
          <cell r="O21">
            <v>46173.609722222223</v>
          </cell>
        </row>
        <row r="22">
          <cell r="D22">
            <v>554.4</v>
          </cell>
          <cell r="E22" t="str">
            <v>QUALICUM BEACH</v>
          </cell>
          <cell r="F22" t="str">
            <v>INFORMATION</v>
          </cell>
          <cell r="G22" t="str">
            <v xml:space="preserve">Shell Gas </v>
          </cell>
          <cell r="I22" t="str">
            <v>On Laundromat door</v>
          </cell>
          <cell r="J22" t="str">
            <v>Hours of Operation?</v>
          </cell>
          <cell r="K22" t="str">
            <v>9AM to ________PM</v>
          </cell>
          <cell r="L22">
            <v>17.279066666666665</v>
          </cell>
          <cell r="M22">
            <v>36.96</v>
          </cell>
          <cell r="N22">
            <v>46172.970138888886</v>
          </cell>
          <cell r="O22">
            <v>46173.790277777778</v>
          </cell>
        </row>
        <row r="23">
          <cell r="D23">
            <v>600.9</v>
          </cell>
          <cell r="E23" t="str">
            <v>NANAIMO</v>
          </cell>
          <cell r="F23" t="str">
            <v>SELF SIGN</v>
          </cell>
          <cell r="G23" t="str">
            <v>E&amp;N Trail @ Waddington</v>
          </cell>
          <cell r="L23">
            <v>18.831142857142854</v>
          </cell>
          <cell r="M23">
            <v>40</v>
          </cell>
          <cell r="N23">
            <v>46173.034722222219</v>
          </cell>
          <cell r="O23">
            <v>46173.916666666664</v>
          </cell>
        </row>
        <row r="24">
          <cell r="L24" t="str">
            <v/>
          </cell>
          <cell r="M24" t="str">
            <v/>
          </cell>
          <cell r="N24" t="str">
            <v/>
          </cell>
          <cell r="O24" t="str">
            <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Entry"/>
      <sheetName val="Card #1 QB"/>
    </sheetNames>
    <sheetDataSet>
      <sheetData sheetId="0">
        <row r="3">
          <cell r="B3">
            <v>45167</v>
          </cell>
        </row>
        <row r="4">
          <cell r="B4">
            <v>46164</v>
          </cell>
        </row>
        <row r="6">
          <cell r="B6">
            <v>600</v>
          </cell>
          <cell r="C6">
            <v>600</v>
          </cell>
        </row>
        <row r="7">
          <cell r="B7">
            <v>40</v>
          </cell>
        </row>
        <row r="8">
          <cell r="B8" t="str">
            <v>Ripple Rock Blown Up</v>
          </cell>
        </row>
        <row r="9">
          <cell r="B9">
            <v>5636</v>
          </cell>
        </row>
        <row r="10">
          <cell r="F10" t="str">
            <v>‭(250) 213-3724‬</v>
          </cell>
        </row>
        <row r="12">
          <cell r="B12">
            <v>46172</v>
          </cell>
        </row>
        <row r="13">
          <cell r="B13">
            <v>0.25</v>
          </cell>
        </row>
        <row r="15">
          <cell r="D15">
            <v>0</v>
          </cell>
          <cell r="E15" t="str">
            <v>QUALICUM BEACH</v>
          </cell>
          <cell r="F15" t="str">
            <v>INFORMATION</v>
          </cell>
          <cell r="G15" t="str">
            <v xml:space="preserve">Shell Gas </v>
          </cell>
          <cell r="I15" t="str">
            <v>On Laundromat door</v>
          </cell>
          <cell r="J15" t="str">
            <v>Hours of Operation?</v>
          </cell>
          <cell r="K15" t="str">
            <v>9AM to ________PM</v>
          </cell>
          <cell r="L15">
            <v>46172.25</v>
          </cell>
          <cell r="M15">
            <v>46172.291666666664</v>
          </cell>
          <cell r="N15">
            <v>46172.25</v>
          </cell>
          <cell r="O15">
            <v>46172.291666666664</v>
          </cell>
        </row>
        <row r="16">
          <cell r="D16">
            <v>46.5</v>
          </cell>
          <cell r="E16" t="str">
            <v>NANAIMO</v>
          </cell>
          <cell r="F16" t="str">
            <v>INFORMATION</v>
          </cell>
          <cell r="G16" t="str">
            <v>E&amp;N Trail @ Waddington</v>
          </cell>
          <cell r="H16" t="str">
            <v>North side of crosswalk.  Look back up trail</v>
          </cell>
          <cell r="I16" t="str">
            <v>At railway crossing</v>
          </cell>
          <cell r="J16" t="str">
            <v>Is there a garbage can?</v>
          </cell>
          <cell r="K16" t="str">
            <v xml:space="preserve">YES.      NO.      </v>
          </cell>
          <cell r="L16">
            <v>1.3676470588235294</v>
          </cell>
          <cell r="M16">
            <v>3.3250000000000002</v>
          </cell>
          <cell r="N16">
            <v>46172.306944444441</v>
          </cell>
          <cell r="O16">
            <v>46172.388888888891</v>
          </cell>
        </row>
        <row r="17">
          <cell r="D17">
            <v>136.69999999999999</v>
          </cell>
          <cell r="E17" t="str">
            <v>MILL BAY</v>
          </cell>
          <cell r="F17" t="str">
            <v>INFORMATION</v>
          </cell>
          <cell r="G17" t="str">
            <v>Tim Hortons</v>
          </cell>
          <cell r="H17" t="str">
            <v>Deloume Rd</v>
          </cell>
          <cell r="I17" t="str">
            <v>On  door</v>
          </cell>
          <cell r="J17" t="str">
            <v>Restaurant Hours?</v>
          </cell>
          <cell r="K17" t="str">
            <v>__________AM to 10 PM</v>
          </cell>
          <cell r="L17">
            <v>4.0205882352941176</v>
          </cell>
          <cell r="M17">
            <v>9.1133333333333333</v>
          </cell>
          <cell r="N17">
            <v>46172.417361111111</v>
          </cell>
          <cell r="O17">
            <v>46172.629861111112</v>
          </cell>
        </row>
        <row r="18">
          <cell r="D18">
            <v>208</v>
          </cell>
          <cell r="E18" t="str">
            <v>YOUBOU</v>
          </cell>
          <cell r="F18" t="str">
            <v>INFORMATION</v>
          </cell>
          <cell r="G18" t="str">
            <v>Arise Café</v>
          </cell>
          <cell r="H18" t="str">
            <v>10375 Youbou Rd</v>
          </cell>
          <cell r="I18" t="str">
            <v>Face building,  AC Coffee sign</v>
          </cell>
          <cell r="J18" t="str">
            <v>Arrow points which way?</v>
          </cell>
          <cell r="K18" t="str">
            <v>LEFT       DOWN       RIGHT</v>
          </cell>
          <cell r="L18">
            <v>6.1323999999999996</v>
          </cell>
          <cell r="M18">
            <v>13.866666666666667</v>
          </cell>
          <cell r="N18">
            <v>46172.505555555559</v>
          </cell>
          <cell r="O18">
            <v>46172.827777777777</v>
          </cell>
        </row>
        <row r="19">
          <cell r="D19">
            <v>261.89999999999998</v>
          </cell>
          <cell r="E19" t="str">
            <v>CROFTON</v>
          </cell>
          <cell r="F19" t="str">
            <v>INFORMATION</v>
          </cell>
          <cell r="G19" t="str">
            <v>Old School House Museum</v>
          </cell>
          <cell r="H19" t="str">
            <v>1507 Joan Ave</v>
          </cell>
          <cell r="I19" t="str">
            <v>Sign beside door "Crofton Senior Society"</v>
          </cell>
          <cell r="J19" t="str">
            <v>What year?</v>
          </cell>
          <cell r="K19" t="str">
            <v>1890.      1986.      2006</v>
          </cell>
          <cell r="L19">
            <v>7.8167749999999989</v>
          </cell>
          <cell r="M19">
            <v>17.459999999999997</v>
          </cell>
          <cell r="N19">
            <v>46172.575694444444</v>
          </cell>
          <cell r="O19">
            <v>46172.977777777778</v>
          </cell>
        </row>
        <row r="20">
          <cell r="D20">
            <v>428.59999999999997</v>
          </cell>
          <cell r="E20" t="str">
            <v>COMOX</v>
          </cell>
          <cell r="F20" t="str">
            <v>INFORMATION</v>
          </cell>
          <cell r="G20" t="str">
            <v>Anderton Rd before lights at Guthrie Rd</v>
          </cell>
          <cell r="H20" t="str">
            <v>New corner store on right corner</v>
          </cell>
          <cell r="I20" t="str">
            <v>Type of store?</v>
          </cell>
          <cell r="K20" t="str">
            <v>GROCERY       FLORIST       LIQUOR</v>
          </cell>
          <cell r="L20">
            <v>13.085733333333332</v>
          </cell>
          <cell r="M20">
            <v>28.573333333333331</v>
          </cell>
          <cell r="N20">
            <v>46172.795138888891</v>
          </cell>
          <cell r="O20">
            <v>46173.44027777778</v>
          </cell>
        </row>
        <row r="21">
          <cell r="D21">
            <v>481.2</v>
          </cell>
          <cell r="E21" t="str">
            <v>CAMPBELL RIVER</v>
          </cell>
          <cell r="F21" t="str">
            <v>INFORMATION</v>
          </cell>
          <cell r="G21" t="str">
            <v>Chevron Gas</v>
          </cell>
          <cell r="H21" t="str">
            <v>Island Hwy @ Redwood</v>
          </cell>
          <cell r="I21" t="str">
            <v>Ice coolers to right of door</v>
          </cell>
          <cell r="J21" t="str">
            <v>Price of 4kg ice?</v>
          </cell>
          <cell r="K21" t="str">
            <v>$5.__________________</v>
          </cell>
          <cell r="L21">
            <v>14.839066666666668</v>
          </cell>
          <cell r="M21">
            <v>32.08</v>
          </cell>
          <cell r="N21">
            <v>46172.868055555555</v>
          </cell>
          <cell r="O21">
            <v>46173.586805555555</v>
          </cell>
        </row>
        <row r="22">
          <cell r="D22">
            <v>536</v>
          </cell>
          <cell r="E22" t="str">
            <v>COURTENAY</v>
          </cell>
          <cell r="F22" t="str">
            <v>INFORMATION</v>
          </cell>
          <cell r="G22" t="str">
            <v>Piercy @ Condensory</v>
          </cell>
          <cell r="H22" t="str">
            <v>100m before flashing light</v>
          </cell>
          <cell r="I22" t="str">
            <v>Hospital direction sign</v>
          </cell>
          <cell r="J22" t="str">
            <v>Arrow points which way?</v>
          </cell>
          <cell r="K22" t="str">
            <v>LEFT      STRAIGHT     RIGHT</v>
          </cell>
          <cell r="L22">
            <v>16.665733333333336</v>
          </cell>
          <cell r="M22">
            <v>35.733333333333334</v>
          </cell>
          <cell r="N22">
            <v>46172.944444444445</v>
          </cell>
          <cell r="O22">
            <v>46173.738888888889</v>
          </cell>
        </row>
        <row r="23">
          <cell r="D23">
            <v>600.9</v>
          </cell>
          <cell r="E23" t="str">
            <v>QUALICUM BEACH</v>
          </cell>
          <cell r="F23" t="str">
            <v>SELF SIGN</v>
          </cell>
          <cell r="G23" t="str">
            <v xml:space="preserve">Shell Gas </v>
          </cell>
          <cell r="L23">
            <v>18.831142857142854</v>
          </cell>
          <cell r="M23">
            <v>40</v>
          </cell>
          <cell r="N23">
            <v>46173.034722222219</v>
          </cell>
          <cell r="O23">
            <v>46173.916666666664</v>
          </cell>
        </row>
        <row r="24">
          <cell r="L24" t="str">
            <v/>
          </cell>
          <cell r="M24" t="str">
            <v/>
          </cell>
          <cell r="N24" t="str">
            <v/>
          </cell>
          <cell r="O24" t="str">
            <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77108-76E5-694E-9F35-66A514475BEB}">
  <dimension ref="A1:AG25"/>
  <sheetViews>
    <sheetView showGridLines="0" tabSelected="1" zoomScale="140" zoomScaleNormal="140" zoomScalePageLayoutView="135" workbookViewId="0">
      <selection activeCell="E22" sqref="E22:K22"/>
    </sheetView>
  </sheetViews>
  <sheetFormatPr baseColWidth="10" defaultColWidth="8.83203125" defaultRowHeight="13" x14ac:dyDescent="0.15"/>
  <cols>
    <col min="1" max="1" width="16.5" style="84" customWidth="1"/>
    <col min="2" max="2" width="10.83203125" customWidth="1"/>
    <col min="3" max="3" width="1" style="93"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89" t="s">
        <v>26</v>
      </c>
      <c r="B1" s="89"/>
      <c r="C1" s="89"/>
      <c r="D1" s="89"/>
      <c r="E1" s="89"/>
      <c r="F1" s="89"/>
      <c r="G1" s="89"/>
      <c r="H1" s="90" t="s">
        <v>27</v>
      </c>
      <c r="Q1" s="91" t="s">
        <v>28</v>
      </c>
      <c r="R1" s="91"/>
      <c r="S1" s="91"/>
      <c r="T1" s="91"/>
      <c r="U1" s="91"/>
      <c r="V1" s="91"/>
      <c r="W1" s="91"/>
      <c r="X1" s="91"/>
      <c r="Y1" s="91"/>
      <c r="Z1" s="91"/>
      <c r="AA1" s="91"/>
      <c r="AB1" s="91"/>
      <c r="AC1" s="91"/>
      <c r="AD1" s="91"/>
      <c r="AE1" s="91"/>
      <c r="AF1" s="91"/>
      <c r="AG1" s="92"/>
    </row>
    <row r="2" spans="1:33" ht="13" customHeight="1" thickBot="1" x14ac:dyDescent="0.2">
      <c r="H2" s="94"/>
      <c r="I2" s="94"/>
      <c r="Q2" s="91"/>
      <c r="R2" s="91"/>
      <c r="S2" s="91"/>
      <c r="T2" s="91"/>
      <c r="U2" s="91"/>
      <c r="V2" s="91"/>
      <c r="W2" s="91"/>
      <c r="X2" s="91"/>
      <c r="Y2" s="91"/>
      <c r="Z2" s="91"/>
      <c r="AA2" s="91"/>
      <c r="AB2" s="91"/>
      <c r="AC2" s="91"/>
      <c r="AD2" s="91"/>
      <c r="AE2" s="91"/>
      <c r="AF2" s="91"/>
      <c r="AG2" s="92"/>
    </row>
    <row r="3" spans="1:33" s="97" customFormat="1" ht="13" customHeight="1" thickBot="1" x14ac:dyDescent="0.2">
      <c r="A3" s="95" t="s">
        <v>29</v>
      </c>
      <c r="B3" s="96">
        <v>45167</v>
      </c>
      <c r="H3" s="98"/>
      <c r="I3" s="98"/>
      <c r="Q3" s="91"/>
      <c r="R3" s="91"/>
      <c r="S3" s="91"/>
      <c r="T3" s="91"/>
      <c r="U3" s="91"/>
      <c r="V3" s="91"/>
      <c r="W3" s="91"/>
      <c r="X3" s="91"/>
      <c r="Y3" s="91"/>
      <c r="Z3" s="91"/>
      <c r="AA3" s="91"/>
      <c r="AB3" s="91"/>
      <c r="AC3" s="91"/>
      <c r="AD3" s="91"/>
      <c r="AE3" s="91"/>
      <c r="AF3" s="91"/>
      <c r="AG3" s="92"/>
    </row>
    <row r="4" spans="1:33" ht="13" customHeight="1" x14ac:dyDescent="0.15">
      <c r="A4" s="99" t="s">
        <v>30</v>
      </c>
      <c r="B4" s="100">
        <v>46164</v>
      </c>
      <c r="C4"/>
      <c r="H4" s="94"/>
      <c r="I4" s="94"/>
      <c r="Q4" s="91"/>
      <c r="R4" s="91"/>
      <c r="S4" s="91"/>
      <c r="T4" s="91"/>
      <c r="U4" s="91"/>
      <c r="V4" s="91"/>
      <c r="W4" s="91"/>
      <c r="X4" s="91"/>
      <c r="Y4" s="91"/>
      <c r="Z4" s="91"/>
      <c r="AA4" s="91"/>
      <c r="AB4" s="91"/>
      <c r="AC4" s="91"/>
      <c r="AD4" s="91"/>
      <c r="AE4" s="91"/>
      <c r="AF4" s="91"/>
      <c r="AG4" s="92"/>
    </row>
    <row r="5" spans="1:33" ht="7" customHeight="1" thickBot="1" x14ac:dyDescent="0.2">
      <c r="H5" s="94"/>
      <c r="I5" s="94"/>
      <c r="Q5" s="92"/>
      <c r="R5" s="92"/>
      <c r="S5" s="92"/>
      <c r="T5" s="92"/>
      <c r="U5" s="92"/>
      <c r="V5" s="92"/>
      <c r="W5" s="92"/>
      <c r="X5" s="92"/>
      <c r="Y5" s="92"/>
      <c r="Z5" s="92"/>
      <c r="AA5" s="92"/>
      <c r="AB5" s="92"/>
      <c r="AC5" s="92"/>
      <c r="AD5" s="92"/>
      <c r="AE5" s="92"/>
      <c r="AF5" s="92"/>
      <c r="AG5" s="92"/>
    </row>
    <row r="6" spans="1:33" ht="18" x14ac:dyDescent="0.2">
      <c r="A6" s="101" t="s">
        <v>31</v>
      </c>
      <c r="B6" s="102">
        <v>600</v>
      </c>
      <c r="C6">
        <f>IF(Brevet_Length&gt;=1200,Brevet_Length,IF(Brevet_Length&gt;=1000,1000,IF(Brevet_Length&gt;=600,600,IF(Brevet_Length&gt;=400,400,IF(Brevet_Length&gt;=300,300,IF(Brevet_Length&gt;=200,200,100))))))</f>
        <v>600</v>
      </c>
      <c r="J6" s="103" t="s">
        <v>32</v>
      </c>
      <c r="K6" s="103"/>
      <c r="Q6" s="104" t="s">
        <v>33</v>
      </c>
      <c r="R6" s="104"/>
      <c r="S6" s="104"/>
      <c r="T6" s="104"/>
      <c r="U6" s="104"/>
      <c r="V6" s="104"/>
      <c r="W6" s="104"/>
      <c r="X6" s="105"/>
      <c r="Y6" s="105"/>
      <c r="Z6" s="105"/>
    </row>
    <row r="7" spans="1:33" ht="14" x14ac:dyDescent="0.15">
      <c r="A7" s="106" t="s">
        <v>34</v>
      </c>
      <c r="B7" s="107">
        <f>IF(brevet=1200,90,IF(brevet=1000,75,IF(brevet=600,40,IF(brevet=400,27,IF(brevet=300,20,IF(brevet=200,13.5,IF(brevet&lt;200,L7,0)))))))</f>
        <v>40</v>
      </c>
      <c r="L7">
        <f>IF(Brevet_Length=150,10.5,IF(Brevet_Length=100,7,IF(Brevet_Length=50,3.5,IF(Brevet_Length=25, 2,0))))</f>
        <v>0</v>
      </c>
      <c r="Q7" s="105" t="s">
        <v>35</v>
      </c>
      <c r="R7" s="105"/>
      <c r="S7" s="105"/>
      <c r="T7" s="105"/>
      <c r="U7" s="105"/>
      <c r="V7" s="105"/>
      <c r="W7" s="105"/>
      <c r="X7" s="105"/>
      <c r="Y7" s="105"/>
      <c r="Z7" s="105"/>
    </row>
    <row r="8" spans="1:33" ht="18" x14ac:dyDescent="0.2">
      <c r="A8" s="108" t="s">
        <v>36</v>
      </c>
      <c r="B8" s="109" t="s">
        <v>37</v>
      </c>
      <c r="C8" s="109"/>
      <c r="D8" s="109"/>
      <c r="E8" s="109"/>
      <c r="F8" s="109"/>
      <c r="G8" s="110"/>
      <c r="H8" s="110"/>
      <c r="I8" s="111"/>
      <c r="J8" s="111"/>
      <c r="K8" s="111"/>
      <c r="Q8" s="104" t="s">
        <v>38</v>
      </c>
      <c r="R8" s="105"/>
      <c r="S8" s="105"/>
      <c r="T8" s="105"/>
      <c r="U8" s="105"/>
      <c r="V8" s="105"/>
      <c r="W8" s="105"/>
      <c r="X8" s="105"/>
      <c r="Y8" s="105"/>
      <c r="Z8" s="105"/>
    </row>
    <row r="9" spans="1:33" ht="18" x14ac:dyDescent="0.2">
      <c r="A9" s="106" t="s">
        <v>39</v>
      </c>
      <c r="B9" s="112">
        <v>5636</v>
      </c>
      <c r="C9" s="113"/>
      <c r="F9" s="114"/>
      <c r="G9" s="114"/>
      <c r="H9" s="114"/>
      <c r="I9" s="114"/>
      <c r="J9" s="114"/>
      <c r="K9" s="114"/>
      <c r="Q9" s="104" t="s">
        <v>40</v>
      </c>
      <c r="R9" s="105"/>
      <c r="S9" s="105"/>
      <c r="T9" s="105"/>
      <c r="U9" s="105"/>
      <c r="V9" s="105"/>
      <c r="W9" s="105"/>
      <c r="X9" s="105"/>
      <c r="Y9" s="105"/>
      <c r="Z9" s="105"/>
    </row>
    <row r="10" spans="1:33" ht="18" x14ac:dyDescent="0.2">
      <c r="A10" s="115" t="s">
        <v>41</v>
      </c>
      <c r="B10" s="116">
        <v>46172</v>
      </c>
      <c r="E10" s="117" t="s">
        <v>42</v>
      </c>
      <c r="F10" s="118" t="s">
        <v>43</v>
      </c>
      <c r="Q10" s="104" t="s">
        <v>44</v>
      </c>
      <c r="R10" s="105"/>
      <c r="S10" s="105"/>
      <c r="T10" s="105"/>
      <c r="U10" s="105"/>
      <c r="V10" s="105"/>
      <c r="W10" s="105"/>
      <c r="X10" s="105"/>
      <c r="Y10" s="105"/>
      <c r="Z10" s="105"/>
    </row>
    <row r="11" spans="1:33" ht="6" customHeight="1" x14ac:dyDescent="0.15">
      <c r="B11" s="40"/>
      <c r="Q11" s="105"/>
      <c r="R11" s="105"/>
      <c r="S11" s="105"/>
      <c r="T11" s="105"/>
      <c r="U11" s="105"/>
      <c r="V11" s="105"/>
      <c r="W11" s="105"/>
      <c r="X11" s="105"/>
      <c r="Y11" s="105"/>
      <c r="Z11" s="105"/>
    </row>
    <row r="12" spans="1:33" ht="18" customHeight="1" thickBot="1" x14ac:dyDescent="0.25">
      <c r="A12" s="119" t="s">
        <v>9</v>
      </c>
      <c r="B12" s="120">
        <v>46172</v>
      </c>
      <c r="Q12" s="104" t="s">
        <v>45</v>
      </c>
      <c r="R12" s="105"/>
      <c r="S12" s="105"/>
      <c r="T12" s="105"/>
      <c r="U12" s="105"/>
      <c r="V12" s="105"/>
      <c r="W12" s="105"/>
      <c r="X12" s="105"/>
      <c r="Y12" s="105"/>
      <c r="Z12" s="105"/>
    </row>
    <row r="13" spans="1:33" ht="19" thickBot="1" x14ac:dyDescent="0.25">
      <c r="A13" s="121" t="s">
        <v>46</v>
      </c>
      <c r="B13" s="122">
        <v>0.25</v>
      </c>
      <c r="D13" s="123" t="s">
        <v>47</v>
      </c>
      <c r="E13" s="124"/>
      <c r="F13" s="124"/>
      <c r="G13" s="124"/>
      <c r="H13" s="124"/>
      <c r="I13" s="125" t="s">
        <v>48</v>
      </c>
      <c r="J13" s="124"/>
      <c r="K13" s="126"/>
      <c r="Q13" s="104" t="s">
        <v>49</v>
      </c>
      <c r="R13" s="105"/>
      <c r="S13" s="105"/>
      <c r="T13" s="105"/>
      <c r="U13" s="105"/>
      <c r="V13" s="105"/>
      <c r="W13" s="105"/>
      <c r="X13" s="105"/>
      <c r="Y13" s="105"/>
      <c r="Z13" s="105"/>
    </row>
    <row r="14" spans="1:33" ht="15" thickBot="1" x14ac:dyDescent="0.2">
      <c r="D14" s="127" t="s">
        <v>50</v>
      </c>
      <c r="E14" s="128" t="s">
        <v>19</v>
      </c>
      <c r="F14" s="129" t="s">
        <v>51</v>
      </c>
      <c r="G14" s="129" t="s">
        <v>52</v>
      </c>
      <c r="H14" s="130" t="s">
        <v>53</v>
      </c>
      <c r="I14" s="128" t="s">
        <v>54</v>
      </c>
      <c r="J14" s="128" t="s">
        <v>55</v>
      </c>
      <c r="K14" s="131" t="s">
        <v>56</v>
      </c>
      <c r="L14" t="s">
        <v>17</v>
      </c>
      <c r="M14" t="s">
        <v>18</v>
      </c>
      <c r="N14" t="s">
        <v>57</v>
      </c>
      <c r="O14" t="s">
        <v>58</v>
      </c>
      <c r="Q14" s="104" t="s">
        <v>59</v>
      </c>
      <c r="R14" s="105"/>
      <c r="S14" s="105"/>
      <c r="T14" s="105"/>
      <c r="U14" s="105"/>
      <c r="V14" s="105"/>
      <c r="W14" s="105"/>
      <c r="X14" s="105"/>
      <c r="Y14" s="105"/>
      <c r="Z14" s="105"/>
    </row>
    <row r="15" spans="1:33" ht="17" customHeight="1" x14ac:dyDescent="0.15">
      <c r="C15" s="93" t="s">
        <v>60</v>
      </c>
      <c r="D15" s="132">
        <v>0</v>
      </c>
      <c r="E15" s="133" t="s">
        <v>61</v>
      </c>
      <c r="F15" s="134" t="s">
        <v>62</v>
      </c>
      <c r="G15" s="134" t="s">
        <v>63</v>
      </c>
      <c r="H15" s="135" t="s">
        <v>64</v>
      </c>
      <c r="I15" s="134" t="s">
        <v>65</v>
      </c>
      <c r="J15" s="134"/>
      <c r="K15" s="135"/>
      <c r="L15" s="136">
        <f>Start_date+Start_time</f>
        <v>46172.25</v>
      </c>
      <c r="M15" s="136">
        <f>L15+"1:00"</f>
        <v>46172.291666666664</v>
      </c>
      <c r="N15" s="137">
        <f>IF(ISBLANK(Distance),"",Open Control_1)</f>
        <v>46172.25</v>
      </c>
      <c r="O15" s="137">
        <f>IF(ISBLANK(Distance),"",Close Control_1)</f>
        <v>46172.291666666664</v>
      </c>
      <c r="Q15" s="104" t="s">
        <v>66</v>
      </c>
      <c r="R15" s="105"/>
      <c r="S15" s="105"/>
      <c r="T15" s="105"/>
      <c r="U15" s="105"/>
      <c r="V15" s="105"/>
      <c r="W15" s="105"/>
      <c r="X15" s="105"/>
      <c r="Y15" s="105"/>
      <c r="Z15" s="105"/>
    </row>
    <row r="16" spans="1:33" ht="17" customHeight="1" x14ac:dyDescent="0.15">
      <c r="B16" s="138"/>
      <c r="C16" s="93" t="s">
        <v>67</v>
      </c>
      <c r="D16" s="132">
        <v>71.3</v>
      </c>
      <c r="E16" s="133" t="s">
        <v>68</v>
      </c>
      <c r="F16" s="134" t="s">
        <v>69</v>
      </c>
      <c r="G16" s="134" t="s">
        <v>70</v>
      </c>
      <c r="H16" s="135" t="s">
        <v>71</v>
      </c>
      <c r="I16" s="134" t="s">
        <v>72</v>
      </c>
      <c r="J16" s="134" t="s">
        <v>73</v>
      </c>
      <c r="K16" s="139" t="s">
        <v>74</v>
      </c>
      <c r="L16">
        <f>IF(ISBLANK(Distance),"",IF(Distance&gt;1000,(Distance-1000)/26+33.0847,(IF(Distance&gt;600,(Distance-600)/28+18.799,(IF(Distance&gt;400,(Distance-400)/30+12.1324,(IF(Distance&gt;200,(Distance-200)/32+5.8824,Distance/34))))))))</f>
        <v>2.0970588235294119</v>
      </c>
      <c r="M16">
        <f>IF(ISBLANK(Distance),"",IF(Distance&gt;=brevet,D16200IF(brevet&gt;1200,(brevet-1200)*75/1000+90,Max_time),IF(Distance&gt;1200,(Distance-1200)*75/1000+90,IF(Distance&gt;1000,(Distance-1000)/(1000/75)+75,IF(Distance&gt;600,(Distance-600)/(400/35)+40,IF(Distance&lt;=60,(Distance/20+1),Distance/15))))))</f>
        <v>4.753333333333333</v>
      </c>
      <c r="N16" s="137">
        <f>IF(ISBLANK(Distance),"",Open_time Control_1+(INT(Open)&amp;":"&amp;IF(ROUND(((Open-INT(Open))*60),0)&lt;10,0,"")&amp;ROUND(((Open-INT(Open))*60),0)))</f>
        <v>46172.337500000001</v>
      </c>
      <c r="O16" s="137">
        <f>IF(ISBLANK(Distance),"",Open_time Control_1+(INT(Close)&amp;":"&amp;IF(ROUND(((Close-INT(Close))*60),0)&lt;10,0,"")&amp;ROUND(((Close-INT(Close))*60),0)))</f>
        <v>46172.447916666664</v>
      </c>
      <c r="Q16" s="104" t="s">
        <v>75</v>
      </c>
      <c r="R16" s="105"/>
      <c r="S16" s="105"/>
      <c r="T16" s="105"/>
      <c r="U16" s="105"/>
      <c r="V16" s="105"/>
      <c r="W16" s="105"/>
      <c r="X16" s="105"/>
      <c r="Y16" s="105"/>
      <c r="Z16" s="105"/>
    </row>
    <row r="17" spans="2:26" ht="17" customHeight="1" x14ac:dyDescent="0.15">
      <c r="B17" s="138"/>
      <c r="C17" s="93" t="s">
        <v>76</v>
      </c>
      <c r="D17" s="132">
        <v>125.2</v>
      </c>
      <c r="E17" s="133" t="s">
        <v>77</v>
      </c>
      <c r="F17" s="134" t="s">
        <v>69</v>
      </c>
      <c r="G17" s="134" t="s">
        <v>78</v>
      </c>
      <c r="H17" s="135" t="s">
        <v>79</v>
      </c>
      <c r="I17" s="134" t="s">
        <v>80</v>
      </c>
      <c r="J17" s="134" t="s">
        <v>81</v>
      </c>
      <c r="K17" s="135" t="s">
        <v>82</v>
      </c>
      <c r="L17">
        <f>IF(ISBLANK(Distance),"",IF(Distance&gt;1000,(Distance-1000)/26+33.0847,(IF(Distance&gt;600,(Distance-600)/28+18.799,(IF(Distance&gt;400,(Distance-400)/30+12.1324,(IF(Distance&gt;200,(Distance-200)/32+5.8824,Distance/34))))))))</f>
        <v>3.6823529411764708</v>
      </c>
      <c r="M17">
        <f t="shared" ref="M17:M24" si="0">IF(ISBLANK(Distance),"",IF(Distance&gt;=brevet,IF(brevet&gt;1200,(brevet-1200)*75/1000+90,Max_time),IF(Distance&gt;1200,(Distance-1200)*75/1000+90,IF(Distance&gt;1000,(Distance-1000)/(1000/75)+75,IF(Distance&gt;600,(Distance-600)/(400/35)+40,IF(Distance&lt;=60,(Distance/20+1),Distance/15))))))</f>
        <v>8.3466666666666676</v>
      </c>
      <c r="N17" s="137">
        <f>IF(ISBLANK(Distance),"",Open_time Control_1+(INT(Open)&amp;":"&amp;IF(ROUND(((Open-INT(Open))*60),0)&lt;10,0,"")&amp;ROUND(((Open-INT(Open))*60),0)))</f>
        <v>46172.40347222222</v>
      </c>
      <c r="O17" s="137">
        <f>IF(ISBLANK(Distance),"",Open_time Control_1+(INT(Close)&amp;":"&amp;IF(ROUND(((Close-INT(Close))*60),0)&lt;10,0,"")&amp;ROUND(((Close-INT(Close))*60),0)))</f>
        <v>46172.597916666666</v>
      </c>
      <c r="Q17" s="104" t="s">
        <v>83</v>
      </c>
      <c r="R17" s="105"/>
      <c r="S17" s="105"/>
      <c r="T17" s="105"/>
      <c r="U17" s="105"/>
      <c r="V17" s="105"/>
      <c r="W17" s="105"/>
      <c r="X17" s="105"/>
      <c r="Y17" s="105"/>
      <c r="Z17" s="105"/>
    </row>
    <row r="18" spans="2:26" ht="17" customHeight="1" x14ac:dyDescent="0.15">
      <c r="B18" s="138"/>
      <c r="C18" s="93" t="s">
        <v>84</v>
      </c>
      <c r="D18" s="132">
        <v>291.89999999999998</v>
      </c>
      <c r="E18" s="133" t="s">
        <v>85</v>
      </c>
      <c r="F18" s="134" t="s">
        <v>69</v>
      </c>
      <c r="G18" s="134" t="s">
        <v>86</v>
      </c>
      <c r="H18" s="135" t="s">
        <v>87</v>
      </c>
      <c r="I18" s="134" t="s">
        <v>88</v>
      </c>
      <c r="J18" s="134"/>
      <c r="K18" s="135" t="s">
        <v>89</v>
      </c>
      <c r="L18">
        <f t="shared" ref="L18:L24" si="1">IF(ISBLANK(Distance),"",IF(Distance&gt;1000,(Distance-1000)/26+33.0847,(IF(Distance&gt;600,(Distance-600)/28+18.799,(IF(Distance&gt;400,(Distance-400)/30+12.1324,(IF(Distance&gt;200,(Distance-200)/32+5.8824,Distance/34))))))))</f>
        <v>8.7542749999999998</v>
      </c>
      <c r="M18">
        <f t="shared" si="0"/>
        <v>19.459999999999997</v>
      </c>
      <c r="N18" s="137">
        <f>IF(ISBLANK(Distance),"",Open_time Control_1+(INT(Open)&amp;":"&amp;IF(ROUND(((Open-INT(Open))*60),0)&lt;10,0,"")&amp;ROUND(((Open-INT(Open))*60),0)))</f>
        <v>46172.614583333336</v>
      </c>
      <c r="O18" s="137">
        <f>IF(ISBLANK(Distance),"",Open_time Control_1+(INT(Close)&amp;":"&amp;IF(ROUND(((Close-INT(Close))*60),0)&lt;10,0,"")&amp;ROUND(((Close-INT(Close))*60),0)))</f>
        <v>46173.061111111114</v>
      </c>
    </row>
    <row r="19" spans="2:26" ht="17" customHeight="1" x14ac:dyDescent="0.15">
      <c r="B19" s="138"/>
      <c r="C19" s="93" t="s">
        <v>90</v>
      </c>
      <c r="D19" s="132">
        <v>344.5</v>
      </c>
      <c r="E19" s="133" t="s">
        <v>91</v>
      </c>
      <c r="F19" s="134" t="s">
        <v>69</v>
      </c>
      <c r="G19" s="134" t="s">
        <v>92</v>
      </c>
      <c r="H19" s="135" t="s">
        <v>93</v>
      </c>
      <c r="I19" s="134" t="s">
        <v>94</v>
      </c>
      <c r="J19" s="134" t="s">
        <v>95</v>
      </c>
      <c r="K19" s="135" t="s">
        <v>96</v>
      </c>
      <c r="L19">
        <f t="shared" si="1"/>
        <v>10.398025000000001</v>
      </c>
      <c r="M19">
        <f t="shared" si="0"/>
        <v>22.966666666666665</v>
      </c>
      <c r="N19" s="137">
        <f>IF(ISBLANK(Distance),"",Open_time Control_1+(INT(Open)&amp;":"&amp;IF(ROUND(((Open-INT(Open))*60),0)&lt;10,0,"")&amp;ROUND(((Open-INT(Open))*60),0)))</f>
        <v>46172.683333333334</v>
      </c>
      <c r="O19" s="137">
        <f>IF(ISBLANK(Distance),"",Open_time Control_1+(INT(Close)&amp;":"&amp;IF(ROUND(((Close-INT(Close))*60),0)&lt;10,0,"")&amp;ROUND(((Close-INT(Close))*60),0)))</f>
        <v>46173.206944444442</v>
      </c>
      <c r="Q19" s="90"/>
    </row>
    <row r="20" spans="2:26" ht="17" customHeight="1" x14ac:dyDescent="0.15">
      <c r="B20" s="138"/>
      <c r="C20" s="93" t="s">
        <v>97</v>
      </c>
      <c r="D20" s="132">
        <v>399.3</v>
      </c>
      <c r="E20" s="133" t="s">
        <v>98</v>
      </c>
      <c r="F20" s="134" t="s">
        <v>69</v>
      </c>
      <c r="G20" s="134" t="s">
        <v>99</v>
      </c>
      <c r="H20" s="135" t="s">
        <v>100</v>
      </c>
      <c r="I20" s="134" t="s">
        <v>101</v>
      </c>
      <c r="J20" s="134" t="s">
        <v>73</v>
      </c>
      <c r="K20" s="139" t="s">
        <v>102</v>
      </c>
      <c r="L20">
        <f t="shared" si="1"/>
        <v>12.110524999999999</v>
      </c>
      <c r="M20">
        <f t="shared" si="0"/>
        <v>26.62</v>
      </c>
      <c r="N20" s="137">
        <f>IF(ISBLANK(Distance),"",Open_time Control_1+(INT(Open)&amp;":"&amp;IF(ROUND(((Open-INT(Open))*60),0)&lt;10,0,"")&amp;ROUND(((Open-INT(Open))*60),0)))</f>
        <v>46172.754861111112</v>
      </c>
      <c r="O20" s="137">
        <f>IF(ISBLANK(Distance),"",Open_time Control_1+(INT(Close)&amp;":"&amp;IF(ROUND(((Close-INT(Close))*60),0)&lt;10,0,"")&amp;ROUND(((Close-INT(Close))*60),0)))</f>
        <v>46173.359027777777</v>
      </c>
    </row>
    <row r="21" spans="2:26" ht="17" customHeight="1" x14ac:dyDescent="0.15">
      <c r="B21" s="138"/>
      <c r="C21" s="93" t="s">
        <v>103</v>
      </c>
      <c r="D21" s="132">
        <v>464.2</v>
      </c>
      <c r="E21" s="133" t="s">
        <v>104</v>
      </c>
      <c r="F21" s="134" t="s">
        <v>69</v>
      </c>
      <c r="G21" s="134" t="s">
        <v>105</v>
      </c>
      <c r="H21" s="135"/>
      <c r="I21" s="134" t="s">
        <v>106</v>
      </c>
      <c r="J21" s="134" t="s">
        <v>107</v>
      </c>
      <c r="K21" s="135" t="s">
        <v>108</v>
      </c>
      <c r="L21">
        <f t="shared" si="1"/>
        <v>14.272400000000001</v>
      </c>
      <c r="M21">
        <f t="shared" si="0"/>
        <v>30.946666666666665</v>
      </c>
      <c r="N21" s="137">
        <f>IF(ISBLANK(Distance),"",Open_time Control_1+(INT(Open)&amp;":"&amp;IF(ROUND(((Open-INT(Open))*60),0)&lt;10,0,"")&amp;ROUND(((Open-INT(Open))*60),0)))</f>
        <v>46172.844444444447</v>
      </c>
      <c r="O21" s="137">
        <f>IF(ISBLANK(Distance),"",Open_time Control_1+(INT(Close)&amp;":"&amp;IF(ROUND(((Close-INT(Close))*60),0)&lt;10,0,"")&amp;ROUND(((Close-INT(Close))*60),0)))</f>
        <v>46173.539583333331</v>
      </c>
    </row>
    <row r="22" spans="2:26" ht="17" customHeight="1" x14ac:dyDescent="0.15">
      <c r="B22" s="138"/>
      <c r="C22" s="93" t="s">
        <v>109</v>
      </c>
      <c r="D22" s="132">
        <v>510.7</v>
      </c>
      <c r="E22" s="133" t="s">
        <v>110</v>
      </c>
      <c r="F22" s="134" t="s">
        <v>69</v>
      </c>
      <c r="G22" s="134" t="s">
        <v>111</v>
      </c>
      <c r="H22" s="135" t="s">
        <v>112</v>
      </c>
      <c r="I22" s="134" t="s">
        <v>113</v>
      </c>
      <c r="J22" s="134" t="s">
        <v>114</v>
      </c>
      <c r="K22" s="139" t="s">
        <v>115</v>
      </c>
      <c r="L22">
        <f t="shared" si="1"/>
        <v>15.8224</v>
      </c>
      <c r="M22">
        <f t="shared" si="0"/>
        <v>34.046666666666667</v>
      </c>
      <c r="N22" s="137">
        <f>IF(ISBLANK(Distance),"",Open_time Control_1+(INT(Open)&amp;":"&amp;IF(ROUND(((Open-INT(Open))*60),0)&lt;10,0,"")&amp;ROUND(((Open-INT(Open))*60),0)))</f>
        <v>46172.90902777778</v>
      </c>
      <c r="O22" s="137">
        <f>IF(ISBLANK(Distance),"",Open_time Control_1+(INT(Close)&amp;":"&amp;IF(ROUND(((Close-INT(Close))*60),0)&lt;10,0,"")&amp;ROUND(((Close-INT(Close))*60),0)))</f>
        <v>46173.668749999997</v>
      </c>
    </row>
    <row r="23" spans="2:26" ht="17" customHeight="1" x14ac:dyDescent="0.15">
      <c r="B23" s="138"/>
      <c r="C23" s="93" t="s">
        <v>116</v>
      </c>
      <c r="D23" s="132">
        <v>600.9</v>
      </c>
      <c r="E23" s="133" t="s">
        <v>61</v>
      </c>
      <c r="F23" s="134" t="s">
        <v>117</v>
      </c>
      <c r="G23" s="134" t="s">
        <v>62</v>
      </c>
      <c r="H23" s="135" t="s">
        <v>64</v>
      </c>
      <c r="I23" s="134"/>
      <c r="J23" s="134"/>
      <c r="K23" s="135"/>
      <c r="L23">
        <f t="shared" si="1"/>
        <v>18.831142857142854</v>
      </c>
      <c r="M23">
        <f t="shared" si="0"/>
        <v>40</v>
      </c>
      <c r="N23" s="137">
        <f>IF(ISBLANK(Distance),"",Open_time Control_1+(INT(Open)&amp;":"&amp;IF(ROUND(((Open-INT(Open))*60),0)&lt;10,0,"")&amp;ROUND(((Open-INT(Open))*60),0)))</f>
        <v>46173.034722222219</v>
      </c>
      <c r="O23" s="137">
        <f>IF(ISBLANK(Distance),"",Open_time Control_1+(INT(Close)&amp;":"&amp;IF(ROUND(((Close-INT(Close))*60),0)&lt;10,0,"")&amp;ROUND(((Close-INT(Close))*60),0)))</f>
        <v>46173.916666666664</v>
      </c>
    </row>
    <row r="24" spans="2:26" ht="17" customHeight="1" thickBot="1" x14ac:dyDescent="0.2">
      <c r="B24" s="138"/>
      <c r="C24" s="93" t="s">
        <v>118</v>
      </c>
      <c r="D24" s="140"/>
      <c r="E24" s="141"/>
      <c r="F24" s="142"/>
      <c r="G24" s="142"/>
      <c r="H24" s="143"/>
      <c r="I24" s="142"/>
      <c r="J24" s="142"/>
      <c r="K24" s="143"/>
      <c r="L24" t="str">
        <f t="shared" si="1"/>
        <v/>
      </c>
      <c r="M24" t="str">
        <f t="shared" si="0"/>
        <v/>
      </c>
      <c r="N24" s="137" t="str">
        <f>IF(ISBLANK(Distance),"",Open_time Control_1+(INT(Open)&amp;":"&amp;IF(ROUND(((Open-INT(Open))*60),0)&lt;10,0,"")&amp;ROUND(((Open-INT(Open))*60),0)))</f>
        <v/>
      </c>
      <c r="O24" s="137" t="str">
        <f>IF(ISBLANK(Distance),"",Open_time Control_1+(INT(Close)&amp;":"&amp;IF(ROUND(((Close-INT(Close))*60),0)&lt;10,0,"")&amp;ROUND(((Close-INT(Close))*60),0)))</f>
        <v/>
      </c>
    </row>
    <row r="25" spans="2:26" ht="7" customHeight="1" thickBot="1" x14ac:dyDescent="0.25">
      <c r="D25" s="144"/>
      <c r="E25" s="145"/>
      <c r="F25" s="146"/>
      <c r="G25" s="146"/>
      <c r="H25" s="146"/>
      <c r="I25" s="146"/>
      <c r="J25" s="146"/>
      <c r="K25" s="147"/>
      <c r="N25" s="137"/>
      <c r="O25" s="137"/>
    </row>
  </sheetData>
  <sheetProtection formatCells="0" selectLockedCells="1"/>
  <mergeCells count="6">
    <mergeCell ref="A1:G1"/>
    <mergeCell ref="Q1:AF4"/>
    <mergeCell ref="J6:K6"/>
    <mergeCell ref="B8:F8"/>
    <mergeCell ref="D13:H13"/>
    <mergeCell ref="I13:K13"/>
  </mergeCells>
  <pageMargins left="0.75" right="0.75" top="1" bottom="1" header="0.5" footer="0.5"/>
  <pageSetup orientation="portrait" horizontalDpi="4294967292" verticalDpi="4294967292"/>
  <headerFooter>
    <oddHeader>&amp;A</oddHeader>
    <oddFooter>Page &amp;P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98A15-4B17-CA4B-B180-ABC5DE6298BF}">
  <sheetPr>
    <pageSetUpPr fitToPage="1"/>
  </sheetPr>
  <dimension ref="B1:O57"/>
  <sheetViews>
    <sheetView view="pageLayout" topLeftCell="A35" zoomScale="75" zoomScaleNormal="115" zoomScalePageLayoutView="75" workbookViewId="0">
      <selection activeCell="E21" sqref="E21:F23"/>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1"/>
      <c r="L1" s="1"/>
      <c r="M1" s="1"/>
    </row>
    <row r="2" spans="2:15" ht="18" x14ac:dyDescent="0.2">
      <c r="C2" s="2" t="s">
        <v>0</v>
      </c>
      <c r="D2" s="2"/>
      <c r="E2" s="2"/>
      <c r="F2" s="2"/>
      <c r="G2" s="3"/>
      <c r="H2" s="3"/>
      <c r="I2" s="4" t="s">
        <v>1</v>
      </c>
      <c r="J2" s="5">
        <f>'[1]Control Entry'!B4</f>
        <v>46164</v>
      </c>
      <c r="K2" s="3"/>
      <c r="L2" s="3"/>
    </row>
    <row r="3" spans="2:15" ht="45" customHeight="1" x14ac:dyDescent="0.45">
      <c r="D3" s="6"/>
      <c r="E3" s="7" t="s">
        <v>2</v>
      </c>
      <c r="F3" s="7"/>
      <c r="G3" s="7"/>
      <c r="H3" s="7"/>
      <c r="I3" s="8" t="s">
        <v>3</v>
      </c>
      <c r="J3" s="9">
        <f>IF(ISBLANK(Brevet_Number),"",Brevet_Number)</f>
        <v>5636</v>
      </c>
      <c r="K3" s="10"/>
      <c r="L3" s="10"/>
    </row>
    <row r="4" spans="2:15" ht="20" customHeight="1" x14ac:dyDescent="0.15">
      <c r="C4" s="6"/>
      <c r="E4" s="11" t="str">
        <f>IF(ISBLANK(Brevet_Length),"",Brevet_Length&amp;" km Randonnée")</f>
        <v>600 km Randonnée</v>
      </c>
      <c r="F4" s="11"/>
      <c r="G4" s="11"/>
      <c r="H4" s="11"/>
      <c r="K4" s="12"/>
      <c r="L4" s="12"/>
    </row>
    <row r="5" spans="2:15" ht="20" customHeight="1" x14ac:dyDescent="0.2">
      <c r="D5" s="13"/>
      <c r="E5" s="14" t="str">
        <f>IF(ISBLANK(Brevet_Description),"",Brevet_Description)</f>
        <v>Ripple Rock Blown Up</v>
      </c>
      <c r="F5" s="14"/>
      <c r="G5" s="14"/>
      <c r="H5" s="14"/>
      <c r="I5" s="15"/>
      <c r="J5" s="13"/>
      <c r="K5" s="13"/>
      <c r="L5" s="13"/>
    </row>
    <row r="6" spans="2:15" ht="20" x14ac:dyDescent="0.2">
      <c r="D6" s="16"/>
      <c r="E6" s="14"/>
      <c r="F6" s="14"/>
      <c r="G6" s="14"/>
      <c r="H6" s="14"/>
      <c r="I6" s="15"/>
      <c r="J6" s="16"/>
      <c r="K6" s="13"/>
      <c r="L6" s="13"/>
    </row>
    <row r="7" spans="2:15" ht="25" customHeight="1" x14ac:dyDescent="0.15">
      <c r="C7" s="17"/>
      <c r="D7" s="17"/>
      <c r="E7" s="17"/>
      <c r="F7" s="17"/>
      <c r="H7" s="18"/>
    </row>
    <row r="8" spans="2:15" ht="21" thickBot="1" x14ac:dyDescent="0.25">
      <c r="B8" s="19" t="s">
        <v>4</v>
      </c>
      <c r="C8" s="20"/>
      <c r="D8" s="20"/>
      <c r="E8" s="20"/>
      <c r="F8" s="20"/>
      <c r="G8" s="19" t="s">
        <v>5</v>
      </c>
      <c r="H8" s="21"/>
      <c r="I8" s="22"/>
      <c r="J8" s="22"/>
      <c r="K8" s="22"/>
    </row>
    <row r="9" spans="2:15" ht="22" customHeight="1" x14ac:dyDescent="0.15">
      <c r="B9" s="23"/>
      <c r="C9" s="23"/>
      <c r="D9" s="23"/>
      <c r="E9" s="23"/>
      <c r="F9" s="24"/>
      <c r="G9" s="25"/>
      <c r="H9" s="25"/>
      <c r="I9" s="25"/>
      <c r="J9" s="24"/>
    </row>
    <row r="10" spans="2:15" ht="20" customHeight="1" x14ac:dyDescent="0.15">
      <c r="B10" s="26" t="s">
        <v>6</v>
      </c>
      <c r="C10" s="26"/>
      <c r="D10" s="27" t="s">
        <v>7</v>
      </c>
      <c r="E10" s="28" t="s">
        <v>8</v>
      </c>
      <c r="F10" s="28"/>
      <c r="G10" s="28"/>
      <c r="H10" s="29"/>
      <c r="I10" s="30"/>
      <c r="J10" s="30"/>
      <c r="K10" s="31"/>
      <c r="L10" s="32"/>
      <c r="M10" s="32"/>
      <c r="N10" s="32"/>
      <c r="O10" s="32"/>
    </row>
    <row r="11" spans="2:15" ht="23" x14ac:dyDescent="0.15">
      <c r="B11" s="23"/>
      <c r="C11" s="23"/>
      <c r="D11" s="23"/>
      <c r="E11" s="23"/>
      <c r="F11" s="24"/>
      <c r="G11" s="25"/>
      <c r="H11" s="25"/>
      <c r="I11" s="25"/>
      <c r="J11" s="24"/>
    </row>
    <row r="12" spans="2:15" ht="21" thickBot="1" x14ac:dyDescent="0.25">
      <c r="D12" s="33" t="s">
        <v>9</v>
      </c>
      <c r="E12" s="33"/>
      <c r="F12" s="34">
        <f>IF(ISBLANK('[1]Control Entry'!B12),"",'[1]Control Entry'!B12)</f>
        <v>46172</v>
      </c>
      <c r="G12" s="35"/>
      <c r="H12" s="19" t="s">
        <v>10</v>
      </c>
      <c r="I12" s="36">
        <f>IF(ISBLANK('[1]Control Entry'!B13),"",'[1]Control Entry'!B13)</f>
        <v>0.25</v>
      </c>
      <c r="J12" s="37"/>
    </row>
    <row r="13" spans="2:15" ht="20" x14ac:dyDescent="0.2">
      <c r="D13" s="38"/>
      <c r="E13" s="38"/>
      <c r="F13" s="39"/>
      <c r="G13" s="39"/>
      <c r="H13" s="39"/>
      <c r="L13" s="37"/>
      <c r="M13" s="37"/>
      <c r="N13" s="37"/>
    </row>
    <row r="14" spans="2:15" ht="21" thickBot="1" x14ac:dyDescent="0.25">
      <c r="D14" s="33" t="s">
        <v>11</v>
      </c>
      <c r="E14" s="33"/>
      <c r="F14" s="34"/>
      <c r="G14" s="35"/>
      <c r="H14" s="19" t="s">
        <v>12</v>
      </c>
      <c r="I14" s="36"/>
      <c r="J14" s="37"/>
      <c r="L14" s="40"/>
      <c r="M14" s="40"/>
      <c r="N14" s="40"/>
    </row>
    <row r="15" spans="2:15" ht="20" x14ac:dyDescent="0.2">
      <c r="B15" s="38"/>
      <c r="C15" s="38"/>
      <c r="D15" s="39"/>
      <c r="E15" s="39"/>
      <c r="H15" s="39"/>
    </row>
    <row r="16" spans="2:15" ht="21" thickBot="1" x14ac:dyDescent="0.25">
      <c r="C16" s="41"/>
      <c r="D16" s="41"/>
      <c r="E16" s="41"/>
      <c r="F16" s="41"/>
      <c r="H16" s="19" t="s">
        <v>13</v>
      </c>
      <c r="I16" s="36"/>
      <c r="J16" s="37"/>
      <c r="L16" s="40"/>
      <c r="M16" s="40"/>
      <c r="N16" s="40"/>
    </row>
    <row r="17" spans="2:15" ht="20" x14ac:dyDescent="0.15">
      <c r="C17" s="42" t="s">
        <v>14</v>
      </c>
      <c r="D17" s="42"/>
      <c r="E17" s="42"/>
      <c r="F17" s="42"/>
      <c r="G17" s="31"/>
      <c r="H17" s="31"/>
      <c r="I17" s="43"/>
      <c r="J17" s="43"/>
      <c r="K17" s="31"/>
      <c r="L17" s="32"/>
      <c r="M17" s="32"/>
      <c r="N17" s="32"/>
      <c r="O17" s="32"/>
    </row>
    <row r="18" spans="2:15" ht="6" customHeight="1" thickBot="1" x14ac:dyDescent="0.2">
      <c r="B18" s="44"/>
      <c r="C18" s="44"/>
      <c r="D18" s="44"/>
      <c r="E18" s="44"/>
      <c r="F18" s="45"/>
      <c r="G18" s="46"/>
      <c r="H18" s="46"/>
      <c r="I18" s="46"/>
      <c r="J18" s="45"/>
    </row>
    <row r="19" spans="2:15" ht="22" thickTop="1" thickBot="1" x14ac:dyDescent="0.2">
      <c r="B19" s="47" t="s">
        <v>15</v>
      </c>
      <c r="C19" s="47"/>
      <c r="D19" s="47"/>
      <c r="E19" s="47"/>
      <c r="F19" s="47"/>
      <c r="G19" s="47"/>
      <c r="H19" s="47"/>
      <c r="I19" s="47"/>
      <c r="J19" s="47"/>
    </row>
    <row r="20" spans="2:15" ht="20" thickBot="1" x14ac:dyDescent="0.25">
      <c r="B20" s="48" t="s">
        <v>16</v>
      </c>
      <c r="C20" s="49" t="s">
        <v>17</v>
      </c>
      <c r="D20" s="49" t="s">
        <v>18</v>
      </c>
      <c r="E20" s="49" t="s">
        <v>19</v>
      </c>
      <c r="F20" s="49" t="s">
        <v>20</v>
      </c>
      <c r="G20" s="50" t="s">
        <v>21</v>
      </c>
      <c r="H20" s="51"/>
      <c r="I20" s="52"/>
      <c r="J20" s="48" t="s">
        <v>22</v>
      </c>
    </row>
    <row r="21" spans="2:15" ht="40" customHeight="1" x14ac:dyDescent="0.25">
      <c r="B21" s="53"/>
      <c r="C21" s="54">
        <v>46172.25</v>
      </c>
      <c r="D21" s="54">
        <v>46172.291666666664</v>
      </c>
      <c r="E21" s="55"/>
      <c r="F21" s="56" t="s">
        <v>62</v>
      </c>
      <c r="G21" s="57" t="str">
        <f>IF(ISBLANK('[1]Control Entry'!I15),"",'[1]Control Entry'!I15)</f>
        <v>BUSINESS</v>
      </c>
      <c r="H21" s="58"/>
      <c r="I21" s="59"/>
      <c r="J21" s="60"/>
    </row>
    <row r="22" spans="2:15" ht="40" customHeight="1" x14ac:dyDescent="0.25">
      <c r="B22" s="61">
        <v>0</v>
      </c>
      <c r="C22" s="62">
        <v>46172.25</v>
      </c>
      <c r="D22" s="62">
        <v>46172.291666666664</v>
      </c>
      <c r="E22" s="56" t="s">
        <v>61</v>
      </c>
      <c r="F22" s="56" t="s">
        <v>63</v>
      </c>
      <c r="G22" s="63" t="str">
        <f>IF(ISBLANK('[1]Control Entry'!J15),"",'[1]Control Entry'!J15)</f>
        <v/>
      </c>
      <c r="H22" s="64"/>
      <c r="I22" s="65"/>
      <c r="J22" s="66"/>
    </row>
    <row r="23" spans="2:15" ht="40" customHeight="1" thickBot="1" x14ac:dyDescent="0.3">
      <c r="B23" s="67"/>
      <c r="C23" s="68">
        <v>46172.25</v>
      </c>
      <c r="D23" s="68">
        <v>46172.291666666664</v>
      </c>
      <c r="E23" s="69"/>
      <c r="F23" s="70" t="s">
        <v>64</v>
      </c>
      <c r="G23" s="71" t="str">
        <f>IF(ISBLANK('[1]Control Entry'!K15),"",'[1]Control Entry'!K15)</f>
        <v/>
      </c>
      <c r="H23" s="72"/>
      <c r="I23" s="73"/>
      <c r="J23" s="74"/>
    </row>
    <row r="24" spans="2:15" ht="40" customHeight="1" x14ac:dyDescent="0.25">
      <c r="B24" s="53"/>
      <c r="C24" s="54">
        <v>46172.337500000001</v>
      </c>
      <c r="D24" s="54">
        <v>46172.447916666664</v>
      </c>
      <c r="E24" s="75"/>
      <c r="F24" s="56" t="str">
        <f>IF(ISBLANK(Control_2 Establishment_1),"",Control_2 Establishment_1)</f>
        <v>INFORMATION</v>
      </c>
      <c r="G24" s="57" t="str">
        <f>IF(ISBLANK('[1]Control Entry'!I16),"",'[1]Control Entry'!I16)</f>
        <v>Face building,  AC Coffee sign</v>
      </c>
      <c r="H24" s="58"/>
      <c r="I24" s="59"/>
      <c r="J24" s="60"/>
    </row>
    <row r="25" spans="2:15" ht="40" customHeight="1" x14ac:dyDescent="0.25">
      <c r="B25" s="61">
        <v>71.3</v>
      </c>
      <c r="C25" s="62">
        <v>46172.337500000001</v>
      </c>
      <c r="D25" s="62">
        <v>46172.447916666664</v>
      </c>
      <c r="E25" s="56" t="str">
        <f>IF(ISBLANK(Locale Control_2),"",Locale Control_2)</f>
        <v>YOUBOU</v>
      </c>
      <c r="F25" s="56" t="str">
        <f>IF(ISBLANK(Control_2 Establishment_2),"",Control_2 Establishment_2)</f>
        <v>Arise Café</v>
      </c>
      <c r="G25" s="63" t="str">
        <f>IF(ISBLANK('[1]Control Entry'!J16),"",'[1]Control Entry'!J16)</f>
        <v>Arrow points which way?</v>
      </c>
      <c r="H25" s="64"/>
      <c r="I25" s="65"/>
      <c r="J25" s="66"/>
    </row>
    <row r="26" spans="2:15" ht="40" customHeight="1" thickBot="1" x14ac:dyDescent="0.3">
      <c r="B26" s="67"/>
      <c r="C26" s="68">
        <v>46172.337500000001</v>
      </c>
      <c r="D26" s="68">
        <v>46172.447916666664</v>
      </c>
      <c r="E26" s="69"/>
      <c r="F26" s="70" t="str">
        <f>IF(ISBLANK(Control_2 Establishment_3),"",Control_2 Establishment_3)</f>
        <v>10375 Youbou Rd</v>
      </c>
      <c r="G26" s="71" t="str">
        <f>IF(ISBLANK('[1]Control Entry'!K16),"",'[1]Control Entry'!K16)</f>
        <v>LEFT       DOWN       RIGHT</v>
      </c>
      <c r="H26" s="72"/>
      <c r="I26" s="73"/>
      <c r="J26" s="74"/>
    </row>
    <row r="27" spans="2:15" ht="40" customHeight="1" x14ac:dyDescent="0.25">
      <c r="B27" s="53"/>
      <c r="C27" s="54">
        <v>46172.40347222222</v>
      </c>
      <c r="D27" s="54">
        <v>46172.597916666666</v>
      </c>
      <c r="E27" s="75"/>
      <c r="F27" s="56" t="str">
        <f>IF(ISBLANK(Control_3 Establishment_1),"",Control_3 Establishment_1)</f>
        <v>INFORMATION</v>
      </c>
      <c r="G27" s="57" t="str">
        <f>IF(ISBLANK('[1]Control Entry'!I17),"",'[1]Control Entry'!I17)</f>
        <v>Sign beside door "Crofton Senior Society"</v>
      </c>
      <c r="H27" s="58"/>
      <c r="I27" s="59"/>
      <c r="J27" s="60"/>
    </row>
    <row r="28" spans="2:15" ht="40" customHeight="1" x14ac:dyDescent="0.25">
      <c r="B28" s="61">
        <v>125.2</v>
      </c>
      <c r="C28" s="62">
        <v>46172.40347222222</v>
      </c>
      <c r="D28" s="62">
        <v>46172.597916666666</v>
      </c>
      <c r="E28" s="56" t="str">
        <f>IF(ISBLANK(Locale Control_3),"",Locale Control_3)</f>
        <v>CROFTON</v>
      </c>
      <c r="F28" s="56" t="str">
        <f>IF(ISBLANK(Control_3 Establishment_2),"",Control_3 Establishment_2)</f>
        <v>Old School House Museum</v>
      </c>
      <c r="G28" s="63" t="str">
        <f>IF(ISBLANK('[1]Control Entry'!J17),"",'[1]Control Entry'!J17)</f>
        <v>What year?</v>
      </c>
      <c r="H28" s="64"/>
      <c r="I28" s="65"/>
      <c r="J28" s="66"/>
    </row>
    <row r="29" spans="2:15" ht="40" customHeight="1" thickBot="1" x14ac:dyDescent="0.3">
      <c r="B29" s="67"/>
      <c r="C29" s="68">
        <v>46172.40347222222</v>
      </c>
      <c r="D29" s="68">
        <v>46172.597916666666</v>
      </c>
      <c r="E29" s="69"/>
      <c r="F29" s="70" t="str">
        <f>IF(ISBLANK(Control_3 Establishment_3),"",Control_3 Establishment_3)</f>
        <v>1507 Joan Ave</v>
      </c>
      <c r="G29" s="71" t="str">
        <f>IF(ISBLANK('[1]Control Entry'!K17),"",'[1]Control Entry'!K17)</f>
        <v>1890.      1986.      2006</v>
      </c>
      <c r="H29" s="72"/>
      <c r="I29" s="73"/>
      <c r="J29" s="74"/>
    </row>
    <row r="30" spans="2:15" ht="40" customHeight="1" x14ac:dyDescent="0.25">
      <c r="B30" s="53"/>
      <c r="C30" s="54">
        <v>46172.614583333336</v>
      </c>
      <c r="D30" s="54">
        <v>46173.061111111114</v>
      </c>
      <c r="E30" s="75"/>
      <c r="F30" s="56" t="str">
        <f>IF(ISBLANK(Control_4 Establishment_1),"",Control_4 Establishment_1)</f>
        <v>INFORMATION</v>
      </c>
      <c r="G30" s="57" t="str">
        <f>IF(ISBLANK('[1]Control Entry'!I18),"",'[1]Control Entry'!I18)</f>
        <v>Type of store?</v>
      </c>
      <c r="H30" s="58"/>
      <c r="I30" s="59"/>
      <c r="J30" s="60"/>
    </row>
    <row r="31" spans="2:15" ht="40" customHeight="1" x14ac:dyDescent="0.25">
      <c r="B31" s="61">
        <v>291.89999999999998</v>
      </c>
      <c r="C31" s="62">
        <v>46172.614583333336</v>
      </c>
      <c r="D31" s="62">
        <v>46173.061111111114</v>
      </c>
      <c r="E31" s="56" t="str">
        <f>IF(ISBLANK(Locale Control_4),"",Locale Control_4)</f>
        <v>COMOX</v>
      </c>
      <c r="F31" s="56" t="str">
        <f>IF(ISBLANK(Control_4 Establishment_2),"",Control_4 Establishment_2)</f>
        <v>Anderton Rd before lights at Guthrie Rd</v>
      </c>
      <c r="G31" s="76" t="str">
        <f>IF(ISBLANK('[1]Control Entry'!J18),"",'[1]Control Entry'!J18)</f>
        <v/>
      </c>
      <c r="H31" s="77"/>
      <c r="I31" s="78"/>
      <c r="J31" s="66"/>
    </row>
    <row r="32" spans="2:15" ht="40" customHeight="1" thickBot="1" x14ac:dyDescent="0.3">
      <c r="B32" s="67"/>
      <c r="C32" s="68">
        <v>46172.614583333336</v>
      </c>
      <c r="D32" s="68">
        <v>46173.061111111114</v>
      </c>
      <c r="E32" s="69"/>
      <c r="F32" s="70" t="str">
        <f>IF(ISBLANK(Control_4 Establishment_3),"",Control_4 Establishment_3)</f>
        <v>New corner store on right corner</v>
      </c>
      <c r="G32" s="71" t="str">
        <f>IF(ISBLANK('[1]Control Entry'!K18),"",'[1]Control Entry'!K18)</f>
        <v>GROCERY       FLORIST       LIQUOR</v>
      </c>
      <c r="H32" s="72"/>
      <c r="I32" s="73"/>
      <c r="J32" s="74"/>
    </row>
    <row r="33" spans="2:10" ht="40" customHeight="1" x14ac:dyDescent="0.25">
      <c r="B33" s="53"/>
      <c r="C33" s="54">
        <v>46172.683333333334</v>
      </c>
      <c r="D33" s="54">
        <v>46173.206944444442</v>
      </c>
      <c r="E33" s="75"/>
      <c r="F33" s="56" t="str">
        <f>IF(ISBLANK(Control_5 Establishment_1),"",Control_5 Establishment_1)</f>
        <v>INFORMATION</v>
      </c>
      <c r="G33" s="57" t="str">
        <f>IF(ISBLANK('[1]Control Entry'!I19),"",'[1]Control Entry'!I19)</f>
        <v>Ice coolers to right of door</v>
      </c>
      <c r="H33" s="58"/>
      <c r="I33" s="59"/>
      <c r="J33" s="60"/>
    </row>
    <row r="34" spans="2:10" ht="40" customHeight="1" x14ac:dyDescent="0.25">
      <c r="B34" s="61">
        <v>344.5</v>
      </c>
      <c r="C34" s="62">
        <v>46172.683333333334</v>
      </c>
      <c r="D34" s="62">
        <v>46173.206944444442</v>
      </c>
      <c r="E34" s="56" t="str">
        <f>IF(ISBLANK(Locale Control_5),"",Locale Control_5)</f>
        <v>CAMPBELL RIVER</v>
      </c>
      <c r="F34" s="56" t="str">
        <f>IF(ISBLANK(Control_5 Establishment_2),"",Control_5 Establishment_2)</f>
        <v>Chevron Gas</v>
      </c>
      <c r="G34" s="63" t="str">
        <f>IF(ISBLANK('[1]Control Entry'!J19),"",'[1]Control Entry'!J19)</f>
        <v>Price of 4kg ice?</v>
      </c>
      <c r="H34" s="64"/>
      <c r="I34" s="65"/>
      <c r="J34" s="66"/>
    </row>
    <row r="35" spans="2:10" ht="40" customHeight="1" thickBot="1" x14ac:dyDescent="0.3">
      <c r="B35" s="67"/>
      <c r="C35" s="68">
        <v>46172.683333333334</v>
      </c>
      <c r="D35" s="68">
        <v>46173.206944444442</v>
      </c>
      <c r="E35" s="69"/>
      <c r="F35" s="79" t="str">
        <f>IF(ISBLANK(Control_5 Establishment_3),"",Control_5 Establishment_3)</f>
        <v>Island Hwy @ Redwood</v>
      </c>
      <c r="G35" s="71" t="str">
        <f>IF(ISBLANK('[1]Control Entry'!K19),"",'[1]Control Entry'!K19)</f>
        <v>$5.__________________</v>
      </c>
      <c r="H35" s="72"/>
      <c r="I35" s="73"/>
      <c r="J35" s="74"/>
    </row>
    <row r="36" spans="2:10" ht="40" customHeight="1" x14ac:dyDescent="0.25">
      <c r="B36" s="53"/>
      <c r="C36" s="54">
        <v>46172.754861111112</v>
      </c>
      <c r="D36" s="54">
        <v>46173.359027777777</v>
      </c>
      <c r="E36" s="75"/>
      <c r="F36" s="56" t="str">
        <f>IF(ISBLANK(Control_6 Establishment_1),"",Control_6 Establishment_1)</f>
        <v>INFORMATION</v>
      </c>
      <c r="G36" s="57" t="str">
        <f>IF(ISBLANK('[1]Control Entry'!I20),"",'[1]Control Entry'!I20)</f>
        <v>Hospital direction sign</v>
      </c>
      <c r="H36" s="58"/>
      <c r="I36" s="59"/>
      <c r="J36" s="60"/>
    </row>
    <row r="37" spans="2:10" ht="40" customHeight="1" x14ac:dyDescent="0.25">
      <c r="B37" s="61">
        <v>399.3</v>
      </c>
      <c r="C37" s="62">
        <v>46172.754861111112</v>
      </c>
      <c r="D37" s="62">
        <v>46173.359027777777</v>
      </c>
      <c r="E37" s="56" t="str">
        <f>IF(ISBLANK(Locale Control_6),"",Locale Control_6)</f>
        <v>COURTENAY</v>
      </c>
      <c r="F37" s="56" t="str">
        <f>IF(ISBLANK(Control_6 Establishment_2),"",Control_6 Establishment_2)</f>
        <v>Piercy @ Condensory</v>
      </c>
      <c r="G37" s="63" t="str">
        <f>IF(ISBLANK('[1]Control Entry'!J20),"",'[1]Control Entry'!J20)</f>
        <v>Arrow points which way?</v>
      </c>
      <c r="H37" s="64"/>
      <c r="I37" s="65"/>
      <c r="J37" s="66"/>
    </row>
    <row r="38" spans="2:10" ht="40" customHeight="1" thickBot="1" x14ac:dyDescent="0.3">
      <c r="B38" s="67"/>
      <c r="C38" s="68">
        <v>46172.754861111112</v>
      </c>
      <c r="D38" s="68">
        <v>46173.359027777777</v>
      </c>
      <c r="E38" s="69"/>
      <c r="F38" s="70" t="str">
        <f>IF(ISBLANK(Control_6 Establishment_3),"",Control_6 Establishment_3)</f>
        <v>100m before flashing light</v>
      </c>
      <c r="G38" s="71" t="str">
        <f>IF(ISBLANK('[1]Control Entry'!K20),"",'[1]Control Entry'!K20)</f>
        <v>LEFT      STRAIGHT     RIGHT</v>
      </c>
      <c r="H38" s="72"/>
      <c r="I38" s="73"/>
      <c r="J38" s="74"/>
    </row>
    <row r="39" spans="2:10" ht="40" customHeight="1" x14ac:dyDescent="0.25">
      <c r="B39" s="53"/>
      <c r="C39" s="54">
        <v>46172.844444444447</v>
      </c>
      <c r="D39" s="54">
        <v>46173.539583333331</v>
      </c>
      <c r="E39" s="75"/>
      <c r="F39" s="56" t="str">
        <f>IF(ISBLANK(Control_7 Establishment_1),"",Control_7 Establishment_1)</f>
        <v>INFORMATION</v>
      </c>
      <c r="G39" s="57" t="str">
        <f>IF(ISBLANK('[1]Control Entry'!I21),"",'[1]Control Entry'!I21)</f>
        <v>On Laundromat door</v>
      </c>
      <c r="H39" s="58"/>
      <c r="I39" s="59"/>
      <c r="J39" s="60"/>
    </row>
    <row r="40" spans="2:10" ht="40" customHeight="1" x14ac:dyDescent="0.25">
      <c r="B40" s="61">
        <v>464.2</v>
      </c>
      <c r="C40" s="62">
        <v>46172.844444444447</v>
      </c>
      <c r="D40" s="62">
        <v>46173.539583333331</v>
      </c>
      <c r="E40" s="56" t="str">
        <f>IF(ISBLANK(Locale Control_7),"",Locale Control_7)</f>
        <v>QUALICUM BEACH</v>
      </c>
      <c r="F40" s="56" t="str">
        <f>IF(ISBLANK(Control_7 Establishment_2),"",Control_7 Establishment_2)</f>
        <v xml:space="preserve">Shell Gas </v>
      </c>
      <c r="G40" s="63" t="str">
        <f>IF(ISBLANK('[1]Control Entry'!J21),"",'[1]Control Entry'!J21)</f>
        <v>Hours of Operation?</v>
      </c>
      <c r="H40" s="64"/>
      <c r="I40" s="65"/>
      <c r="J40" s="66"/>
    </row>
    <row r="41" spans="2:10" ht="40" customHeight="1" thickBot="1" x14ac:dyDescent="0.3">
      <c r="B41" s="67"/>
      <c r="C41" s="68">
        <v>46172.844444444447</v>
      </c>
      <c r="D41" s="68">
        <v>46173.539583333331</v>
      </c>
      <c r="E41" s="69"/>
      <c r="F41" s="70" t="str">
        <f>IF(ISBLANK(Control_7 Establishment_3),"",Control_7 Establishment_3)</f>
        <v/>
      </c>
      <c r="G41" s="71" t="str">
        <f>IF(ISBLANK('[1]Control Entry'!K21),"",'[1]Control Entry'!K21)</f>
        <v>9AM to ________PM</v>
      </c>
      <c r="H41" s="72"/>
      <c r="I41" s="73"/>
      <c r="J41" s="74"/>
    </row>
    <row r="42" spans="2:10" ht="40" customHeight="1" x14ac:dyDescent="0.25">
      <c r="B42" s="53"/>
      <c r="C42" s="54">
        <v>46172.90902777778</v>
      </c>
      <c r="D42" s="54">
        <v>46173.668749999997</v>
      </c>
      <c r="E42" s="75"/>
      <c r="F42" s="56" t="str">
        <f>IF(ISBLANK(Control_8 Establishment_1),"",Control_8 Establishment_1)</f>
        <v>INFORMATION</v>
      </c>
      <c r="G42" s="57" t="str">
        <f>IF(ISBLANK('[1]Control Entry'!I22),"",'[1]Control Entry'!I22)</f>
        <v>At railway crossing</v>
      </c>
      <c r="H42" s="58"/>
      <c r="I42" s="59"/>
      <c r="J42" s="60"/>
    </row>
    <row r="43" spans="2:10" ht="40" customHeight="1" x14ac:dyDescent="0.25">
      <c r="B43" s="61">
        <v>510.7</v>
      </c>
      <c r="C43" s="62">
        <v>46172.90902777778</v>
      </c>
      <c r="D43" s="62">
        <v>46173.668749999997</v>
      </c>
      <c r="E43" s="56" t="str">
        <f>IF(ISBLANK(Locale Control_8),"",Locale Control_8)</f>
        <v>NANAIMO</v>
      </c>
      <c r="F43" s="56" t="str">
        <f>IF(ISBLANK(Control_8 Establishment_2),"",Control_8 Establishment_2)</f>
        <v>E&amp;N Trail @ Waddington</v>
      </c>
      <c r="G43" s="63" t="str">
        <f>IF(ISBLANK('[1]Control Entry'!J22),"",'[1]Control Entry'!J22)</f>
        <v>Is there a garbage can?</v>
      </c>
      <c r="H43" s="64"/>
      <c r="I43" s="65"/>
      <c r="J43" s="66"/>
    </row>
    <row r="44" spans="2:10" ht="40" customHeight="1" thickBot="1" x14ac:dyDescent="0.3">
      <c r="B44" s="67"/>
      <c r="C44" s="68">
        <v>46172.90902777778</v>
      </c>
      <c r="D44" s="68">
        <v>46173.668749999997</v>
      </c>
      <c r="E44" s="69"/>
      <c r="F44" s="70" t="str">
        <f>IF(ISBLANK(Control_8 Establishment_3),"",Control_8 Establishment_3)</f>
        <v>North side of crosswalk.  Look back up trail</v>
      </c>
      <c r="G44" s="71" t="str">
        <f>IF(ISBLANK('[1]Control Entry'!K22),"",'[1]Control Entry'!K22)</f>
        <v xml:space="preserve">YES.      NO.      </v>
      </c>
      <c r="H44" s="72"/>
      <c r="I44" s="73"/>
      <c r="J44" s="74"/>
    </row>
    <row r="45" spans="2:10" ht="40" customHeight="1" x14ac:dyDescent="0.25">
      <c r="B45" s="53"/>
      <c r="C45" s="54">
        <v>46173.034722222219</v>
      </c>
      <c r="D45" s="54">
        <v>46173.916666666664</v>
      </c>
      <c r="E45" s="75"/>
      <c r="F45" s="56" t="str">
        <f>IF(ISBLANK(Control_9 Establishment_1),"",Control_9 Establishment_1)</f>
        <v>SELF SIGN</v>
      </c>
      <c r="G45" s="57" t="str">
        <f>IF(ISBLANK('[1]Control Entry'!I23),"",'[1]Control Entry'!I23)</f>
        <v/>
      </c>
      <c r="H45" s="58"/>
      <c r="I45" s="59"/>
      <c r="J45" s="60"/>
    </row>
    <row r="46" spans="2:10" ht="40" customHeight="1" x14ac:dyDescent="0.25">
      <c r="B46" s="61">
        <v>600.9</v>
      </c>
      <c r="C46" s="62">
        <v>46173.034722222219</v>
      </c>
      <c r="D46" s="62">
        <v>46173.916666666664</v>
      </c>
      <c r="E46" s="56" t="str">
        <f>IF(ISBLANK(Locale Control_9),"",Locale Control_9)</f>
        <v>MILL BAY</v>
      </c>
      <c r="F46" s="56" t="str">
        <f>IF(ISBLANK(Control_9 Establishment_2),"",Control_9 Establishment_2)</f>
        <v>Tim Hortons</v>
      </c>
      <c r="G46" s="63" t="str">
        <f>IF(ISBLANK('[1]Control Entry'!J23),"",'[1]Control Entry'!J23)</f>
        <v/>
      </c>
      <c r="H46" s="64"/>
      <c r="I46" s="65"/>
      <c r="J46" s="66"/>
    </row>
    <row r="47" spans="2:10" ht="40" customHeight="1" thickBot="1" x14ac:dyDescent="0.3">
      <c r="B47" s="67"/>
      <c r="C47" s="68">
        <v>46173.034722222219</v>
      </c>
      <c r="D47" s="68">
        <v>46173.916666666664</v>
      </c>
      <c r="E47" s="69"/>
      <c r="F47" s="70" t="str">
        <f>IF(ISBLANK(Control_9 Establishment_3),"",Control_9 Establishment_3)</f>
        <v>Deloume Rd</v>
      </c>
      <c r="G47" s="71" t="str">
        <f>IF(ISBLANK('[1]Control Entry'!K23),"",'[1]Control Entry'!K23)</f>
        <v/>
      </c>
      <c r="H47" s="72"/>
      <c r="I47" s="73"/>
      <c r="J47" s="74"/>
    </row>
    <row r="48" spans="2:10" ht="40" customHeight="1" x14ac:dyDescent="0.25">
      <c r="B48" s="53"/>
      <c r="C48" s="54"/>
      <c r="D48" s="54" t="str">
        <f>Control_10 Close_time</f>
        <v/>
      </c>
      <c r="E48" s="75"/>
      <c r="F48" s="56" t="str">
        <f>IF(ISBLANK(Control_10 Establishment_1),"",Control_10 Establishment_1)</f>
        <v/>
      </c>
      <c r="G48" s="57" t="str">
        <f>IF(ISBLANK('[1]Control Entry'!I24),"",'[1]Control Entry'!I24)</f>
        <v/>
      </c>
      <c r="H48" s="58"/>
      <c r="I48" s="59"/>
      <c r="J48" s="60"/>
    </row>
    <row r="49" spans="2:11" ht="40" customHeight="1" x14ac:dyDescent="0.25">
      <c r="B49" s="61"/>
      <c r="C49" s="62"/>
      <c r="D49" s="62" t="str">
        <f>Control_10 Close_time</f>
        <v/>
      </c>
      <c r="E49" s="56" t="str">
        <f>IF(ISBLANK(Locale Control_10),"",Locale Control_10)</f>
        <v/>
      </c>
      <c r="F49" s="56" t="str">
        <f>IF(ISBLANK(Control_10 Establishment_2),"",Control_10 Establishment_2)</f>
        <v/>
      </c>
      <c r="G49" s="63" t="str">
        <f>IF(ISBLANK('[1]Control Entry'!J24),"",'[1]Control Entry'!J24)</f>
        <v/>
      </c>
      <c r="H49" s="64"/>
      <c r="I49" s="65"/>
      <c r="J49" s="66"/>
    </row>
    <row r="50" spans="2:11" ht="40" customHeight="1" thickBot="1" x14ac:dyDescent="0.3">
      <c r="B50" s="67"/>
      <c r="C50" s="68"/>
      <c r="D50" s="68" t="str">
        <f>Control_10 Close_time</f>
        <v/>
      </c>
      <c r="E50" s="69"/>
      <c r="F50" s="70" t="str">
        <f>IF(ISBLANK(Control_10 Establishment_3),"",Control_10 Establishment_3)</f>
        <v/>
      </c>
      <c r="G50" s="71" t="str">
        <f>IF(ISBLANK('[1]Control Entry'!K24),"",'[1]Control Entry'!K24)</f>
        <v/>
      </c>
      <c r="H50" s="72"/>
      <c r="I50" s="73"/>
      <c r="J50" s="74"/>
    </row>
    <row r="52" spans="2:11" ht="24" customHeight="1" x14ac:dyDescent="0.15">
      <c r="B52" s="80" t="s">
        <v>23</v>
      </c>
      <c r="C52" s="80"/>
      <c r="D52" s="80"/>
      <c r="E52" s="80"/>
      <c r="F52" s="80"/>
      <c r="I52" s="23" t="s">
        <v>24</v>
      </c>
      <c r="J52" s="81" t="str">
        <f>IF(ISBLANK('[1]Control Entry'!F10),"",'[1]Control Entry'!F10)</f>
        <v>‭(250) 213-3724‬</v>
      </c>
      <c r="K52" s="24"/>
    </row>
    <row r="54" spans="2:11" x14ac:dyDescent="0.15">
      <c r="B54" s="82" t="s">
        <v>25</v>
      </c>
      <c r="C54" s="83">
        <f>'[1]Control Entry'!B3</f>
        <v>45167</v>
      </c>
    </row>
    <row r="55" spans="2:11" ht="23" x14ac:dyDescent="0.15">
      <c r="B55" s="23"/>
      <c r="C55" s="23"/>
      <c r="D55" s="23"/>
      <c r="E55" s="23"/>
      <c r="F55" s="24"/>
      <c r="G55" s="25"/>
      <c r="H55" s="25"/>
      <c r="I55" s="25"/>
      <c r="J55" s="24"/>
    </row>
    <row r="56" spans="2:11" x14ac:dyDescent="0.15">
      <c r="E56" s="84"/>
    </row>
    <row r="57" spans="2:11" x14ac:dyDescent="0.15">
      <c r="B57" s="85"/>
      <c r="C57" s="86"/>
      <c r="D57" s="86"/>
      <c r="E57" s="86"/>
      <c r="F57" s="87"/>
      <c r="G57" s="88"/>
      <c r="H57" s="88"/>
      <c r="I57" s="88"/>
      <c r="J57" s="88"/>
    </row>
  </sheetData>
  <mergeCells count="50">
    <mergeCell ref="B52:F52"/>
    <mergeCell ref="F57:J57"/>
    <mergeCell ref="G45:I45"/>
    <mergeCell ref="G46:I46"/>
    <mergeCell ref="G47:I47"/>
    <mergeCell ref="G48:I48"/>
    <mergeCell ref="G49:I49"/>
    <mergeCell ref="G50:I50"/>
    <mergeCell ref="G39:I39"/>
    <mergeCell ref="G40:I40"/>
    <mergeCell ref="G41:I41"/>
    <mergeCell ref="G42:I42"/>
    <mergeCell ref="G43:I43"/>
    <mergeCell ref="G44:I44"/>
    <mergeCell ref="G33:I33"/>
    <mergeCell ref="G34:I34"/>
    <mergeCell ref="G35:I35"/>
    <mergeCell ref="G36:I36"/>
    <mergeCell ref="G37:I37"/>
    <mergeCell ref="G38:I38"/>
    <mergeCell ref="G27:I27"/>
    <mergeCell ref="G28:I28"/>
    <mergeCell ref="G29:I29"/>
    <mergeCell ref="G30:I30"/>
    <mergeCell ref="G31:I31"/>
    <mergeCell ref="G32:I32"/>
    <mergeCell ref="G21:I21"/>
    <mergeCell ref="G22:I22"/>
    <mergeCell ref="G23:I23"/>
    <mergeCell ref="G24:I24"/>
    <mergeCell ref="G25:I25"/>
    <mergeCell ref="G26:I26"/>
    <mergeCell ref="C17:F17"/>
    <mergeCell ref="I17:J17"/>
    <mergeCell ref="L17:M17"/>
    <mergeCell ref="N17:O17"/>
    <mergeCell ref="B19:J19"/>
    <mergeCell ref="G20:I20"/>
    <mergeCell ref="B10:C10"/>
    <mergeCell ref="E10:G10"/>
    <mergeCell ref="L10:M10"/>
    <mergeCell ref="N10:O10"/>
    <mergeCell ref="D12:E12"/>
    <mergeCell ref="D14:E14"/>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E455B-7489-A543-9727-B5DEB41D0920}">
  <sheetPr>
    <pageSetUpPr fitToPage="1"/>
  </sheetPr>
  <dimension ref="B1:O57"/>
  <sheetViews>
    <sheetView view="pageLayout" zoomScale="75" zoomScaleNormal="115" zoomScalePageLayoutView="75" workbookViewId="0">
      <selection activeCell="F35" sqref="F35"/>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1"/>
      <c r="L1" s="1"/>
      <c r="M1" s="1"/>
    </row>
    <row r="2" spans="2:15" ht="18" x14ac:dyDescent="0.2">
      <c r="C2" s="2" t="s">
        <v>0</v>
      </c>
      <c r="D2" s="2"/>
      <c r="E2" s="2"/>
      <c r="F2" s="2"/>
      <c r="G2" s="3"/>
      <c r="H2" s="3"/>
      <c r="I2" s="4" t="s">
        <v>1</v>
      </c>
      <c r="J2" s="5">
        <f>'[2]Control Entry'!B4</f>
        <v>46164</v>
      </c>
      <c r="K2" s="3"/>
      <c r="L2" s="3"/>
    </row>
    <row r="3" spans="2:15" ht="45" customHeight="1" x14ac:dyDescent="0.45">
      <c r="D3" s="6"/>
      <c r="E3" s="7" t="s">
        <v>2</v>
      </c>
      <c r="F3" s="7"/>
      <c r="G3" s="7"/>
      <c r="H3" s="7"/>
      <c r="I3" s="8" t="s">
        <v>3</v>
      </c>
      <c r="J3" s="9">
        <f>IF(ISBLANK(Brevet_Number),"",Brevet_Number)</f>
        <v>5636</v>
      </c>
      <c r="K3" s="10"/>
      <c r="L3" s="10"/>
    </row>
    <row r="4" spans="2:15" ht="20" customHeight="1" x14ac:dyDescent="0.15">
      <c r="C4" s="6"/>
      <c r="E4" s="11" t="str">
        <f>IF(ISBLANK(Brevet_Length),"",Brevet_Length&amp;" km Randonnée")</f>
        <v>600 km Randonnée</v>
      </c>
      <c r="F4" s="11"/>
      <c r="G4" s="11"/>
      <c r="H4" s="11"/>
      <c r="K4" s="12"/>
      <c r="L4" s="12"/>
    </row>
    <row r="5" spans="2:15" ht="20" customHeight="1" x14ac:dyDescent="0.2">
      <c r="D5" s="13"/>
      <c r="E5" s="14" t="str">
        <f>IF(ISBLANK(Brevet_Description),"",Brevet_Description)</f>
        <v>Ripple Rock Blown Up</v>
      </c>
      <c r="F5" s="14"/>
      <c r="G5" s="14"/>
      <c r="H5" s="14"/>
      <c r="I5" s="15"/>
      <c r="J5" s="13"/>
      <c r="K5" s="13"/>
      <c r="L5" s="13"/>
    </row>
    <row r="6" spans="2:15" ht="20" x14ac:dyDescent="0.2">
      <c r="D6" s="16"/>
      <c r="E6" s="14"/>
      <c r="F6" s="14"/>
      <c r="G6" s="14"/>
      <c r="H6" s="14"/>
      <c r="I6" s="15"/>
      <c r="J6" s="16"/>
      <c r="K6" s="13"/>
      <c r="L6" s="13"/>
    </row>
    <row r="7" spans="2:15" ht="25" customHeight="1" x14ac:dyDescent="0.15">
      <c r="C7" s="17"/>
      <c r="D7" s="17"/>
      <c r="E7" s="17"/>
      <c r="F7" s="17"/>
      <c r="H7" s="18"/>
    </row>
    <row r="8" spans="2:15" ht="21" thickBot="1" x14ac:dyDescent="0.25">
      <c r="B8" s="19" t="s">
        <v>4</v>
      </c>
      <c r="C8" s="20"/>
      <c r="D8" s="20"/>
      <c r="E8" s="20"/>
      <c r="F8" s="20"/>
      <c r="G8" s="19" t="s">
        <v>5</v>
      </c>
      <c r="H8" s="21"/>
      <c r="I8" s="22"/>
      <c r="J8" s="22"/>
      <c r="K8" s="22"/>
    </row>
    <row r="9" spans="2:15" ht="22" customHeight="1" x14ac:dyDescent="0.15">
      <c r="B9" s="23"/>
      <c r="C9" s="23"/>
      <c r="D9" s="23"/>
      <c r="E9" s="23"/>
      <c r="F9" s="24"/>
      <c r="G9" s="25"/>
      <c r="H9" s="25"/>
      <c r="I9" s="25"/>
      <c r="J9" s="24"/>
    </row>
    <row r="10" spans="2:15" ht="20" customHeight="1" x14ac:dyDescent="0.15">
      <c r="B10" s="26" t="s">
        <v>6</v>
      </c>
      <c r="C10" s="26"/>
      <c r="D10" s="27" t="s">
        <v>7</v>
      </c>
      <c r="E10" s="28" t="s">
        <v>8</v>
      </c>
      <c r="F10" s="28"/>
      <c r="G10" s="28"/>
      <c r="H10" s="29"/>
      <c r="I10" s="30"/>
      <c r="J10" s="30"/>
      <c r="K10" s="31"/>
      <c r="L10" s="32"/>
      <c r="M10" s="32"/>
      <c r="N10" s="32"/>
      <c r="O10" s="32"/>
    </row>
    <row r="11" spans="2:15" ht="23" x14ac:dyDescent="0.15">
      <c r="B11" s="23"/>
      <c r="C11" s="23"/>
      <c r="D11" s="23"/>
      <c r="E11" s="23"/>
      <c r="F11" s="24"/>
      <c r="G11" s="25"/>
      <c r="H11" s="25"/>
      <c r="I11" s="25"/>
      <c r="J11" s="24"/>
    </row>
    <row r="12" spans="2:15" ht="21" thickBot="1" x14ac:dyDescent="0.25">
      <c r="D12" s="33" t="s">
        <v>9</v>
      </c>
      <c r="E12" s="33"/>
      <c r="F12" s="34">
        <f>IF(ISBLANK('[2]Control Entry'!B12),"",'[2]Control Entry'!B12)</f>
        <v>46172</v>
      </c>
      <c r="G12" s="35"/>
      <c r="H12" s="19" t="s">
        <v>10</v>
      </c>
      <c r="I12" s="36">
        <f>IF(ISBLANK('[2]Control Entry'!B13),"",'[2]Control Entry'!B13)</f>
        <v>0.25</v>
      </c>
      <c r="J12" s="37"/>
    </row>
    <row r="13" spans="2:15" ht="20" x14ac:dyDescent="0.2">
      <c r="D13" s="38"/>
      <c r="E13" s="38"/>
      <c r="F13" s="39"/>
      <c r="G13" s="39"/>
      <c r="H13" s="39"/>
      <c r="L13" s="37"/>
      <c r="M13" s="37"/>
      <c r="N13" s="37"/>
    </row>
    <row r="14" spans="2:15" ht="21" thickBot="1" x14ac:dyDescent="0.25">
      <c r="D14" s="33" t="s">
        <v>11</v>
      </c>
      <c r="E14" s="33"/>
      <c r="F14" s="34"/>
      <c r="G14" s="35"/>
      <c r="H14" s="19" t="s">
        <v>12</v>
      </c>
      <c r="I14" s="36"/>
      <c r="J14" s="37"/>
      <c r="L14" s="40"/>
      <c r="M14" s="40"/>
      <c r="N14" s="40"/>
    </row>
    <row r="15" spans="2:15" ht="20" x14ac:dyDescent="0.2">
      <c r="B15" s="38"/>
      <c r="C15" s="38"/>
      <c r="D15" s="39"/>
      <c r="E15" s="39"/>
      <c r="H15" s="39"/>
    </row>
    <row r="16" spans="2:15" ht="21" thickBot="1" x14ac:dyDescent="0.25">
      <c r="C16" s="41"/>
      <c r="D16" s="41"/>
      <c r="E16" s="41"/>
      <c r="F16" s="41"/>
      <c r="H16" s="19" t="s">
        <v>13</v>
      </c>
      <c r="I16" s="36"/>
      <c r="J16" s="37"/>
      <c r="L16" s="40"/>
      <c r="M16" s="40"/>
      <c r="N16" s="40"/>
    </row>
    <row r="17" spans="2:15" ht="20" x14ac:dyDescent="0.15">
      <c r="C17" s="42" t="s">
        <v>14</v>
      </c>
      <c r="D17" s="42"/>
      <c r="E17" s="42"/>
      <c r="F17" s="42"/>
      <c r="G17" s="31"/>
      <c r="H17" s="31"/>
      <c r="I17" s="43"/>
      <c r="J17" s="43"/>
      <c r="K17" s="31"/>
      <c r="L17" s="32"/>
      <c r="M17" s="32"/>
      <c r="N17" s="32"/>
      <c r="O17" s="32"/>
    </row>
    <row r="18" spans="2:15" ht="6" customHeight="1" thickBot="1" x14ac:dyDescent="0.2">
      <c r="B18" s="44"/>
      <c r="C18" s="44"/>
      <c r="D18" s="44"/>
      <c r="E18" s="44"/>
      <c r="F18" s="45"/>
      <c r="G18" s="46"/>
      <c r="H18" s="46"/>
      <c r="I18" s="46"/>
      <c r="J18" s="45"/>
    </row>
    <row r="19" spans="2:15" ht="22" thickTop="1" thickBot="1" x14ac:dyDescent="0.2">
      <c r="B19" s="47" t="s">
        <v>15</v>
      </c>
      <c r="C19" s="47"/>
      <c r="D19" s="47"/>
      <c r="E19" s="47"/>
      <c r="F19" s="47"/>
      <c r="G19" s="47"/>
      <c r="H19" s="47"/>
      <c r="I19" s="47"/>
      <c r="J19" s="47"/>
    </row>
    <row r="20" spans="2:15" ht="20" thickBot="1" x14ac:dyDescent="0.25">
      <c r="B20" s="48" t="s">
        <v>16</v>
      </c>
      <c r="C20" s="49" t="s">
        <v>17</v>
      </c>
      <c r="D20" s="49" t="s">
        <v>18</v>
      </c>
      <c r="E20" s="49" t="s">
        <v>19</v>
      </c>
      <c r="F20" s="49" t="s">
        <v>20</v>
      </c>
      <c r="G20" s="50" t="s">
        <v>21</v>
      </c>
      <c r="H20" s="51"/>
      <c r="I20" s="52"/>
      <c r="J20" s="48" t="s">
        <v>22</v>
      </c>
    </row>
    <row r="21" spans="2:15" ht="40" customHeight="1" x14ac:dyDescent="0.25">
      <c r="B21" s="53"/>
      <c r="C21" s="54">
        <f>Control_1 Open_time</f>
        <v>46172.25</v>
      </c>
      <c r="D21" s="54">
        <f>Control_1 Close_time</f>
        <v>46172.291666666664</v>
      </c>
      <c r="E21" s="55"/>
      <c r="F21" s="56" t="str">
        <f>IF(ISBLANK(Control_1 Establishment_1),"",Control_1 Establishment_1)</f>
        <v>SELF SIGN</v>
      </c>
      <c r="G21" s="57" t="str">
        <f>IF(ISBLANK('[2]Control Entry'!I15),"",'[2]Control Entry'!I15)</f>
        <v>At railway crossing</v>
      </c>
      <c r="H21" s="58"/>
      <c r="I21" s="59"/>
      <c r="J21" s="60"/>
    </row>
    <row r="22" spans="2:15" ht="40" customHeight="1" x14ac:dyDescent="0.25">
      <c r="B22" s="61">
        <f>IF(ISBLANK(Distance Control_1),"",Control_1 Distance)</f>
        <v>0</v>
      </c>
      <c r="C22" s="62">
        <f>Control_1 Open_time</f>
        <v>46172.25</v>
      </c>
      <c r="D22" s="62">
        <f>Control_1 Close_time</f>
        <v>46172.291666666664</v>
      </c>
      <c r="E22" s="56" t="str">
        <f>IF(ISBLANK(Locale Control_1),"",Locale Control_1)</f>
        <v>NANAIMO</v>
      </c>
      <c r="F22" s="56" t="str">
        <f>IF(ISBLANK(Control_1 Establishment_2),"",Control_1 Establishment_2)</f>
        <v>E&amp;N Trail @ Waddington</v>
      </c>
      <c r="G22" s="63" t="str">
        <f>IF(ISBLANK('[2]Control Entry'!J15),"",'[2]Control Entry'!J15)</f>
        <v>Is there a garbage can?</v>
      </c>
      <c r="H22" s="64"/>
      <c r="I22" s="65"/>
      <c r="J22" s="66"/>
    </row>
    <row r="23" spans="2:15" ht="40" customHeight="1" thickBot="1" x14ac:dyDescent="0.3">
      <c r="B23" s="67"/>
      <c r="C23" s="68">
        <f>Control_1 Open_time</f>
        <v>46172.25</v>
      </c>
      <c r="D23" s="68">
        <f>Control_1 Close_time</f>
        <v>46172.291666666664</v>
      </c>
      <c r="E23" s="69"/>
      <c r="F23" s="70" t="str">
        <f>IF(ISBLANK(Control_1 Establishment_3),"",Control_1 Establishment_3)</f>
        <v>North side of crosswalk.  Look back up trail</v>
      </c>
      <c r="G23" s="71" t="str">
        <f>IF(ISBLANK('[2]Control Entry'!K15),"",'[2]Control Entry'!K15)</f>
        <v xml:space="preserve">YES.      NO.      </v>
      </c>
      <c r="H23" s="72"/>
      <c r="I23" s="73"/>
      <c r="J23" s="74"/>
    </row>
    <row r="24" spans="2:15" ht="40" customHeight="1" x14ac:dyDescent="0.25">
      <c r="B24" s="53"/>
      <c r="C24" s="54">
        <f>Control_2 Open_time</f>
        <v>46172.36041666667</v>
      </c>
      <c r="D24" s="54">
        <f>Control_2 Close_time</f>
        <v>46172.500694444447</v>
      </c>
      <c r="E24" s="75"/>
      <c r="F24" s="56" t="str">
        <f>IF(ISBLANK(Control_2 Establishment_1),"",Control_2 Establishment_1)</f>
        <v>INFORMATION</v>
      </c>
      <c r="G24" s="57" t="str">
        <f>IF(ISBLANK('[2]Control Entry'!I16),"",'[2]Control Entry'!I16)</f>
        <v>On  door</v>
      </c>
      <c r="H24" s="58"/>
      <c r="I24" s="59"/>
      <c r="J24" s="60"/>
    </row>
    <row r="25" spans="2:15" ht="40" customHeight="1" x14ac:dyDescent="0.25">
      <c r="B25" s="61">
        <f>IF(ISBLANK(Distance Control_2),"",Control_2 Distance)</f>
        <v>90.199999999999989</v>
      </c>
      <c r="C25" s="62">
        <f>Control_2 Open_time</f>
        <v>46172.36041666667</v>
      </c>
      <c r="D25" s="62">
        <f>Control_2 Close_time</f>
        <v>46172.500694444447</v>
      </c>
      <c r="E25" s="56" t="str">
        <f>IF(ISBLANK(Locale Control_2),"",Locale Control_2)</f>
        <v>MILL BAY</v>
      </c>
      <c r="F25" s="56" t="str">
        <f>IF(ISBLANK(Control_2 Establishment_2),"",Control_2 Establishment_2)</f>
        <v>Tim Hortons</v>
      </c>
      <c r="G25" s="63" t="str">
        <f>IF(ISBLANK('[2]Control Entry'!J16),"",'[2]Control Entry'!J16)</f>
        <v>Restaurant Hours?</v>
      </c>
      <c r="H25" s="64"/>
      <c r="I25" s="65"/>
      <c r="J25" s="66"/>
    </row>
    <row r="26" spans="2:15" ht="40" customHeight="1" thickBot="1" x14ac:dyDescent="0.3">
      <c r="B26" s="67"/>
      <c r="C26" s="68">
        <f>Control_2 Open_time</f>
        <v>46172.36041666667</v>
      </c>
      <c r="D26" s="68">
        <f>Control_2 Close_time</f>
        <v>46172.500694444447</v>
      </c>
      <c r="E26" s="69"/>
      <c r="F26" s="70" t="str">
        <f>IF(ISBLANK(Control_2 Establishment_3),"",Control_2 Establishment_3)</f>
        <v>Deloume Rd</v>
      </c>
      <c r="G26" s="71" t="str">
        <f>IF(ISBLANK('[2]Control Entry'!K16),"",'[2]Control Entry'!K16)</f>
        <v>__________AM to 10 PM</v>
      </c>
      <c r="H26" s="72"/>
      <c r="I26" s="73"/>
      <c r="J26" s="74"/>
    </row>
    <row r="27" spans="2:15" ht="40" customHeight="1" x14ac:dyDescent="0.25">
      <c r="B27" s="53"/>
      <c r="C27" s="54">
        <f>Control_3 Open_time</f>
        <v>46172.447916666664</v>
      </c>
      <c r="D27" s="54">
        <f>Control_3 Close_time</f>
        <v>46172.698611111111</v>
      </c>
      <c r="E27" s="75"/>
      <c r="F27" s="56" t="str">
        <f>IF(ISBLANK(Control_3 Establishment_1),"",Control_3 Establishment_1)</f>
        <v>INFORMATION</v>
      </c>
      <c r="G27" s="57" t="str">
        <f>IF(ISBLANK('[2]Control Entry'!I17),"",'[2]Control Entry'!I17)</f>
        <v>Face building,  AC Coffee sign</v>
      </c>
      <c r="H27" s="58"/>
      <c r="I27" s="59"/>
      <c r="J27" s="60"/>
    </row>
    <row r="28" spans="2:15" ht="40" customHeight="1" x14ac:dyDescent="0.25">
      <c r="B28" s="61">
        <f>IF(ISBLANK(Distance Control_3),"",Control_3 Distance)</f>
        <v>161.5</v>
      </c>
      <c r="C28" s="62">
        <f>Control_3 Open_time</f>
        <v>46172.447916666664</v>
      </c>
      <c r="D28" s="62">
        <f>Control_3 Close_time</f>
        <v>46172.698611111111</v>
      </c>
      <c r="E28" s="56" t="str">
        <f>IF(ISBLANK(Locale Control_3),"",Locale Control_3)</f>
        <v>YOUBOU</v>
      </c>
      <c r="F28" s="56" t="str">
        <f>IF(ISBLANK(Control_3 Establishment_2),"",Control_3 Establishment_2)</f>
        <v>Arise Café</v>
      </c>
      <c r="G28" s="63" t="str">
        <f>IF(ISBLANK('[2]Control Entry'!J17),"",'[2]Control Entry'!J17)</f>
        <v>Arrow points which way?</v>
      </c>
      <c r="H28" s="64"/>
      <c r="I28" s="65"/>
      <c r="J28" s="66"/>
    </row>
    <row r="29" spans="2:15" ht="40" customHeight="1" thickBot="1" x14ac:dyDescent="0.3">
      <c r="B29" s="67"/>
      <c r="C29" s="68">
        <f>Control_3 Open_time</f>
        <v>46172.447916666664</v>
      </c>
      <c r="D29" s="68">
        <f>Control_3 Close_time</f>
        <v>46172.698611111111</v>
      </c>
      <c r="E29" s="69"/>
      <c r="F29" s="70" t="str">
        <f>IF(ISBLANK(Control_3 Establishment_3),"",Control_3 Establishment_3)</f>
        <v>10375 Youbou Rd</v>
      </c>
      <c r="G29" s="71" t="str">
        <f>IF(ISBLANK('[2]Control Entry'!K17),"",'[2]Control Entry'!K17)</f>
        <v>LEFT       DOWN       RIGHT</v>
      </c>
      <c r="H29" s="72"/>
      <c r="I29" s="73"/>
      <c r="J29" s="74"/>
    </row>
    <row r="30" spans="2:15" ht="40" customHeight="1" x14ac:dyDescent="0.25">
      <c r="B30" s="53"/>
      <c r="C30" s="54">
        <f>Control_4 Open_time</f>
        <v>46172.515277777777</v>
      </c>
      <c r="D30" s="54">
        <f>Control_4 Close_time</f>
        <v>46172.848611111112</v>
      </c>
      <c r="E30" s="75"/>
      <c r="F30" s="56" t="str">
        <f>IF(ISBLANK(Control_4 Establishment_1),"",Control_4 Establishment_1)</f>
        <v>INFORMATION</v>
      </c>
      <c r="G30" s="57" t="str">
        <f>IF(ISBLANK('[2]Control Entry'!I18),"",'[2]Control Entry'!I18)</f>
        <v>Sign beside door "Crofton Senior Society"</v>
      </c>
      <c r="H30" s="58"/>
      <c r="I30" s="59"/>
      <c r="J30" s="60"/>
    </row>
    <row r="31" spans="2:15" ht="40" customHeight="1" x14ac:dyDescent="0.25">
      <c r="B31" s="61">
        <f>IF(ISBLANK(Distance Control_4),"",Control_4 Distance)</f>
        <v>215.39999999999998</v>
      </c>
      <c r="C31" s="62">
        <f>Control_4 Open_time</f>
        <v>46172.515277777777</v>
      </c>
      <c r="D31" s="62">
        <f>Control_4 Close_time</f>
        <v>46172.848611111112</v>
      </c>
      <c r="E31" s="56" t="str">
        <f>IF(ISBLANK(Locale Control_4),"",Locale Control_4)</f>
        <v>CROFTON</v>
      </c>
      <c r="F31" s="56" t="str">
        <f>IF(ISBLANK(Control_4 Establishment_2),"",Control_4 Establishment_2)</f>
        <v>Old School House Museum</v>
      </c>
      <c r="G31" s="76" t="str">
        <f>IF(ISBLANK('[2]Control Entry'!J18),"",'[2]Control Entry'!J18)</f>
        <v>What year?</v>
      </c>
      <c r="H31" s="77"/>
      <c r="I31" s="78"/>
      <c r="J31" s="66"/>
    </row>
    <row r="32" spans="2:15" ht="40" customHeight="1" thickBot="1" x14ac:dyDescent="0.3">
      <c r="B32" s="67"/>
      <c r="C32" s="68">
        <f>Control_4 Open_time</f>
        <v>46172.515277777777</v>
      </c>
      <c r="D32" s="68">
        <f>Control_4 Close_time</f>
        <v>46172.848611111112</v>
      </c>
      <c r="E32" s="69"/>
      <c r="F32" s="70" t="str">
        <f>IF(ISBLANK(Control_4 Establishment_3),"",Control_4 Establishment_3)</f>
        <v>1507 Joan Ave</v>
      </c>
      <c r="G32" s="71" t="str">
        <f>IF(ISBLANK('[2]Control Entry'!K18),"",'[2]Control Entry'!K18)</f>
        <v>1890.      1986.      2006</v>
      </c>
      <c r="H32" s="72"/>
      <c r="I32" s="73"/>
      <c r="J32" s="74"/>
    </row>
    <row r="33" spans="2:10" ht="40" customHeight="1" x14ac:dyDescent="0.25">
      <c r="B33" s="53"/>
      <c r="C33" s="54">
        <f>Control_5 Open_time</f>
        <v>46172.731944444444</v>
      </c>
      <c r="D33" s="54">
        <f>Control_5 Close_time</f>
        <v>46173.311111111114</v>
      </c>
      <c r="E33" s="75"/>
      <c r="F33" s="56" t="str">
        <f>IF(ISBLANK(Control_5 Establishment_1),"",Control_5 Establishment_1)</f>
        <v>INFORMATION</v>
      </c>
      <c r="G33" s="57" t="str">
        <f>IF(ISBLANK('[2]Control Entry'!I19),"",'[2]Control Entry'!I19)</f>
        <v>Type of store?</v>
      </c>
      <c r="H33" s="58"/>
      <c r="I33" s="59"/>
      <c r="J33" s="60"/>
    </row>
    <row r="34" spans="2:10" ht="40" customHeight="1" x14ac:dyDescent="0.25">
      <c r="B34" s="61">
        <f>IF(ISBLANK(Distance Control_5),"",Control_5 Distance)</f>
        <v>382.09999999999997</v>
      </c>
      <c r="C34" s="62">
        <f>Control_5 Open_time</f>
        <v>46172.731944444444</v>
      </c>
      <c r="D34" s="62">
        <f>Control_5 Close_time</f>
        <v>46173.311111111114</v>
      </c>
      <c r="E34" s="56" t="str">
        <f>IF(ISBLANK(Locale Control_5),"",Locale Control_5)</f>
        <v>COMOX</v>
      </c>
      <c r="F34" s="56" t="str">
        <f>IF(ISBLANK(Control_5 Establishment_2),"",Control_5 Establishment_2)</f>
        <v>Anderton Rd before lights at Guthrie Rd</v>
      </c>
      <c r="G34" s="63" t="str">
        <f>IF(ISBLANK('[2]Control Entry'!J19),"",'[2]Control Entry'!J19)</f>
        <v/>
      </c>
      <c r="H34" s="64"/>
      <c r="I34" s="65"/>
      <c r="J34" s="66"/>
    </row>
    <row r="35" spans="2:10" ht="40" customHeight="1" thickBot="1" x14ac:dyDescent="0.3">
      <c r="B35" s="67"/>
      <c r="C35" s="68">
        <f>Control_5 Open_time</f>
        <v>46172.731944444444</v>
      </c>
      <c r="D35" s="68">
        <f>Control_5 Close_time</f>
        <v>46173.311111111114</v>
      </c>
      <c r="E35" s="69"/>
      <c r="F35" s="79" t="str">
        <f>IF(ISBLANK(Control_5 Establishment_3),"",Control_5 Establishment_3)</f>
        <v>New corner store on right corner</v>
      </c>
      <c r="G35" s="71" t="str">
        <f>IF(ISBLANK('[2]Control Entry'!K19),"",'[2]Control Entry'!K19)</f>
        <v>GROCERY       FLORIST       LIQUOR</v>
      </c>
      <c r="H35" s="72"/>
      <c r="I35" s="73"/>
      <c r="J35" s="74"/>
    </row>
    <row r="36" spans="2:10" ht="40" customHeight="1" x14ac:dyDescent="0.25">
      <c r="B36" s="53"/>
      <c r="C36" s="54">
        <f>Control_6 Open_time</f>
        <v>46172.803472222222</v>
      </c>
      <c r="D36" s="54">
        <f>Control_6 Close_time</f>
        <v>46173.457638888889</v>
      </c>
      <c r="E36" s="75"/>
      <c r="F36" s="56" t="str">
        <f>IF(ISBLANK(Control_6 Establishment_1),"",Control_6 Establishment_1)</f>
        <v>INFORMATION</v>
      </c>
      <c r="G36" s="57" t="str">
        <f>IF(ISBLANK('[2]Control Entry'!I20),"",'[2]Control Entry'!I20)</f>
        <v>Ice coolers to right of door</v>
      </c>
      <c r="H36" s="58"/>
      <c r="I36" s="59"/>
      <c r="J36" s="60"/>
    </row>
    <row r="37" spans="2:10" ht="40" customHeight="1" x14ac:dyDescent="0.25">
      <c r="B37" s="61">
        <f>IF(ISBLANK(Distance Control_6),"",Control_6 Distance)</f>
        <v>434.7</v>
      </c>
      <c r="C37" s="62">
        <f>Control_6 Open_time</f>
        <v>46172.803472222222</v>
      </c>
      <c r="D37" s="62">
        <f>Control_6 Close_time</f>
        <v>46173.457638888889</v>
      </c>
      <c r="E37" s="56" t="str">
        <f>IF(ISBLANK(Locale Control_6),"",Locale Control_6)</f>
        <v>CAMPBELL RIVER</v>
      </c>
      <c r="F37" s="56" t="str">
        <f>IF(ISBLANK(Control_6 Establishment_2),"",Control_6 Establishment_2)</f>
        <v>Chevron Gas</v>
      </c>
      <c r="G37" s="63" t="str">
        <f>IF(ISBLANK('[2]Control Entry'!J20),"",'[2]Control Entry'!J20)</f>
        <v>Price of 4kg ice?</v>
      </c>
      <c r="H37" s="64"/>
      <c r="I37" s="65"/>
      <c r="J37" s="66"/>
    </row>
    <row r="38" spans="2:10" ht="40" customHeight="1" thickBot="1" x14ac:dyDescent="0.3">
      <c r="B38" s="67"/>
      <c r="C38" s="68">
        <f>Control_6 Open_time</f>
        <v>46172.803472222222</v>
      </c>
      <c r="D38" s="68">
        <f>Control_6 Close_time</f>
        <v>46173.457638888889</v>
      </c>
      <c r="E38" s="69"/>
      <c r="F38" s="70" t="str">
        <f>IF(ISBLANK(Control_6 Establishment_3),"",Control_6 Establishment_3)</f>
        <v>Island Hwy @ Redwood</v>
      </c>
      <c r="G38" s="71" t="str">
        <f>IF(ISBLANK('[2]Control Entry'!K20),"",'[2]Control Entry'!K20)</f>
        <v>$5.__________________</v>
      </c>
      <c r="H38" s="72"/>
      <c r="I38" s="73"/>
      <c r="J38" s="74"/>
    </row>
    <row r="39" spans="2:10" ht="40" customHeight="1" x14ac:dyDescent="0.25">
      <c r="B39" s="53"/>
      <c r="C39" s="54">
        <f>Control_7 Open_time</f>
        <v>46172.879861111112</v>
      </c>
      <c r="D39" s="54">
        <f>Control_7 Close_time</f>
        <v>46173.609722222223</v>
      </c>
      <c r="E39" s="75"/>
      <c r="F39" s="56" t="str">
        <f>IF(ISBLANK(Control_7 Establishment_1),"",Control_7 Establishment_1)</f>
        <v>INFORMATION</v>
      </c>
      <c r="G39" s="57" t="str">
        <f>IF(ISBLANK('[2]Control Entry'!I21),"",'[2]Control Entry'!I21)</f>
        <v>Hospital direction sign</v>
      </c>
      <c r="H39" s="58"/>
      <c r="I39" s="59"/>
      <c r="J39" s="60"/>
    </row>
    <row r="40" spans="2:10" ht="40" customHeight="1" x14ac:dyDescent="0.25">
      <c r="B40" s="61">
        <f>IF(ISBLANK(Distance Control_7),"",Control_7 Distance)</f>
        <v>489.5</v>
      </c>
      <c r="C40" s="62">
        <f>Control_7 Open_time</f>
        <v>46172.879861111112</v>
      </c>
      <c r="D40" s="62">
        <f>Control_7 Close_time</f>
        <v>46173.609722222223</v>
      </c>
      <c r="E40" s="56" t="str">
        <f>IF(ISBLANK(Locale Control_7),"",Locale Control_7)</f>
        <v>COURTENAY</v>
      </c>
      <c r="F40" s="56" t="str">
        <f>IF(ISBLANK(Control_7 Establishment_2),"",Control_7 Establishment_2)</f>
        <v>Piercy @ Condensory</v>
      </c>
      <c r="G40" s="63" t="str">
        <f>IF(ISBLANK('[2]Control Entry'!J21),"",'[2]Control Entry'!J21)</f>
        <v>Arrow points which way?</v>
      </c>
      <c r="H40" s="64"/>
      <c r="I40" s="65"/>
      <c r="J40" s="66"/>
    </row>
    <row r="41" spans="2:10" ht="40" customHeight="1" thickBot="1" x14ac:dyDescent="0.3">
      <c r="B41" s="67"/>
      <c r="C41" s="68">
        <f>Control_7 Open_time</f>
        <v>46172.879861111112</v>
      </c>
      <c r="D41" s="68">
        <f>Control_7 Close_time</f>
        <v>46173.609722222223</v>
      </c>
      <c r="E41" s="69"/>
      <c r="F41" s="70" t="str">
        <f>IF(ISBLANK(Control_7 Establishment_3),"",Control_7 Establishment_3)</f>
        <v>100m before flashing light</v>
      </c>
      <c r="G41" s="71" t="str">
        <f>IF(ISBLANK('[2]Control Entry'!K21),"",'[2]Control Entry'!K21)</f>
        <v>LEFT      STRAIGHT     RIGHT</v>
      </c>
      <c r="H41" s="72"/>
      <c r="I41" s="73"/>
      <c r="J41" s="74"/>
    </row>
    <row r="42" spans="2:10" ht="40" customHeight="1" x14ac:dyDescent="0.25">
      <c r="B42" s="53"/>
      <c r="C42" s="54">
        <f>Control_8 Open_time</f>
        <v>46172.970138888886</v>
      </c>
      <c r="D42" s="54">
        <f>Control_8 Close_time</f>
        <v>46173.790277777778</v>
      </c>
      <c r="E42" s="75"/>
      <c r="F42" s="56" t="str">
        <f>IF(ISBLANK(Control_8 Establishment_1),"",Control_8 Establishment_1)</f>
        <v>INFORMATION</v>
      </c>
      <c r="G42" s="57" t="str">
        <f>IF(ISBLANK('[2]Control Entry'!I22),"",'[2]Control Entry'!I22)</f>
        <v>On Laundromat door</v>
      </c>
      <c r="H42" s="58"/>
      <c r="I42" s="59"/>
      <c r="J42" s="60"/>
    </row>
    <row r="43" spans="2:10" ht="40" customHeight="1" x14ac:dyDescent="0.25">
      <c r="B43" s="61">
        <f>IF(ISBLANK(Distance Control_8),"",Control_8 Distance)</f>
        <v>554.4</v>
      </c>
      <c r="C43" s="62">
        <f>Control_8 Open_time</f>
        <v>46172.970138888886</v>
      </c>
      <c r="D43" s="62">
        <f>Control_8 Close_time</f>
        <v>46173.790277777778</v>
      </c>
      <c r="E43" s="56" t="str">
        <f>IF(ISBLANK(Locale Control_8),"",Locale Control_8)</f>
        <v>QUALICUM BEACH</v>
      </c>
      <c r="F43" s="56" t="str">
        <f>IF(ISBLANK(Control_8 Establishment_2),"",Control_8 Establishment_2)</f>
        <v xml:space="preserve">Shell Gas </v>
      </c>
      <c r="G43" s="63" t="str">
        <f>IF(ISBLANK('[2]Control Entry'!J22),"",'[2]Control Entry'!J22)</f>
        <v>Hours of Operation?</v>
      </c>
      <c r="H43" s="64"/>
      <c r="I43" s="65"/>
      <c r="J43" s="66"/>
    </row>
    <row r="44" spans="2:10" ht="40" customHeight="1" thickBot="1" x14ac:dyDescent="0.3">
      <c r="B44" s="67"/>
      <c r="C44" s="68">
        <f>Control_8 Open_time</f>
        <v>46172.970138888886</v>
      </c>
      <c r="D44" s="68">
        <f>Control_8 Close_time</f>
        <v>46173.790277777778</v>
      </c>
      <c r="E44" s="69"/>
      <c r="F44" s="70" t="str">
        <f>IF(ISBLANK(Control_8 Establishment_3),"",Control_8 Establishment_3)</f>
        <v/>
      </c>
      <c r="G44" s="71" t="str">
        <f>IF(ISBLANK('[2]Control Entry'!K22),"",'[2]Control Entry'!K22)</f>
        <v>9AM to ________PM</v>
      </c>
      <c r="H44" s="72"/>
      <c r="I44" s="73"/>
      <c r="J44" s="74"/>
    </row>
    <row r="45" spans="2:10" ht="40" customHeight="1" x14ac:dyDescent="0.25">
      <c r="B45" s="53"/>
      <c r="C45" s="54">
        <f>Control_9 Open_time</f>
        <v>46173.034722222219</v>
      </c>
      <c r="D45" s="54">
        <f>Control_9 Close_time</f>
        <v>46173.916666666664</v>
      </c>
      <c r="E45" s="75"/>
      <c r="F45" s="56" t="str">
        <f>IF(ISBLANK(Control_9 Establishment_1),"",Control_9 Establishment_1)</f>
        <v>SELF SIGN</v>
      </c>
      <c r="G45" s="57" t="str">
        <f>IF(ISBLANK('[2]Control Entry'!I23),"",'[2]Control Entry'!I23)</f>
        <v/>
      </c>
      <c r="H45" s="58"/>
      <c r="I45" s="59"/>
      <c r="J45" s="60"/>
    </row>
    <row r="46" spans="2:10" ht="40" customHeight="1" x14ac:dyDescent="0.25">
      <c r="B46" s="61">
        <f>IF(ISBLANK(Distance Control_9),"",Control_9 Distance)</f>
        <v>600.9</v>
      </c>
      <c r="C46" s="62">
        <f>Control_9 Open_time</f>
        <v>46173.034722222219</v>
      </c>
      <c r="D46" s="62">
        <f>Control_9 Close_time</f>
        <v>46173.916666666664</v>
      </c>
      <c r="E46" s="56" t="str">
        <f>IF(ISBLANK(Locale Control_9),"",Locale Control_9)</f>
        <v>NANAIMO</v>
      </c>
      <c r="F46" s="56" t="str">
        <f>IF(ISBLANK(Control_9 Establishment_2),"",Control_9 Establishment_2)</f>
        <v>E&amp;N Trail @ Waddington</v>
      </c>
      <c r="G46" s="63" t="str">
        <f>IF(ISBLANK('[2]Control Entry'!J23),"",'[2]Control Entry'!J23)</f>
        <v/>
      </c>
      <c r="H46" s="64"/>
      <c r="I46" s="65"/>
      <c r="J46" s="66"/>
    </row>
    <row r="47" spans="2:10" ht="40" customHeight="1" thickBot="1" x14ac:dyDescent="0.3">
      <c r="B47" s="67"/>
      <c r="C47" s="68">
        <f>Control_9 Open_time</f>
        <v>46173.034722222219</v>
      </c>
      <c r="D47" s="68">
        <f>Control_9 Close_time</f>
        <v>46173.916666666664</v>
      </c>
      <c r="E47" s="69"/>
      <c r="F47" s="70" t="str">
        <f>IF(ISBLANK(Control_9 Establishment_3),"",Control_9 Establishment_3)</f>
        <v/>
      </c>
      <c r="G47" s="71" t="str">
        <f>IF(ISBLANK('[2]Control Entry'!K23),"",'[2]Control Entry'!K23)</f>
        <v/>
      </c>
      <c r="H47" s="72"/>
      <c r="I47" s="73"/>
      <c r="J47" s="74"/>
    </row>
    <row r="48" spans="2:10" ht="40" customHeight="1" x14ac:dyDescent="0.25">
      <c r="B48" s="53"/>
      <c r="C48" s="54" t="str">
        <f>Control_10 Open_time</f>
        <v/>
      </c>
      <c r="D48" s="54" t="str">
        <f>Control_10 Close_time</f>
        <v/>
      </c>
      <c r="E48" s="75"/>
      <c r="F48" s="56" t="str">
        <f>IF(ISBLANK(Control_10 Establishment_1),"",Control_10 Establishment_1)</f>
        <v/>
      </c>
      <c r="G48" s="57" t="str">
        <f>IF(ISBLANK('[2]Control Entry'!I24),"",'[2]Control Entry'!I24)</f>
        <v/>
      </c>
      <c r="H48" s="58"/>
      <c r="I48" s="59"/>
      <c r="J48" s="60"/>
    </row>
    <row r="49" spans="2:11" ht="40" customHeight="1" x14ac:dyDescent="0.25">
      <c r="B49" s="61" t="str">
        <f>IF(ISBLANK(Distance Control_10),"",Control_10 Distance)</f>
        <v/>
      </c>
      <c r="C49" s="62" t="str">
        <f>Control_10 Open_time</f>
        <v/>
      </c>
      <c r="D49" s="62" t="str">
        <f>Control_10 Close_time</f>
        <v/>
      </c>
      <c r="E49" s="56" t="str">
        <f>IF(ISBLANK(Locale Control_10),"",Locale Control_10)</f>
        <v/>
      </c>
      <c r="F49" s="56" t="str">
        <f>IF(ISBLANK(Control_10 Establishment_2),"",Control_10 Establishment_2)</f>
        <v/>
      </c>
      <c r="G49" s="63" t="str">
        <f>IF(ISBLANK('[2]Control Entry'!J24),"",'[2]Control Entry'!J24)</f>
        <v/>
      </c>
      <c r="H49" s="64"/>
      <c r="I49" s="65"/>
      <c r="J49" s="66"/>
    </row>
    <row r="50" spans="2:11" ht="40" customHeight="1" thickBot="1" x14ac:dyDescent="0.3">
      <c r="B50" s="67"/>
      <c r="C50" s="68" t="str">
        <f>Control_10 Open_time</f>
        <v/>
      </c>
      <c r="D50" s="68" t="str">
        <f>Control_10 Close_time</f>
        <v/>
      </c>
      <c r="E50" s="69"/>
      <c r="F50" s="70" t="str">
        <f>IF(ISBLANK(Control_10 Establishment_3),"",Control_10 Establishment_3)</f>
        <v/>
      </c>
      <c r="G50" s="71" t="str">
        <f>IF(ISBLANK('[2]Control Entry'!K24),"",'[2]Control Entry'!K24)</f>
        <v/>
      </c>
      <c r="H50" s="72"/>
      <c r="I50" s="73"/>
      <c r="J50" s="74"/>
    </row>
    <row r="52" spans="2:11" ht="24" customHeight="1" x14ac:dyDescent="0.15">
      <c r="B52" s="80" t="s">
        <v>23</v>
      </c>
      <c r="C52" s="80"/>
      <c r="D52" s="80"/>
      <c r="E52" s="80"/>
      <c r="F52" s="80"/>
      <c r="I52" s="23" t="s">
        <v>24</v>
      </c>
      <c r="J52" s="81" t="str">
        <f>IF(ISBLANK('[2]Control Entry'!F10),"",'[2]Control Entry'!F10)</f>
        <v>‭(250) 213-3724‬</v>
      </c>
      <c r="K52" s="24"/>
    </row>
    <row r="54" spans="2:11" x14ac:dyDescent="0.15">
      <c r="B54" s="82" t="s">
        <v>25</v>
      </c>
      <c r="C54" s="83">
        <f>'[2]Control Entry'!B3</f>
        <v>45167</v>
      </c>
    </row>
    <row r="55" spans="2:11" ht="23" x14ac:dyDescent="0.15">
      <c r="B55" s="23"/>
      <c r="C55" s="23"/>
      <c r="D55" s="23"/>
      <c r="E55" s="23"/>
      <c r="F55" s="24"/>
      <c r="G55" s="25"/>
      <c r="H55" s="25"/>
      <c r="I55" s="25"/>
      <c r="J55" s="24"/>
    </row>
    <row r="56" spans="2:11" x14ac:dyDescent="0.15">
      <c r="E56" s="84"/>
    </row>
    <row r="57" spans="2:11" x14ac:dyDescent="0.15">
      <c r="B57" s="85"/>
      <c r="C57" s="86"/>
      <c r="D57" s="86"/>
      <c r="E57" s="86"/>
      <c r="F57" s="87"/>
      <c r="G57" s="88"/>
      <c r="H57" s="88"/>
      <c r="I57" s="88"/>
      <c r="J57" s="88"/>
    </row>
  </sheetData>
  <mergeCells count="50">
    <mergeCell ref="B52:F52"/>
    <mergeCell ref="F57:J57"/>
    <mergeCell ref="G45:I45"/>
    <mergeCell ref="G46:I46"/>
    <mergeCell ref="G47:I47"/>
    <mergeCell ref="G48:I48"/>
    <mergeCell ref="G49:I49"/>
    <mergeCell ref="G50:I50"/>
    <mergeCell ref="G39:I39"/>
    <mergeCell ref="G40:I40"/>
    <mergeCell ref="G41:I41"/>
    <mergeCell ref="G42:I42"/>
    <mergeCell ref="G43:I43"/>
    <mergeCell ref="G44:I44"/>
    <mergeCell ref="G33:I33"/>
    <mergeCell ref="G34:I34"/>
    <mergeCell ref="G35:I35"/>
    <mergeCell ref="G36:I36"/>
    <mergeCell ref="G37:I37"/>
    <mergeCell ref="G38:I38"/>
    <mergeCell ref="G27:I27"/>
    <mergeCell ref="G28:I28"/>
    <mergeCell ref="G29:I29"/>
    <mergeCell ref="G30:I30"/>
    <mergeCell ref="G31:I31"/>
    <mergeCell ref="G32:I32"/>
    <mergeCell ref="G21:I21"/>
    <mergeCell ref="G22:I22"/>
    <mergeCell ref="G23:I23"/>
    <mergeCell ref="G24:I24"/>
    <mergeCell ref="G25:I25"/>
    <mergeCell ref="G26:I26"/>
    <mergeCell ref="C17:F17"/>
    <mergeCell ref="I17:J17"/>
    <mergeCell ref="L17:M17"/>
    <mergeCell ref="N17:O17"/>
    <mergeCell ref="B19:J19"/>
    <mergeCell ref="G20:I20"/>
    <mergeCell ref="B10:C10"/>
    <mergeCell ref="E10:G10"/>
    <mergeCell ref="L10:M10"/>
    <mergeCell ref="N10:O10"/>
    <mergeCell ref="D12:E12"/>
    <mergeCell ref="D14:E14"/>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669D2-C5A2-E841-B8D2-20B1E4BEAA83}">
  <sheetPr>
    <pageSetUpPr fitToPage="1"/>
  </sheetPr>
  <dimension ref="B1:O57"/>
  <sheetViews>
    <sheetView view="pageLayout" topLeftCell="A15" zoomScale="75" zoomScaleNormal="115" zoomScalePageLayoutView="75" workbookViewId="0">
      <selection activeCell="F35" sqref="F35"/>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1"/>
      <c r="L1" s="1"/>
      <c r="M1" s="1"/>
    </row>
    <row r="2" spans="2:15" ht="18" x14ac:dyDescent="0.2">
      <c r="C2" s="2" t="s">
        <v>0</v>
      </c>
      <c r="D2" s="2"/>
      <c r="E2" s="2"/>
      <c r="F2" s="2"/>
      <c r="G2" s="3"/>
      <c r="H2" s="3"/>
      <c r="I2" s="4" t="s">
        <v>1</v>
      </c>
      <c r="J2" s="5">
        <f>'[3]Control Entry'!B4</f>
        <v>46164</v>
      </c>
      <c r="K2" s="3"/>
      <c r="L2" s="3"/>
    </row>
    <row r="3" spans="2:15" ht="45" customHeight="1" x14ac:dyDescent="0.45">
      <c r="D3" s="6"/>
      <c r="E3" s="7" t="s">
        <v>2</v>
      </c>
      <c r="F3" s="7"/>
      <c r="G3" s="7"/>
      <c r="H3" s="7"/>
      <c r="I3" s="8" t="s">
        <v>3</v>
      </c>
      <c r="J3" s="9">
        <f>IF(ISBLANK(Brevet_Number),"",Brevet_Number)</f>
        <v>5636</v>
      </c>
      <c r="K3" s="10"/>
      <c r="L3" s="10"/>
    </row>
    <row r="4" spans="2:15" ht="20" customHeight="1" x14ac:dyDescent="0.15">
      <c r="C4" s="6"/>
      <c r="E4" s="11" t="str">
        <f>IF(ISBLANK(Brevet_Length),"",Brevet_Length&amp;" km Randonnée")</f>
        <v>600 km Randonnée</v>
      </c>
      <c r="F4" s="11"/>
      <c r="G4" s="11"/>
      <c r="H4" s="11"/>
      <c r="K4" s="12"/>
      <c r="L4" s="12"/>
    </row>
    <row r="5" spans="2:15" ht="20" customHeight="1" x14ac:dyDescent="0.2">
      <c r="D5" s="13"/>
      <c r="E5" s="14" t="str">
        <f>IF(ISBLANK(Brevet_Description),"",Brevet_Description)</f>
        <v>Ripple Rock Blown Up</v>
      </c>
      <c r="F5" s="14"/>
      <c r="G5" s="14"/>
      <c r="H5" s="14"/>
      <c r="I5" s="15"/>
      <c r="J5" s="13"/>
      <c r="K5" s="13"/>
      <c r="L5" s="13"/>
    </row>
    <row r="6" spans="2:15" ht="20" x14ac:dyDescent="0.2">
      <c r="D6" s="16"/>
      <c r="E6" s="14"/>
      <c r="F6" s="14"/>
      <c r="G6" s="14"/>
      <c r="H6" s="14"/>
      <c r="I6" s="15"/>
      <c r="J6" s="16"/>
      <c r="K6" s="13"/>
      <c r="L6" s="13"/>
    </row>
    <row r="7" spans="2:15" ht="25" customHeight="1" x14ac:dyDescent="0.15">
      <c r="C7" s="17"/>
      <c r="D7" s="17"/>
      <c r="E7" s="17"/>
      <c r="F7" s="17"/>
      <c r="H7" s="18"/>
    </row>
    <row r="8" spans="2:15" ht="21" thickBot="1" x14ac:dyDescent="0.25">
      <c r="B8" s="19" t="s">
        <v>4</v>
      </c>
      <c r="C8" s="20"/>
      <c r="D8" s="20"/>
      <c r="E8" s="20"/>
      <c r="F8" s="20"/>
      <c r="G8" s="19" t="s">
        <v>5</v>
      </c>
      <c r="H8" s="21"/>
      <c r="I8" s="22"/>
      <c r="J8" s="22"/>
      <c r="K8" s="22"/>
    </row>
    <row r="9" spans="2:15" ht="22" customHeight="1" x14ac:dyDescent="0.15">
      <c r="B9" s="23"/>
      <c r="C9" s="23"/>
      <c r="D9" s="23"/>
      <c r="E9" s="23"/>
      <c r="F9" s="24"/>
      <c r="G9" s="25"/>
      <c r="H9" s="25"/>
      <c r="I9" s="25"/>
      <c r="J9" s="24"/>
    </row>
    <row r="10" spans="2:15" ht="20" customHeight="1" x14ac:dyDescent="0.15">
      <c r="B10" s="26" t="s">
        <v>6</v>
      </c>
      <c r="C10" s="26"/>
      <c r="D10" s="27" t="s">
        <v>7</v>
      </c>
      <c r="E10" s="28" t="s">
        <v>8</v>
      </c>
      <c r="F10" s="28"/>
      <c r="G10" s="28"/>
      <c r="H10" s="29"/>
      <c r="I10" s="30"/>
      <c r="J10" s="30"/>
      <c r="K10" s="31"/>
      <c r="L10" s="32"/>
      <c r="M10" s="32"/>
      <c r="N10" s="32"/>
      <c r="O10" s="32"/>
    </row>
    <row r="11" spans="2:15" ht="23" x14ac:dyDescent="0.15">
      <c r="B11" s="23"/>
      <c r="C11" s="23"/>
      <c r="D11" s="23"/>
      <c r="E11" s="23"/>
      <c r="F11" s="24"/>
      <c r="G11" s="25"/>
      <c r="H11" s="25"/>
      <c r="I11" s="25"/>
      <c r="J11" s="24"/>
    </row>
    <row r="12" spans="2:15" ht="21" thickBot="1" x14ac:dyDescent="0.25">
      <c r="D12" s="33" t="s">
        <v>9</v>
      </c>
      <c r="E12" s="33"/>
      <c r="F12" s="34">
        <f>IF(ISBLANK('[3]Control Entry'!B12),"",'[3]Control Entry'!B12)</f>
        <v>46172</v>
      </c>
      <c r="G12" s="35"/>
      <c r="H12" s="19" t="s">
        <v>10</v>
      </c>
      <c r="I12" s="36">
        <f>IF(ISBLANK('[3]Control Entry'!B13),"",'[3]Control Entry'!B13)</f>
        <v>0.25</v>
      </c>
      <c r="J12" s="37"/>
    </row>
    <row r="13" spans="2:15" ht="20" x14ac:dyDescent="0.2">
      <c r="D13" s="38"/>
      <c r="E13" s="38"/>
      <c r="F13" s="39"/>
      <c r="G13" s="39"/>
      <c r="H13" s="39"/>
      <c r="L13" s="37"/>
      <c r="M13" s="37"/>
      <c r="N13" s="37"/>
    </row>
    <row r="14" spans="2:15" ht="21" thickBot="1" x14ac:dyDescent="0.25">
      <c r="D14" s="33" t="s">
        <v>11</v>
      </c>
      <c r="E14" s="33"/>
      <c r="F14" s="34"/>
      <c r="G14" s="35"/>
      <c r="H14" s="19" t="s">
        <v>12</v>
      </c>
      <c r="I14" s="36"/>
      <c r="J14" s="37"/>
      <c r="L14" s="40"/>
      <c r="M14" s="40"/>
      <c r="N14" s="40"/>
    </row>
    <row r="15" spans="2:15" ht="20" x14ac:dyDescent="0.2">
      <c r="B15" s="38"/>
      <c r="C15" s="38"/>
      <c r="D15" s="39"/>
      <c r="E15" s="39"/>
      <c r="H15" s="39"/>
    </row>
    <row r="16" spans="2:15" ht="21" thickBot="1" x14ac:dyDescent="0.25">
      <c r="C16" s="41"/>
      <c r="D16" s="41"/>
      <c r="E16" s="41"/>
      <c r="F16" s="41"/>
      <c r="H16" s="19" t="s">
        <v>13</v>
      </c>
      <c r="I16" s="36"/>
      <c r="J16" s="37"/>
      <c r="L16" s="40"/>
      <c r="M16" s="40"/>
      <c r="N16" s="40"/>
    </row>
    <row r="17" spans="2:15" ht="20" x14ac:dyDescent="0.15">
      <c r="C17" s="42" t="s">
        <v>14</v>
      </c>
      <c r="D17" s="42"/>
      <c r="E17" s="42"/>
      <c r="F17" s="42"/>
      <c r="G17" s="31"/>
      <c r="H17" s="31"/>
      <c r="I17" s="43"/>
      <c r="J17" s="43"/>
      <c r="K17" s="31"/>
      <c r="L17" s="32"/>
      <c r="M17" s="32"/>
      <c r="N17" s="32"/>
      <c r="O17" s="32"/>
    </row>
    <row r="18" spans="2:15" ht="6" customHeight="1" thickBot="1" x14ac:dyDescent="0.2">
      <c r="B18" s="44"/>
      <c r="C18" s="44"/>
      <c r="D18" s="44"/>
      <c r="E18" s="44"/>
      <c r="F18" s="45"/>
      <c r="G18" s="46"/>
      <c r="H18" s="46"/>
      <c r="I18" s="46"/>
      <c r="J18" s="45"/>
    </row>
    <row r="19" spans="2:15" ht="22" thickTop="1" thickBot="1" x14ac:dyDescent="0.2">
      <c r="B19" s="47" t="s">
        <v>15</v>
      </c>
      <c r="C19" s="47"/>
      <c r="D19" s="47"/>
      <c r="E19" s="47"/>
      <c r="F19" s="47"/>
      <c r="G19" s="47"/>
      <c r="H19" s="47"/>
      <c r="I19" s="47"/>
      <c r="J19" s="47"/>
    </row>
    <row r="20" spans="2:15" ht="20" thickBot="1" x14ac:dyDescent="0.25">
      <c r="B20" s="48" t="s">
        <v>16</v>
      </c>
      <c r="C20" s="49" t="s">
        <v>17</v>
      </c>
      <c r="D20" s="49" t="s">
        <v>18</v>
      </c>
      <c r="E20" s="49" t="s">
        <v>19</v>
      </c>
      <c r="F20" s="49" t="s">
        <v>20</v>
      </c>
      <c r="G20" s="50" t="s">
        <v>21</v>
      </c>
      <c r="H20" s="51"/>
      <c r="I20" s="52"/>
      <c r="J20" s="48" t="s">
        <v>22</v>
      </c>
    </row>
    <row r="21" spans="2:15" ht="40" customHeight="1" x14ac:dyDescent="0.25">
      <c r="B21" s="53"/>
      <c r="C21" s="54">
        <f>Control_1 Open_time</f>
        <v>46172.25</v>
      </c>
      <c r="D21" s="54">
        <f>Control_1 Close_time</f>
        <v>46172.291666666664</v>
      </c>
      <c r="E21" s="55"/>
      <c r="F21" s="56" t="str">
        <f>IF(ISBLANK(Control_1 Establishment_1),"",Control_1 Establishment_1)</f>
        <v>INFORMATION</v>
      </c>
      <c r="G21" s="57" t="str">
        <f>IF(ISBLANK('[3]Control Entry'!I15),"",'[3]Control Entry'!I15)</f>
        <v>On Laundromat door</v>
      </c>
      <c r="H21" s="58"/>
      <c r="I21" s="59"/>
      <c r="J21" s="60"/>
    </row>
    <row r="22" spans="2:15" ht="40" customHeight="1" x14ac:dyDescent="0.25">
      <c r="B22" s="61">
        <f>IF(ISBLANK(Distance Control_1),"",Control_1 Distance)</f>
        <v>0</v>
      </c>
      <c r="C22" s="62">
        <f>Control_1 Open_time</f>
        <v>46172.25</v>
      </c>
      <c r="D22" s="62">
        <f>Control_1 Close_time</f>
        <v>46172.291666666664</v>
      </c>
      <c r="E22" s="56" t="str">
        <f>IF(ISBLANK(Locale Control_1),"",Locale Control_1)</f>
        <v>QUALICUM BEACH</v>
      </c>
      <c r="F22" s="56" t="str">
        <f>IF(ISBLANK(Control_1 Establishment_2),"",Control_1 Establishment_2)</f>
        <v xml:space="preserve">Shell Gas </v>
      </c>
      <c r="G22" s="63" t="str">
        <f>IF(ISBLANK('[3]Control Entry'!J15),"",'[3]Control Entry'!J15)</f>
        <v>Hours of Operation?</v>
      </c>
      <c r="H22" s="64"/>
      <c r="I22" s="65"/>
      <c r="J22" s="66"/>
    </row>
    <row r="23" spans="2:15" ht="40" customHeight="1" thickBot="1" x14ac:dyDescent="0.3">
      <c r="B23" s="67"/>
      <c r="C23" s="68">
        <f>Control_1 Open_time</f>
        <v>46172.25</v>
      </c>
      <c r="D23" s="68">
        <f>Control_1 Close_time</f>
        <v>46172.291666666664</v>
      </c>
      <c r="E23" s="69"/>
      <c r="F23" s="70" t="str">
        <f>IF(ISBLANK(Control_1 Establishment_3),"",Control_1 Establishment_3)</f>
        <v/>
      </c>
      <c r="G23" s="71" t="str">
        <f>IF(ISBLANK('[3]Control Entry'!K15),"",'[3]Control Entry'!K15)</f>
        <v>9AM to ________PM</v>
      </c>
      <c r="H23" s="72"/>
      <c r="I23" s="73"/>
      <c r="J23" s="74"/>
    </row>
    <row r="24" spans="2:15" ht="40" customHeight="1" x14ac:dyDescent="0.25">
      <c r="B24" s="53"/>
      <c r="C24" s="54">
        <f>Control_2 Open_time</f>
        <v>46172.306944444441</v>
      </c>
      <c r="D24" s="54">
        <f>Control_2 Close_time</f>
        <v>46172.388888888891</v>
      </c>
      <c r="E24" s="75"/>
      <c r="F24" s="56" t="str">
        <f>IF(ISBLANK(Control_2 Establishment_1),"",Control_2 Establishment_1)</f>
        <v>INFORMATION</v>
      </c>
      <c r="G24" s="57" t="str">
        <f>IF(ISBLANK('[3]Control Entry'!I16),"",'[3]Control Entry'!I16)</f>
        <v>At railway crossing</v>
      </c>
      <c r="H24" s="58"/>
      <c r="I24" s="59"/>
      <c r="J24" s="60"/>
    </row>
    <row r="25" spans="2:15" ht="40" customHeight="1" x14ac:dyDescent="0.25">
      <c r="B25" s="61">
        <f>IF(ISBLANK(Distance Control_2),"",Control_2 Distance)</f>
        <v>46.5</v>
      </c>
      <c r="C25" s="62">
        <f>Control_2 Open_time</f>
        <v>46172.306944444441</v>
      </c>
      <c r="D25" s="62">
        <f>Control_2 Close_time</f>
        <v>46172.388888888891</v>
      </c>
      <c r="E25" s="56" t="str">
        <f>IF(ISBLANK(Locale Control_2),"",Locale Control_2)</f>
        <v>NANAIMO</v>
      </c>
      <c r="F25" s="56" t="str">
        <f>IF(ISBLANK(Control_2 Establishment_2),"",Control_2 Establishment_2)</f>
        <v>E&amp;N Trail @ Waddington</v>
      </c>
      <c r="G25" s="63" t="str">
        <f>IF(ISBLANK('[3]Control Entry'!J16),"",'[3]Control Entry'!J16)</f>
        <v>Is there a garbage can?</v>
      </c>
      <c r="H25" s="64"/>
      <c r="I25" s="65"/>
      <c r="J25" s="66"/>
    </row>
    <row r="26" spans="2:15" ht="40" customHeight="1" thickBot="1" x14ac:dyDescent="0.3">
      <c r="B26" s="67"/>
      <c r="C26" s="68">
        <f>Control_2 Open_time</f>
        <v>46172.306944444441</v>
      </c>
      <c r="D26" s="68">
        <f>Control_2 Close_time</f>
        <v>46172.388888888891</v>
      </c>
      <c r="E26" s="69"/>
      <c r="F26" s="70" t="str">
        <f>IF(ISBLANK(Control_2 Establishment_3),"",Control_2 Establishment_3)</f>
        <v>North side of crosswalk.  Look back up trail</v>
      </c>
      <c r="G26" s="71" t="str">
        <f>IF(ISBLANK('[3]Control Entry'!K16),"",'[3]Control Entry'!K16)</f>
        <v xml:space="preserve">YES.      NO.      </v>
      </c>
      <c r="H26" s="72"/>
      <c r="I26" s="73"/>
      <c r="J26" s="74"/>
    </row>
    <row r="27" spans="2:15" ht="40" customHeight="1" x14ac:dyDescent="0.25">
      <c r="B27" s="53"/>
      <c r="C27" s="54">
        <f>Control_3 Open_time</f>
        <v>46172.417361111111</v>
      </c>
      <c r="D27" s="54">
        <f>Control_3 Close_time</f>
        <v>46172.629861111112</v>
      </c>
      <c r="E27" s="75"/>
      <c r="F27" s="56" t="str">
        <f>IF(ISBLANK(Control_3 Establishment_1),"",Control_3 Establishment_1)</f>
        <v>INFORMATION</v>
      </c>
      <c r="G27" s="57" t="str">
        <f>IF(ISBLANK('[3]Control Entry'!I17),"",'[3]Control Entry'!I17)</f>
        <v>On  door</v>
      </c>
      <c r="H27" s="58"/>
      <c r="I27" s="59"/>
      <c r="J27" s="60"/>
    </row>
    <row r="28" spans="2:15" ht="40" customHeight="1" x14ac:dyDescent="0.25">
      <c r="B28" s="61">
        <f>IF(ISBLANK(Distance Control_3),"",Control_3 Distance)</f>
        <v>136.69999999999999</v>
      </c>
      <c r="C28" s="62">
        <f>Control_3 Open_time</f>
        <v>46172.417361111111</v>
      </c>
      <c r="D28" s="62">
        <f>Control_3 Close_time</f>
        <v>46172.629861111112</v>
      </c>
      <c r="E28" s="56" t="str">
        <f>IF(ISBLANK(Locale Control_3),"",Locale Control_3)</f>
        <v>MILL BAY</v>
      </c>
      <c r="F28" s="56" t="str">
        <f>IF(ISBLANK(Control_3 Establishment_2),"",Control_3 Establishment_2)</f>
        <v>Tim Hortons</v>
      </c>
      <c r="G28" s="63" t="str">
        <f>IF(ISBLANK('[3]Control Entry'!J17),"",'[3]Control Entry'!J17)</f>
        <v>Restaurant Hours?</v>
      </c>
      <c r="H28" s="64"/>
      <c r="I28" s="65"/>
      <c r="J28" s="66"/>
    </row>
    <row r="29" spans="2:15" ht="40" customHeight="1" thickBot="1" x14ac:dyDescent="0.3">
      <c r="B29" s="67"/>
      <c r="C29" s="68">
        <f>Control_3 Open_time</f>
        <v>46172.417361111111</v>
      </c>
      <c r="D29" s="68">
        <f>Control_3 Close_time</f>
        <v>46172.629861111112</v>
      </c>
      <c r="E29" s="69"/>
      <c r="F29" s="70" t="str">
        <f>IF(ISBLANK(Control_3 Establishment_3),"",Control_3 Establishment_3)</f>
        <v>Deloume Rd</v>
      </c>
      <c r="G29" s="71" t="str">
        <f>IF(ISBLANK('[3]Control Entry'!K17),"",'[3]Control Entry'!K17)</f>
        <v>__________AM to 10 PM</v>
      </c>
      <c r="H29" s="72"/>
      <c r="I29" s="73"/>
      <c r="J29" s="74"/>
    </row>
    <row r="30" spans="2:15" ht="40" customHeight="1" x14ac:dyDescent="0.25">
      <c r="B30" s="53"/>
      <c r="C30" s="54">
        <f>Control_4 Open_time</f>
        <v>46172.505555555559</v>
      </c>
      <c r="D30" s="54">
        <f>Control_4 Close_time</f>
        <v>46172.827777777777</v>
      </c>
      <c r="E30" s="75"/>
      <c r="F30" s="56" t="str">
        <f>IF(ISBLANK(Control_4 Establishment_1),"",Control_4 Establishment_1)</f>
        <v>INFORMATION</v>
      </c>
      <c r="G30" s="57" t="str">
        <f>IF(ISBLANK('[3]Control Entry'!I18),"",'[3]Control Entry'!I18)</f>
        <v>Face building,  AC Coffee sign</v>
      </c>
      <c r="H30" s="58"/>
      <c r="I30" s="59"/>
      <c r="J30" s="60"/>
    </row>
    <row r="31" spans="2:15" ht="40" customHeight="1" x14ac:dyDescent="0.25">
      <c r="B31" s="61">
        <f>IF(ISBLANK(Distance Control_4),"",Control_4 Distance)</f>
        <v>208</v>
      </c>
      <c r="C31" s="62">
        <f>Control_4 Open_time</f>
        <v>46172.505555555559</v>
      </c>
      <c r="D31" s="62">
        <f>Control_4 Close_time</f>
        <v>46172.827777777777</v>
      </c>
      <c r="E31" s="56" t="str">
        <f>IF(ISBLANK(Locale Control_4),"",Locale Control_4)</f>
        <v>YOUBOU</v>
      </c>
      <c r="F31" s="56" t="str">
        <f>IF(ISBLANK(Control_4 Establishment_2),"",Control_4 Establishment_2)</f>
        <v>Arise Café</v>
      </c>
      <c r="G31" s="76" t="str">
        <f>IF(ISBLANK('[3]Control Entry'!J18),"",'[3]Control Entry'!J18)</f>
        <v>Arrow points which way?</v>
      </c>
      <c r="H31" s="77"/>
      <c r="I31" s="78"/>
      <c r="J31" s="66"/>
    </row>
    <row r="32" spans="2:15" ht="40" customHeight="1" thickBot="1" x14ac:dyDescent="0.3">
      <c r="B32" s="67"/>
      <c r="C32" s="68">
        <f>Control_4 Open_time</f>
        <v>46172.505555555559</v>
      </c>
      <c r="D32" s="68">
        <f>Control_4 Close_time</f>
        <v>46172.827777777777</v>
      </c>
      <c r="E32" s="69"/>
      <c r="F32" s="70" t="str">
        <f>IF(ISBLANK(Control_4 Establishment_3),"",Control_4 Establishment_3)</f>
        <v>10375 Youbou Rd</v>
      </c>
      <c r="G32" s="71" t="str">
        <f>IF(ISBLANK('[3]Control Entry'!K18),"",'[3]Control Entry'!K18)</f>
        <v>LEFT       DOWN       RIGHT</v>
      </c>
      <c r="H32" s="72"/>
      <c r="I32" s="73"/>
      <c r="J32" s="74"/>
    </row>
    <row r="33" spans="2:10" ht="40" customHeight="1" x14ac:dyDescent="0.25">
      <c r="B33" s="53"/>
      <c r="C33" s="54">
        <f>Control_5 Open_time</f>
        <v>46172.575694444444</v>
      </c>
      <c r="D33" s="54">
        <f>Control_5 Close_time</f>
        <v>46172.977777777778</v>
      </c>
      <c r="E33" s="75"/>
      <c r="F33" s="56" t="str">
        <f>IF(ISBLANK(Control_5 Establishment_1),"",Control_5 Establishment_1)</f>
        <v>INFORMATION</v>
      </c>
      <c r="G33" s="57" t="str">
        <f>IF(ISBLANK('[3]Control Entry'!I19),"",'[3]Control Entry'!I19)</f>
        <v>Sign beside door "Crofton Senior Society"</v>
      </c>
      <c r="H33" s="58"/>
      <c r="I33" s="59"/>
      <c r="J33" s="60"/>
    </row>
    <row r="34" spans="2:10" ht="40" customHeight="1" x14ac:dyDescent="0.25">
      <c r="B34" s="61">
        <f>IF(ISBLANK(Distance Control_5),"",Control_5 Distance)</f>
        <v>261.89999999999998</v>
      </c>
      <c r="C34" s="62">
        <f>Control_5 Open_time</f>
        <v>46172.575694444444</v>
      </c>
      <c r="D34" s="62">
        <f>Control_5 Close_time</f>
        <v>46172.977777777778</v>
      </c>
      <c r="E34" s="56" t="str">
        <f>IF(ISBLANK(Locale Control_5),"",Locale Control_5)</f>
        <v>CROFTON</v>
      </c>
      <c r="F34" s="56" t="str">
        <f>IF(ISBLANK(Control_5 Establishment_2),"",Control_5 Establishment_2)</f>
        <v>Old School House Museum</v>
      </c>
      <c r="G34" s="63" t="str">
        <f>IF(ISBLANK('[3]Control Entry'!J19),"",'[3]Control Entry'!J19)</f>
        <v>What year?</v>
      </c>
      <c r="H34" s="64"/>
      <c r="I34" s="65"/>
      <c r="J34" s="66"/>
    </row>
    <row r="35" spans="2:10" ht="40" customHeight="1" thickBot="1" x14ac:dyDescent="0.3">
      <c r="B35" s="67"/>
      <c r="C35" s="68">
        <f>Control_5 Open_time</f>
        <v>46172.575694444444</v>
      </c>
      <c r="D35" s="68">
        <f>Control_5 Close_time</f>
        <v>46172.977777777778</v>
      </c>
      <c r="E35" s="69"/>
      <c r="F35" s="79" t="str">
        <f>IF(ISBLANK(Control_5 Establishment_3),"",Control_5 Establishment_3)</f>
        <v>1507 Joan Ave</v>
      </c>
      <c r="G35" s="71" t="str">
        <f>IF(ISBLANK('[3]Control Entry'!K19),"",'[3]Control Entry'!K19)</f>
        <v>1890.      1986.      2006</v>
      </c>
      <c r="H35" s="72"/>
      <c r="I35" s="73"/>
      <c r="J35" s="74"/>
    </row>
    <row r="36" spans="2:10" ht="40" customHeight="1" x14ac:dyDescent="0.25">
      <c r="B36" s="53"/>
      <c r="C36" s="54">
        <f>Control_6 Open_time</f>
        <v>46172.795138888891</v>
      </c>
      <c r="D36" s="54">
        <f>Control_6 Close_time</f>
        <v>46173.44027777778</v>
      </c>
      <c r="E36" s="75"/>
      <c r="F36" s="56" t="str">
        <f>IF(ISBLANK(Control_6 Establishment_1),"",Control_6 Establishment_1)</f>
        <v>INFORMATION</v>
      </c>
      <c r="G36" s="57" t="str">
        <f>IF(ISBLANK('[3]Control Entry'!I20),"",'[3]Control Entry'!I20)</f>
        <v>Type of store?</v>
      </c>
      <c r="H36" s="58"/>
      <c r="I36" s="59"/>
      <c r="J36" s="60"/>
    </row>
    <row r="37" spans="2:10" ht="40" customHeight="1" x14ac:dyDescent="0.25">
      <c r="B37" s="61">
        <f>IF(ISBLANK(Distance Control_6),"",Control_6 Distance)</f>
        <v>428.59999999999997</v>
      </c>
      <c r="C37" s="62">
        <f>Control_6 Open_time</f>
        <v>46172.795138888891</v>
      </c>
      <c r="D37" s="62">
        <f>Control_6 Close_time</f>
        <v>46173.44027777778</v>
      </c>
      <c r="E37" s="56" t="str">
        <f>IF(ISBLANK(Locale Control_6),"",Locale Control_6)</f>
        <v>COMOX</v>
      </c>
      <c r="F37" s="56" t="str">
        <f>IF(ISBLANK(Control_6 Establishment_2),"",Control_6 Establishment_2)</f>
        <v>Anderton Rd before lights at Guthrie Rd</v>
      </c>
      <c r="G37" s="63" t="str">
        <f>IF(ISBLANK('[3]Control Entry'!J20),"",'[3]Control Entry'!J20)</f>
        <v/>
      </c>
      <c r="H37" s="64"/>
      <c r="I37" s="65"/>
      <c r="J37" s="66"/>
    </row>
    <row r="38" spans="2:10" ht="40" customHeight="1" thickBot="1" x14ac:dyDescent="0.3">
      <c r="B38" s="67"/>
      <c r="C38" s="68">
        <f>Control_6 Open_time</f>
        <v>46172.795138888891</v>
      </c>
      <c r="D38" s="68">
        <f>Control_6 Close_time</f>
        <v>46173.44027777778</v>
      </c>
      <c r="E38" s="69"/>
      <c r="F38" s="70" t="str">
        <f>IF(ISBLANK(Control_6 Establishment_3),"",Control_6 Establishment_3)</f>
        <v>New corner store on right corner</v>
      </c>
      <c r="G38" s="71" t="str">
        <f>IF(ISBLANK('[3]Control Entry'!K20),"",'[3]Control Entry'!K20)</f>
        <v>GROCERY       FLORIST       LIQUOR</v>
      </c>
      <c r="H38" s="72"/>
      <c r="I38" s="73"/>
      <c r="J38" s="74"/>
    </row>
    <row r="39" spans="2:10" ht="40" customHeight="1" x14ac:dyDescent="0.25">
      <c r="B39" s="53"/>
      <c r="C39" s="54">
        <f>Control_7 Open_time</f>
        <v>46172.868055555555</v>
      </c>
      <c r="D39" s="54">
        <f>Control_7 Close_time</f>
        <v>46173.586805555555</v>
      </c>
      <c r="E39" s="75"/>
      <c r="F39" s="56" t="str">
        <f>IF(ISBLANK(Control_7 Establishment_1),"",Control_7 Establishment_1)</f>
        <v>INFORMATION</v>
      </c>
      <c r="G39" s="57" t="str">
        <f>IF(ISBLANK('[3]Control Entry'!I21),"",'[3]Control Entry'!I21)</f>
        <v>Ice coolers to right of door</v>
      </c>
      <c r="H39" s="58"/>
      <c r="I39" s="59"/>
      <c r="J39" s="60"/>
    </row>
    <row r="40" spans="2:10" ht="40" customHeight="1" x14ac:dyDescent="0.25">
      <c r="B40" s="61">
        <f>IF(ISBLANK(Distance Control_7),"",Control_7 Distance)</f>
        <v>481.2</v>
      </c>
      <c r="C40" s="62">
        <f>Control_7 Open_time</f>
        <v>46172.868055555555</v>
      </c>
      <c r="D40" s="62">
        <f>Control_7 Close_time</f>
        <v>46173.586805555555</v>
      </c>
      <c r="E40" s="56" t="str">
        <f>IF(ISBLANK(Locale Control_7),"",Locale Control_7)</f>
        <v>CAMPBELL RIVER</v>
      </c>
      <c r="F40" s="56" t="str">
        <f>IF(ISBLANK(Control_7 Establishment_2),"",Control_7 Establishment_2)</f>
        <v>Chevron Gas</v>
      </c>
      <c r="G40" s="63" t="str">
        <f>IF(ISBLANK('[3]Control Entry'!J21),"",'[3]Control Entry'!J21)</f>
        <v>Price of 4kg ice?</v>
      </c>
      <c r="H40" s="64"/>
      <c r="I40" s="65"/>
      <c r="J40" s="66"/>
    </row>
    <row r="41" spans="2:10" ht="40" customHeight="1" thickBot="1" x14ac:dyDescent="0.3">
      <c r="B41" s="67"/>
      <c r="C41" s="68">
        <f>Control_7 Open_time</f>
        <v>46172.868055555555</v>
      </c>
      <c r="D41" s="68">
        <f>Control_7 Close_time</f>
        <v>46173.586805555555</v>
      </c>
      <c r="E41" s="69"/>
      <c r="F41" s="70" t="str">
        <f>IF(ISBLANK(Control_7 Establishment_3),"",Control_7 Establishment_3)</f>
        <v>Island Hwy @ Redwood</v>
      </c>
      <c r="G41" s="71" t="str">
        <f>IF(ISBLANK('[3]Control Entry'!K21),"",'[3]Control Entry'!K21)</f>
        <v>$5.__________________</v>
      </c>
      <c r="H41" s="72"/>
      <c r="I41" s="73"/>
      <c r="J41" s="74"/>
    </row>
    <row r="42" spans="2:10" ht="40" customHeight="1" x14ac:dyDescent="0.25">
      <c r="B42" s="53"/>
      <c r="C42" s="54">
        <f>Control_8 Open_time</f>
        <v>46172.944444444445</v>
      </c>
      <c r="D42" s="54">
        <f>Control_8 Close_time</f>
        <v>46173.738888888889</v>
      </c>
      <c r="E42" s="75"/>
      <c r="F42" s="56" t="str">
        <f>IF(ISBLANK(Control_8 Establishment_1),"",Control_8 Establishment_1)</f>
        <v>INFORMATION</v>
      </c>
      <c r="G42" s="57" t="str">
        <f>IF(ISBLANK('[3]Control Entry'!I22),"",'[3]Control Entry'!I22)</f>
        <v>Hospital direction sign</v>
      </c>
      <c r="H42" s="58"/>
      <c r="I42" s="59"/>
      <c r="J42" s="60"/>
    </row>
    <row r="43" spans="2:10" ht="40" customHeight="1" x14ac:dyDescent="0.25">
      <c r="B43" s="61">
        <f>IF(ISBLANK(Distance Control_8),"",Control_8 Distance)</f>
        <v>536</v>
      </c>
      <c r="C43" s="62">
        <f>Control_8 Open_time</f>
        <v>46172.944444444445</v>
      </c>
      <c r="D43" s="62">
        <f>Control_8 Close_time</f>
        <v>46173.738888888889</v>
      </c>
      <c r="E43" s="56" t="str">
        <f>IF(ISBLANK(Locale Control_8),"",Locale Control_8)</f>
        <v>COURTENAY</v>
      </c>
      <c r="F43" s="56" t="str">
        <f>IF(ISBLANK(Control_8 Establishment_2),"",Control_8 Establishment_2)</f>
        <v>Piercy @ Condensory</v>
      </c>
      <c r="G43" s="63" t="str">
        <f>IF(ISBLANK('[3]Control Entry'!J22),"",'[3]Control Entry'!J22)</f>
        <v>Arrow points which way?</v>
      </c>
      <c r="H43" s="64"/>
      <c r="I43" s="65"/>
      <c r="J43" s="66"/>
    </row>
    <row r="44" spans="2:10" ht="40" customHeight="1" thickBot="1" x14ac:dyDescent="0.3">
      <c r="B44" s="67"/>
      <c r="C44" s="68">
        <f>Control_8 Open_time</f>
        <v>46172.944444444445</v>
      </c>
      <c r="D44" s="68">
        <f>Control_8 Close_time</f>
        <v>46173.738888888889</v>
      </c>
      <c r="E44" s="69"/>
      <c r="F44" s="70" t="str">
        <f>IF(ISBLANK(Control_8 Establishment_3),"",Control_8 Establishment_3)</f>
        <v>100m before flashing light</v>
      </c>
      <c r="G44" s="71" t="str">
        <f>IF(ISBLANK('[3]Control Entry'!K22),"",'[3]Control Entry'!K22)</f>
        <v>LEFT      STRAIGHT     RIGHT</v>
      </c>
      <c r="H44" s="72"/>
      <c r="I44" s="73"/>
      <c r="J44" s="74"/>
    </row>
    <row r="45" spans="2:10" ht="40" customHeight="1" x14ac:dyDescent="0.25">
      <c r="B45" s="53"/>
      <c r="C45" s="54">
        <f>Control_9 Open_time</f>
        <v>46173.034722222219</v>
      </c>
      <c r="D45" s="54">
        <f>Control_9 Close_time</f>
        <v>46173.916666666664</v>
      </c>
      <c r="E45" s="75"/>
      <c r="F45" s="56" t="str">
        <f>IF(ISBLANK(Control_9 Establishment_1),"",Control_9 Establishment_1)</f>
        <v>SELF SIGN</v>
      </c>
      <c r="G45" s="57" t="str">
        <f>IF(ISBLANK('[3]Control Entry'!I23),"",'[3]Control Entry'!I23)</f>
        <v/>
      </c>
      <c r="H45" s="58"/>
      <c r="I45" s="59"/>
      <c r="J45" s="60"/>
    </row>
    <row r="46" spans="2:10" ht="40" customHeight="1" x14ac:dyDescent="0.25">
      <c r="B46" s="61">
        <f>IF(ISBLANK(Distance Control_9),"",Control_9 Distance)</f>
        <v>600.9</v>
      </c>
      <c r="C46" s="62">
        <f>Control_9 Open_time</f>
        <v>46173.034722222219</v>
      </c>
      <c r="D46" s="62">
        <f>Control_9 Close_time</f>
        <v>46173.916666666664</v>
      </c>
      <c r="E46" s="56" t="str">
        <f>IF(ISBLANK(Locale Control_9),"",Locale Control_9)</f>
        <v>QUALICUM BEACH</v>
      </c>
      <c r="F46" s="56" t="str">
        <f>IF(ISBLANK(Control_9 Establishment_2),"",Control_9 Establishment_2)</f>
        <v xml:space="preserve">Shell Gas </v>
      </c>
      <c r="G46" s="63" t="str">
        <f>IF(ISBLANK('[3]Control Entry'!J23),"",'[3]Control Entry'!J23)</f>
        <v/>
      </c>
      <c r="H46" s="64"/>
      <c r="I46" s="65"/>
      <c r="J46" s="66"/>
    </row>
    <row r="47" spans="2:10" ht="40" customHeight="1" thickBot="1" x14ac:dyDescent="0.3">
      <c r="B47" s="67"/>
      <c r="C47" s="68">
        <f>Control_9 Open_time</f>
        <v>46173.034722222219</v>
      </c>
      <c r="D47" s="68">
        <f>Control_9 Close_time</f>
        <v>46173.916666666664</v>
      </c>
      <c r="E47" s="69"/>
      <c r="F47" s="70" t="str">
        <f>IF(ISBLANK(Control_9 Establishment_3),"",Control_9 Establishment_3)</f>
        <v/>
      </c>
      <c r="G47" s="71" t="str">
        <f>IF(ISBLANK('[3]Control Entry'!K23),"",'[3]Control Entry'!K23)</f>
        <v/>
      </c>
      <c r="H47" s="72"/>
      <c r="I47" s="73"/>
      <c r="J47" s="74"/>
    </row>
    <row r="48" spans="2:10" ht="40" customHeight="1" x14ac:dyDescent="0.25">
      <c r="B48" s="53"/>
      <c r="C48" s="54" t="str">
        <f>Control_10 Open_time</f>
        <v/>
      </c>
      <c r="D48" s="54" t="str">
        <f>Control_10 Close_time</f>
        <v/>
      </c>
      <c r="E48" s="75"/>
      <c r="F48" s="56" t="str">
        <f>IF(ISBLANK(Control_10 Establishment_1),"",Control_10 Establishment_1)</f>
        <v/>
      </c>
      <c r="G48" s="57" t="str">
        <f>IF(ISBLANK('[3]Control Entry'!I24),"",'[3]Control Entry'!I24)</f>
        <v/>
      </c>
      <c r="H48" s="58"/>
      <c r="I48" s="59"/>
      <c r="J48" s="60"/>
    </row>
    <row r="49" spans="2:11" ht="40" customHeight="1" x14ac:dyDescent="0.25">
      <c r="B49" s="61" t="str">
        <f>IF(ISBLANK(Distance Control_10),"",Control_10 Distance)</f>
        <v/>
      </c>
      <c r="C49" s="62" t="str">
        <f>Control_10 Open_time</f>
        <v/>
      </c>
      <c r="D49" s="62" t="str">
        <f>Control_10 Close_time</f>
        <v/>
      </c>
      <c r="E49" s="56" t="str">
        <f>IF(ISBLANK(Locale Control_10),"",Locale Control_10)</f>
        <v/>
      </c>
      <c r="F49" s="56" t="str">
        <f>IF(ISBLANK(Control_10 Establishment_2),"",Control_10 Establishment_2)</f>
        <v/>
      </c>
      <c r="G49" s="63" t="str">
        <f>IF(ISBLANK('[3]Control Entry'!J24),"",'[3]Control Entry'!J24)</f>
        <v/>
      </c>
      <c r="H49" s="64"/>
      <c r="I49" s="65"/>
      <c r="J49" s="66"/>
    </row>
    <row r="50" spans="2:11" ht="40" customHeight="1" thickBot="1" x14ac:dyDescent="0.3">
      <c r="B50" s="67"/>
      <c r="C50" s="68" t="str">
        <f>Control_10 Open_time</f>
        <v/>
      </c>
      <c r="D50" s="68" t="str">
        <f>Control_10 Close_time</f>
        <v/>
      </c>
      <c r="E50" s="69"/>
      <c r="F50" s="70" t="str">
        <f>IF(ISBLANK(Control_10 Establishment_3),"",Control_10 Establishment_3)</f>
        <v/>
      </c>
      <c r="G50" s="71" t="str">
        <f>IF(ISBLANK('[3]Control Entry'!K24),"",'[3]Control Entry'!K24)</f>
        <v/>
      </c>
      <c r="H50" s="72"/>
      <c r="I50" s="73"/>
      <c r="J50" s="74"/>
    </row>
    <row r="52" spans="2:11" ht="24" customHeight="1" x14ac:dyDescent="0.15">
      <c r="B52" s="80" t="s">
        <v>23</v>
      </c>
      <c r="C52" s="80"/>
      <c r="D52" s="80"/>
      <c r="E52" s="80"/>
      <c r="F52" s="80"/>
      <c r="I52" s="23" t="s">
        <v>24</v>
      </c>
      <c r="J52" s="81" t="str">
        <f>IF(ISBLANK('[3]Control Entry'!F10),"",'[3]Control Entry'!F10)</f>
        <v>‭(250) 213-3724‬</v>
      </c>
      <c r="K52" s="24"/>
    </row>
    <row r="54" spans="2:11" x14ac:dyDescent="0.15">
      <c r="B54" s="82" t="s">
        <v>25</v>
      </c>
      <c r="C54" s="83">
        <f>'[3]Control Entry'!B3</f>
        <v>45167</v>
      </c>
    </row>
    <row r="55" spans="2:11" ht="23" x14ac:dyDescent="0.15">
      <c r="B55" s="23"/>
      <c r="C55" s="23"/>
      <c r="D55" s="23"/>
      <c r="E55" s="23"/>
      <c r="F55" s="24"/>
      <c r="G55" s="25"/>
      <c r="H55" s="25"/>
      <c r="I55" s="25"/>
      <c r="J55" s="24"/>
    </row>
    <row r="56" spans="2:11" x14ac:dyDescent="0.15">
      <c r="E56" s="84"/>
    </row>
    <row r="57" spans="2:11" x14ac:dyDescent="0.15">
      <c r="B57" s="85"/>
      <c r="C57" s="86"/>
      <c r="D57" s="86"/>
      <c r="E57" s="86"/>
      <c r="F57" s="87"/>
      <c r="G57" s="88"/>
      <c r="H57" s="88"/>
      <c r="I57" s="88"/>
      <c r="J57" s="88"/>
    </row>
  </sheetData>
  <mergeCells count="50">
    <mergeCell ref="B52:F52"/>
    <mergeCell ref="F57:J57"/>
    <mergeCell ref="G45:I45"/>
    <mergeCell ref="G46:I46"/>
    <mergeCell ref="G47:I47"/>
    <mergeCell ref="G48:I48"/>
    <mergeCell ref="G49:I49"/>
    <mergeCell ref="G50:I50"/>
    <mergeCell ref="G39:I39"/>
    <mergeCell ref="G40:I40"/>
    <mergeCell ref="G41:I41"/>
    <mergeCell ref="G42:I42"/>
    <mergeCell ref="G43:I43"/>
    <mergeCell ref="G44:I44"/>
    <mergeCell ref="G33:I33"/>
    <mergeCell ref="G34:I34"/>
    <mergeCell ref="G35:I35"/>
    <mergeCell ref="G36:I36"/>
    <mergeCell ref="G37:I37"/>
    <mergeCell ref="G38:I38"/>
    <mergeCell ref="G27:I27"/>
    <mergeCell ref="G28:I28"/>
    <mergeCell ref="G29:I29"/>
    <mergeCell ref="G30:I30"/>
    <mergeCell ref="G31:I31"/>
    <mergeCell ref="G32:I32"/>
    <mergeCell ref="G21:I21"/>
    <mergeCell ref="G22:I22"/>
    <mergeCell ref="G23:I23"/>
    <mergeCell ref="G24:I24"/>
    <mergeCell ref="G25:I25"/>
    <mergeCell ref="G26:I26"/>
    <mergeCell ref="C17:F17"/>
    <mergeCell ref="I17:J17"/>
    <mergeCell ref="L17:M17"/>
    <mergeCell ref="N17:O17"/>
    <mergeCell ref="B19:J19"/>
    <mergeCell ref="G20:I20"/>
    <mergeCell ref="B10:C10"/>
    <mergeCell ref="E10:G10"/>
    <mergeCell ref="L10:M10"/>
    <mergeCell ref="N10:O10"/>
    <mergeCell ref="D12:E12"/>
    <mergeCell ref="D14:E14"/>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19</vt:i4>
      </vt:variant>
    </vt:vector>
  </HeadingPairs>
  <TitlesOfParts>
    <vt:vector size="23" baseType="lpstr">
      <vt:lpstr>Control Entry</vt:lpstr>
      <vt:lpstr>Card #1 MB</vt:lpstr>
      <vt:lpstr>Card #1 Nanaimo</vt:lpstr>
      <vt:lpstr>Card #1 QB</vt:lpstr>
      <vt:lpstr>Brevet_Description</vt:lpstr>
      <vt:lpstr>Brevet_Number</vt:lpstr>
      <vt:lpstr>Close_time</vt:lpstr>
      <vt:lpstr>Control_10</vt:lpstr>
      <vt:lpstr>Control_2</vt:lpstr>
      <vt:lpstr>Control_3</vt:lpstr>
      <vt:lpstr>Control_4</vt:lpstr>
      <vt:lpstr>Control_5</vt:lpstr>
      <vt:lpstr>Control_6</vt:lpstr>
      <vt:lpstr>Control_7</vt:lpstr>
      <vt:lpstr>Control_8</vt:lpstr>
      <vt:lpstr>Control_9</vt:lpstr>
      <vt:lpstr>Establishment_1</vt:lpstr>
      <vt:lpstr>Establishment_2</vt:lpstr>
      <vt:lpstr>Establishment_3</vt:lpstr>
      <vt:lpstr>Locale</vt:lpstr>
      <vt:lpstr>'Card #1 MB'!Print_Area</vt:lpstr>
      <vt:lpstr>'Card #1 Nanaimo'!Print_Area</vt:lpstr>
      <vt:lpstr>'Card #1 QB'!Print_Area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dcterms:created xsi:type="dcterms:W3CDTF">2026-05-23T03:56:34Z</dcterms:created>
  <dcterms:modified xsi:type="dcterms:W3CDTF">2026-05-23T04:02:00Z</dcterms:modified>
</cp:coreProperties>
</file>