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13"/>
  <workbookPr showInkAnnotation="0" autoCompressPictures="0"/>
  <mc:AlternateContent xmlns:mc="http://schemas.openxmlformats.org/markup-compatibility/2006">
    <mc:Choice Requires="x15">
      <x15ac:absPath xmlns:x15ac="http://schemas.microsoft.com/office/spreadsheetml/2010/11/ac" url="/Users/stephencarol/Documents/BCR/Templates/"/>
    </mc:Choice>
  </mc:AlternateContent>
  <xr:revisionPtr revIDLastSave="0" documentId="8_{E031427F-AE79-4908-8536-41DED12D752D}" xr6:coauthVersionLast="47" xr6:coauthVersionMax="47" xr10:uidLastSave="{00000000-0000-0000-0000-000000000000}"/>
  <bookViews>
    <workbookView xWindow="0" yWindow="500" windowWidth="25600" windowHeight="15500" tabRatio="509"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4" i="7" l="1"/>
  <c r="G50" i="8"/>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O29" i="1"/>
  <c r="D25" i="8" s="1"/>
  <c r="M29" i="1"/>
  <c r="L29" i="1"/>
  <c r="N29" i="1" s="1"/>
  <c r="C24" i="8" s="1"/>
  <c r="M28" i="1"/>
  <c r="L28" i="1"/>
  <c r="D50" i="8" l="1"/>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N28" i="1" l="1"/>
  <c r="O28" i="1"/>
  <c r="M16" i="1"/>
  <c r="C22" i="7"/>
  <c r="C23" i="7"/>
  <c r="C21" i="7"/>
  <c r="B7" i="1"/>
  <c r="M21" i="1" s="1"/>
  <c r="O21" i="1" s="1"/>
  <c r="O16" i="1"/>
  <c r="M19" i="1"/>
  <c r="O19" i="1" s="1"/>
  <c r="M18" i="1"/>
  <c r="O18" i="1" s="1"/>
  <c r="M17" i="1"/>
  <c r="O17" i="1" s="1"/>
  <c r="M15" i="1"/>
  <c r="O15" i="1" s="1"/>
  <c r="N18" i="1"/>
  <c r="N22" i="1"/>
  <c r="N17" i="1"/>
  <c r="N21" i="1"/>
  <c r="N24" i="1"/>
  <c r="N16" i="1"/>
  <c r="N20" i="1"/>
  <c r="N19" i="1"/>
  <c r="N23" i="1"/>
  <c r="C21" i="8" l="1"/>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<sst xmlns="http://schemas.openxmlformats.org/spreadsheetml/2006/main" count="166" uniqueCount="118">
  <si>
    <t>DO NOT MOVE OR DELETE ROWS OR COLUMNS (delete contents of cells only)</t>
  </si>
  <si>
    <t>Scroll right to see further instructions</t>
  </si>
  <si>
    <t>You can create 2control cards  (upto 20 controls) for one event, or 2control cards (up to 10 controls) with different start loctions for a single event.</t>
  </si>
  <si>
    <t xml:space="preserve">Template Revised:  </t>
  </si>
  <si>
    <t xml:space="preserve">Card Revised:  </t>
  </si>
  <si>
    <t>Brevet Length:</t>
  </si>
  <si>
    <t>Instructions</t>
  </si>
  <si>
    <t>Fill nominal brevet length.  This is the ACP distance eg 200, 300, 1000</t>
  </si>
  <si>
    <t>Maximum Time:</t>
  </si>
  <si>
    <t>Maximum allowable time automatically calculated</t>
  </si>
  <si>
    <t>Brevet Description:</t>
  </si>
  <si>
    <t>LM Summer 400: Elfmerentocht</t>
  </si>
  <si>
    <t>Enter the brevet name eg 'Remembrance Day Brevet'</t>
  </si>
  <si>
    <t>Brevet Number:</t>
  </si>
  <si>
    <t>Enter the brevet number.  This is the BCR database number, and can be found on the event page in the database</t>
  </si>
  <si>
    <t>Schedule date:</t>
  </si>
  <si>
    <t>Organizer phone #</t>
  </si>
  <si>
    <t>604-721-0309</t>
  </si>
  <si>
    <t>Enter the schedule date.  This is the official ACP listed date and can be found on the shcedule on the website</t>
  </si>
  <si>
    <t>Start Date:</t>
  </si>
  <si>
    <t>Enter the start date.  This will be the same as the schedule date, exceot for pre-rides or unless a ride window has been enabled.</t>
  </si>
  <si>
    <t>Start Time:</t>
  </si>
  <si>
    <t>Control Card #1</t>
  </si>
  <si>
    <t>Control Card #1 Information Control Question (optional)</t>
  </si>
  <si>
    <t>Enter the start time.  This will be the official ACP listed start time found on the event page, unless a ride window has been enabled.</t>
  </si>
  <si>
    <t>Distance</t>
  </si>
  <si>
    <t>Locale</t>
  </si>
  <si>
    <t>Establishment 1</t>
  </si>
  <si>
    <t>Establishment 2</t>
  </si>
  <si>
    <t>Establishment 3</t>
  </si>
  <si>
    <t>Signature/Answer 1</t>
  </si>
  <si>
    <t>Signature/Answer 2</t>
  </si>
  <si>
    <t>Signature/Answer 3</t>
  </si>
  <si>
    <t>Open</t>
  </si>
  <si>
    <t>Close</t>
  </si>
  <si>
    <t>Open time</t>
  </si>
  <si>
    <t>Close time</t>
  </si>
  <si>
    <t>Organizer phone number is optional</t>
  </si>
  <si>
    <t>Control 1</t>
  </si>
  <si>
    <t>Lafarge Lake</t>
  </si>
  <si>
    <t>Lakefront trail</t>
  </si>
  <si>
    <t>near</t>
  </si>
  <si>
    <t>Evergreen Cultural Centre</t>
  </si>
  <si>
    <t>Staffed control</t>
  </si>
  <si>
    <t>Fill in the control distance.  The opening and closing times will be automatically calculated based on the start time and the brevet distance.  If you need more than 10 controls, or need an alternate start loction, use card #2, otherwise leave that section blank.</t>
  </si>
  <si>
    <t>Control 2</t>
  </si>
  <si>
    <t>Sasamat Lake</t>
  </si>
  <si>
    <t>Sasamat Outdoor Centre</t>
  </si>
  <si>
    <t>Helm Lodge</t>
  </si>
  <si>
    <t>by washrooms</t>
  </si>
  <si>
    <t>Built-in bench is dedicated to whom?</t>
  </si>
  <si>
    <t>Fill in the Locale (city) for each control.  Establishment 1, 2, and 3 can be used to describe the control itself eg Locale HOPE  Est.1  BUSINESS Est.2 Dairy Queen Est.3 817 Water Ave .  For a secret control, use SECRET as the locale.</t>
  </si>
  <si>
    <t>Control 3</t>
  </si>
  <si>
    <t>Pitt Lake</t>
  </si>
  <si>
    <t>Boat launch</t>
  </si>
  <si>
    <t>Witness signature</t>
  </si>
  <si>
    <t>When using information controls, you can put your question in the Signature/Answer section eg Sig/Ans.1 Sign on main door  Sig/Ans. 2  This week's special is?  Sig/Ans. 3 ________________</t>
  </si>
  <si>
    <t>Control 4</t>
  </si>
  <si>
    <t>Alouette Lake</t>
  </si>
  <si>
    <t>South Beach</t>
  </si>
  <si>
    <t>picnic area</t>
  </si>
  <si>
    <t>Control 5</t>
  </si>
  <si>
    <t>Rolley Lake / Stave Lake</t>
  </si>
  <si>
    <t>Rolley Lake</t>
  </si>
  <si>
    <t xml:space="preserve">Provincial Park </t>
  </si>
  <si>
    <t>beach</t>
  </si>
  <si>
    <t>Control 6</t>
  </si>
  <si>
    <t>Harrison Lake</t>
  </si>
  <si>
    <t>Anywhere</t>
  </si>
  <si>
    <t>along</t>
  </si>
  <si>
    <t>Esplanade Ave</t>
  </si>
  <si>
    <t>Control 7</t>
  </si>
  <si>
    <t>Chilliwack Lake</t>
  </si>
  <si>
    <t>Info board</t>
  </si>
  <si>
    <t>on beach</t>
  </si>
  <si>
    <t>by boat launch</t>
  </si>
  <si>
    <t>Ice cream is sold during what hours?</t>
  </si>
  <si>
    <t>Control 8</t>
  </si>
  <si>
    <t>Cultus Lake</t>
  </si>
  <si>
    <t>Cultus Lake Marina</t>
  </si>
  <si>
    <t>boat launch</t>
  </si>
  <si>
    <t>info board</t>
  </si>
  <si>
    <t>Non-emerg. number for impaired boating?</t>
  </si>
  <si>
    <t>Control 9</t>
  </si>
  <si>
    <t>Hayward Lake / Silvermere Lake</t>
  </si>
  <si>
    <t>Hayward St @ Wilson St</t>
  </si>
  <si>
    <t>NE corner</t>
  </si>
  <si>
    <t>Yellow fire hydrant</t>
  </si>
  <si>
    <t>Embossed at base: C??P (what two digits?)</t>
  </si>
  <si>
    <t>Control 10</t>
  </si>
  <si>
    <t>passenger drop zone</t>
  </si>
  <si>
    <t>parking meter 1288</t>
  </si>
  <si>
    <t>Press "OK", take selfie showing time display</t>
  </si>
  <si>
    <t>Control Card #2</t>
  </si>
  <si>
    <t>Control Card #2 Information Control Question (optional)</t>
  </si>
  <si>
    <t>Founding member of LES RANDONNEURS MONDIAUX (1983)</t>
  </si>
  <si>
    <t>Card revised:</t>
  </si>
  <si>
    <t>Control Card</t>
  </si>
  <si>
    <t>Brevet #</t>
  </si>
  <si>
    <t>Rider:</t>
  </si>
  <si>
    <t>Member #</t>
  </si>
  <si>
    <t>Bicycle Type
Circle one</t>
  </si>
  <si>
    <t>-------&gt;</t>
  </si>
  <si>
    <t>Single     Tandem     Fixed     Recumbent     Velomobile</t>
  </si>
  <si>
    <t>(circle)</t>
  </si>
  <si>
    <t>Start time:</t>
  </si>
  <si>
    <t>Finish Date:</t>
  </si>
  <si>
    <t>Finish time:</t>
  </si>
  <si>
    <t>Elapsed time:</t>
  </si>
  <si>
    <t>Rider's signature at completion</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</si>
  <si>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</si>
  <si>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DIST (km)</t>
  </si>
  <si>
    <t>Establishment</t>
  </si>
  <si>
    <t>Signature/Answer</t>
  </si>
  <si>
    <t>Time of Passage</t>
  </si>
  <si>
    <t>Report results or abandonment through registration email link</t>
  </si>
  <si>
    <t xml:space="preserve">Organizer: </t>
  </si>
  <si>
    <t>Template 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</si>
</sst>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6">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1">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169" fontId="0" fillId="0" borderId="25" xfId="0" applyNumberFormat="1" applyBorder="1" applyAlignment="1" applyProtection="1">
      <alignment horizontal="left"/>
      <protection locked="0"/>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cellXfs>
  <cellStyles count="356">
    <cellStyle name="Followed Hyperlink" xfId="261" builtinId="9" hidden="1"/>
    <cellStyle name="Followed Hyperlink" xfId="337" builtinId="9" hidden="1"/>
    <cellStyle name="Followed Hyperlink" xfId="190" builtinId="9" hidden="1"/>
    <cellStyle name="Followed Hyperlink" xfId="234" builtinId="9" hidden="1"/>
    <cellStyle name="Followed Hyperlink" xfId="226" builtinId="9" hidden="1"/>
    <cellStyle name="Followed Hyperlink" xfId="174" builtinId="9" hidden="1"/>
    <cellStyle name="Followed Hyperlink" xfId="150" builtinId="9" hidden="1"/>
    <cellStyle name="Followed Hyperlink" xfId="178" builtinId="9" hidden="1"/>
    <cellStyle name="Followed Hyperlink" xfId="250" builtinId="9" hidden="1"/>
    <cellStyle name="Followed Hyperlink" xfId="206" builtinId="9" hidden="1"/>
    <cellStyle name="Followed Hyperlink" xfId="289" builtinId="9" hidden="1"/>
    <cellStyle name="Followed Hyperlink" xfId="295" builtinId="9" hidden="1"/>
    <cellStyle name="Followed Hyperlink" xfId="221" builtinId="9" hidden="1"/>
    <cellStyle name="Followed Hyperlink" xfId="157" builtinId="9" hidden="1"/>
    <cellStyle name="Followed Hyperlink" xfId="93" builtinId="9" hidden="1"/>
    <cellStyle name="Followed Hyperlink" xfId="30" builtinId="9" hidden="1"/>
    <cellStyle name="Followed Hyperlink" xfId="52" builtinId="9" hidden="1"/>
    <cellStyle name="Followed Hyperlink" xfId="111" builtinId="9" hidden="1"/>
    <cellStyle name="Followed Hyperlink" xfId="175" builtinId="9" hidden="1"/>
    <cellStyle name="Followed Hyperlink" xfId="239" builtinId="9" hidden="1"/>
    <cellStyle name="Followed Hyperlink" xfId="331" builtinId="9" hidden="1"/>
    <cellStyle name="Followed Hyperlink" xfId="264" builtinId="9" hidden="1"/>
    <cellStyle name="Followed Hyperlink" xfId="200" builtinId="9" hidden="1"/>
    <cellStyle name="Followed Hyperlink" xfId="136" builtinId="9" hidden="1"/>
    <cellStyle name="Followed Hyperlink" xfId="134" builtinId="9" hidden="1"/>
    <cellStyle name="Followed Hyperlink" xfId="68" builtinId="9" hidden="1"/>
    <cellStyle name="Followed Hyperlink" xfId="132" builtinId="9" hidden="1"/>
    <cellStyle name="Followed Hyperlink" xfId="94" builtinId="9" hidden="1"/>
    <cellStyle name="Followed Hyperlink" xfId="196" builtinId="9" hidden="1"/>
    <cellStyle name="Followed Hyperlink" xfId="260" builtinId="9" hidden="1"/>
    <cellStyle name="Followed Hyperlink" xfId="339" builtinId="9" hidden="1"/>
    <cellStyle name="Followed Hyperlink" xfId="243" builtinId="9" hidden="1"/>
    <cellStyle name="Followed Hyperlink" xfId="179" builtinId="9" hidden="1"/>
    <cellStyle name="Followed Hyperlink" xfId="115" builtinId="9" hidden="1"/>
    <cellStyle name="Followed Hyperlink" xfId="48" builtinId="9" hidden="1"/>
    <cellStyle name="Followed Hyperlink" xfId="10" builtinId="9" hidden="1"/>
    <cellStyle name="Followed Hyperlink" xfId="89" builtinId="9" hidden="1"/>
    <cellStyle name="Followed Hyperlink" xfId="257" builtinId="9" hidden="1"/>
    <cellStyle name="Followed Hyperlink" xfId="209" builtinId="9" hidden="1"/>
    <cellStyle name="Followed Hyperlink" xfId="169" builtinId="9" hidden="1"/>
    <cellStyle name="Followed Hyperlink" xfId="129" builtinId="9" hidden="1"/>
    <cellStyle name="Followed Hyperlink" xfId="185" builtinId="9" hidden="1"/>
    <cellStyle name="Followed Hyperlink" xfId="329" builtinId="9" hidden="1"/>
    <cellStyle name="Followed Hyperlink" xfId="303" builtinId="9" hidden="1"/>
    <cellStyle name="Followed Hyperlink" xfId="278" builtinId="9" hidden="1"/>
    <cellStyle name="Followed Hyperlink" xfId="313" builtinId="9" hidden="1"/>
    <cellStyle name="Followed Hyperlink" xfId="319" builtinId="9" hidden="1"/>
    <cellStyle name="Followed Hyperlink" xfId="281" builtinId="9" hidden="1"/>
    <cellStyle name="Followed Hyperlink" xfId="153" builtinId="9" hidden="1"/>
    <cellStyle name="Followed Hyperlink" xfId="137" builtinId="9" hidden="1"/>
    <cellStyle name="Followed Hyperlink" xfId="177" builtinId="9" hidden="1"/>
    <cellStyle name="Followed Hyperlink" xfId="225" builtinId="9" hidden="1"/>
    <cellStyle name="Followed Hyperlink" xfId="265" builtinId="9" hidden="1"/>
    <cellStyle name="Followed Hyperlink" xfId="70" builtinId="9" hidden="1"/>
    <cellStyle name="Followed Hyperlink" xfId="4" builtinId="9" hidden="1"/>
    <cellStyle name="Followed Hyperlink" xfId="26" builtinId="9" hidden="1"/>
    <cellStyle name="Followed Hyperlink" xfId="131" builtinId="9" hidden="1"/>
    <cellStyle name="Followed Hyperlink" xfId="195" builtinId="9" hidden="1"/>
    <cellStyle name="Followed Hyperlink" xfId="259" builtinId="9" hidden="1"/>
    <cellStyle name="Followed Hyperlink" xfId="341" builtinId="9" hidden="1"/>
    <cellStyle name="Followed Hyperlink" xfId="244" builtinId="9" hidden="1"/>
    <cellStyle name="Followed Hyperlink" xfId="180" builtinId="9" hidden="1"/>
    <cellStyle name="Followed Hyperlink" xfId="104" builtinId="9" hidden="1"/>
    <cellStyle name="Followed Hyperlink" xfId="100" builtinId="9" hidden="1"/>
    <cellStyle name="Followed Hyperlink" xfId="84" builtinId="9" hidden="1"/>
    <cellStyle name="Followed Hyperlink" xfId="122" builtinId="9" hidden="1"/>
    <cellStyle name="Followed Hyperlink" xfId="152" builtinId="9" hidden="1"/>
    <cellStyle name="Followed Hyperlink" xfId="216" builtinId="9" hidden="1"/>
    <cellStyle name="Followed Hyperlink" xfId="280" builtinId="9" hidden="1"/>
    <cellStyle name="Followed Hyperlink" xfId="299" builtinId="9" hidden="1"/>
    <cellStyle name="Followed Hyperlink" xfId="223" builtinId="9" hidden="1"/>
    <cellStyle name="Followed Hyperlink" xfId="159" builtinId="9" hidden="1"/>
    <cellStyle name="Followed Hyperlink" xfId="95" builtinId="9" hidden="1"/>
    <cellStyle name="Followed Hyperlink" xfId="38" builtinId="9" hidden="1"/>
    <cellStyle name="Followed Hyperlink" xfId="56" builtinId="9" hidden="1"/>
    <cellStyle name="Followed Hyperlink" xfId="109" builtinId="9" hidden="1"/>
    <cellStyle name="Followed Hyperlink" xfId="173" builtinId="9" hidden="1"/>
    <cellStyle name="Followed Hyperlink" xfId="237" builtinId="9" hidden="1"/>
    <cellStyle name="Followed Hyperlink" xfId="327" builtinId="9" hidden="1"/>
    <cellStyle name="Followed Hyperlink" xfId="266" builtinId="9" hidden="1"/>
    <cellStyle name="Followed Hyperlink" xfId="218" builtinId="9" hidden="1"/>
    <cellStyle name="Followed Hyperlink" xfId="262" builtinId="9" hidden="1"/>
    <cellStyle name="Followed Hyperlink" xfId="158" builtinId="9" hidden="1"/>
    <cellStyle name="Followed Hyperlink" xfId="138" builtinId="9" hidden="1"/>
    <cellStyle name="Followed Hyperlink" xfId="166" builtinId="9" hidden="1"/>
    <cellStyle name="Followed Hyperlink" xfId="258" builtinId="9" hidden="1"/>
    <cellStyle name="Followed Hyperlink" xfId="222" builtinId="9" hidden="1"/>
    <cellStyle name="Followed Hyperlink" xfId="182" builtinId="9" hidden="1"/>
    <cellStyle name="Followed Hyperlink" xfId="343" builtinId="9" hidden="1"/>
    <cellStyle name="Followed Hyperlink" xfId="245" builtinId="9" hidden="1"/>
    <cellStyle name="Followed Hyperlink" xfId="181" builtinId="9" hidden="1"/>
    <cellStyle name="Followed Hyperlink" xfId="117" builtinId="9" hidden="1"/>
    <cellStyle name="Followed Hyperlink" xfId="44" builtinId="9" hidden="1"/>
    <cellStyle name="Followed Hyperlink" xfId="12" builtinId="9" hidden="1"/>
    <cellStyle name="Followed Hyperlink" xfId="87" builtinId="9" hidden="1"/>
    <cellStyle name="Followed Hyperlink" xfId="151" builtinId="9" hidden="1"/>
    <cellStyle name="Followed Hyperlink" xfId="215" builtinId="9" hidden="1"/>
    <cellStyle name="Followed Hyperlink" xfId="279" builtinId="9" hidden="1"/>
    <cellStyle name="Followed Hyperlink" xfId="301" builtinId="9" hidden="1"/>
    <cellStyle name="Followed Hyperlink" xfId="224" builtinId="9" hidden="1"/>
    <cellStyle name="Followed Hyperlink" xfId="160" builtinId="9" hidden="1"/>
    <cellStyle name="Followed Hyperlink" xfId="118" builtinId="9" hidden="1"/>
    <cellStyle name="Followed Hyperlink" xfId="88" builtinId="9" hidden="1"/>
    <cellStyle name="Followed Hyperlink" xfId="80" builtinId="9" hidden="1"/>
    <cellStyle name="Followed Hyperlink" xfId="110" builtinId="9" hidden="1"/>
    <cellStyle name="Followed Hyperlink" xfId="172" builtinId="9" hidden="1"/>
    <cellStyle name="Followed Hyperlink" xfId="91" builtinId="9" hidden="1"/>
    <cellStyle name="Followed Hyperlink" xfId="123" builtinId="9" hidden="1"/>
    <cellStyle name="Followed Hyperlink" xfId="171" builtinId="9" hidden="1"/>
    <cellStyle name="Followed Hyperlink" xfId="219" builtinId="9" hidden="1"/>
    <cellStyle name="Followed Hyperlink" xfId="251" builtinId="9" hidden="1"/>
    <cellStyle name="Followed Hyperlink" xfId="323" builtinId="9" hidden="1"/>
    <cellStyle name="Followed Hyperlink" xfId="293" builtinId="9" hidden="1"/>
    <cellStyle name="Followed Hyperlink" xfId="252" builtinId="9" hidden="1"/>
    <cellStyle name="Followed Hyperlink" xfId="236" builtinId="9" hidden="1"/>
    <cellStyle name="Followed Hyperlink" xfId="267" builtinId="9" hidden="1"/>
    <cellStyle name="Followed Hyperlink" xfId="139" builtinId="9" hidden="1"/>
    <cellStyle name="Followed Hyperlink" xfId="46" builtinId="9" hidden="1"/>
    <cellStyle name="Followed Hyperlink" xfId="22" builtinId="9" hidden="1"/>
    <cellStyle name="Followed Hyperlink" xfId="36" builtinId="9" hidden="1"/>
    <cellStyle name="Followed Hyperlink" xfId="28" builtinId="9" hidden="1"/>
    <cellStyle name="Followed Hyperlink" xfId="81" builtinId="9" hidden="1"/>
    <cellStyle name="Followed Hyperlink" xfId="97" builtinId="9" hidden="1"/>
    <cellStyle name="Followed Hyperlink" xfId="50" builtinId="9" hidden="1"/>
    <cellStyle name="Followed Hyperlink" xfId="8" builtinId="9" hidden="1"/>
    <cellStyle name="Followed Hyperlink" xfId="58" builtinId="9" hidden="1"/>
    <cellStyle name="Followed Hyperlink" xfId="20" builtinId="9" hidden="1"/>
    <cellStyle name="Followed Hyperlink" xfId="74" builtinId="9" hidden="1"/>
    <cellStyle name="Followed Hyperlink" xfId="203" builtinId="9" hidden="1"/>
    <cellStyle name="Followed Hyperlink" xfId="325" builtinId="9" hidden="1"/>
    <cellStyle name="Followed Hyperlink" xfId="220" builtinId="9" hidden="1"/>
    <cellStyle name="Followed Hyperlink" xfId="268" builtinId="9" hidden="1"/>
    <cellStyle name="Followed Hyperlink" xfId="355" builtinId="9" hidden="1"/>
    <cellStyle name="Followed Hyperlink" xfId="291" builtinId="9" hidden="1"/>
    <cellStyle name="Followed Hyperlink" xfId="235" builtinId="9" hidden="1"/>
    <cellStyle name="Followed Hyperlink" xfId="187" builtinId="9" hidden="1"/>
    <cellStyle name="Followed Hyperlink" xfId="155" builtinId="9" hidden="1"/>
    <cellStyle name="Followed Hyperlink" xfId="107" builtinId="9" hidden="1"/>
    <cellStyle name="Followed Hyperlink" xfId="204" builtinId="9" hidden="1"/>
    <cellStyle name="Followed Hyperlink" xfId="140" builtinId="9" hidden="1"/>
    <cellStyle name="Followed Hyperlink" xfId="130" builtinId="9" hidden="1"/>
    <cellStyle name="Followed Hyperlink" xfId="72" builtinId="9" hidden="1"/>
    <cellStyle name="Followed Hyperlink" xfId="124" builtinId="9" hidden="1"/>
    <cellStyle name="Followed Hyperlink" xfId="96" builtinId="9" hidden="1"/>
    <cellStyle name="Followed Hyperlink" xfId="192" builtinId="9" hidden="1"/>
    <cellStyle name="Followed Hyperlink" xfId="256" builtinId="9" hidden="1"/>
    <cellStyle name="Followed Hyperlink" xfId="347" builtinId="9" hidden="1"/>
    <cellStyle name="Followed Hyperlink" xfId="247" builtinId="9" hidden="1"/>
    <cellStyle name="Followed Hyperlink" xfId="183" builtinId="9" hidden="1"/>
    <cellStyle name="Followed Hyperlink" xfId="119" builtinId="9" hidden="1"/>
    <cellStyle name="Followed Hyperlink" xfId="42" builtinId="9" hidden="1"/>
    <cellStyle name="Followed Hyperlink" xfId="16" builtinId="9" hidden="1"/>
    <cellStyle name="Followed Hyperlink" xfId="85" builtinId="9" hidden="1"/>
    <cellStyle name="Followed Hyperlink" xfId="149" builtinId="9" hidden="1"/>
    <cellStyle name="Followed Hyperlink" xfId="213" builtinId="9" hidden="1"/>
    <cellStyle name="Followed Hyperlink" xfId="277" builtinId="9" hidden="1"/>
    <cellStyle name="Followed Hyperlink" xfId="305" builtinId="9" hidden="1"/>
    <cellStyle name="Followed Hyperlink" xfId="202" builtinId="9" hidden="1"/>
    <cellStyle name="Followed Hyperlink" xfId="246" builtinId="9" hidden="1"/>
    <cellStyle name="Followed Hyperlink" xfId="194" builtinId="9" hidden="1"/>
    <cellStyle name="Followed Hyperlink" xfId="146" builtinId="9" hidden="1"/>
    <cellStyle name="Followed Hyperlink" xfId="162" builtinId="9" hidden="1"/>
    <cellStyle name="Followed Hyperlink" xfId="210" builtinId="9" hidden="1"/>
    <cellStyle name="Followed Hyperlink" xfId="238" builtinId="9" hidden="1"/>
    <cellStyle name="Followed Hyperlink" xfId="198" builtinId="9" hidden="1"/>
    <cellStyle name="Followed Hyperlink" xfId="321" builtinId="9" hidden="1"/>
    <cellStyle name="Followed Hyperlink" xfId="269" builtinId="9" hidden="1"/>
    <cellStyle name="Followed Hyperlink" xfId="205" builtinId="9" hidden="1"/>
    <cellStyle name="Followed Hyperlink" xfId="141" builtinId="9" hidden="1"/>
    <cellStyle name="Followed Hyperlink" xfId="77" builtinId="9" hidden="1"/>
    <cellStyle name="Followed Hyperlink" xfId="6" builtinId="9" hidden="1"/>
    <cellStyle name="Followed Hyperlink" xfId="32" builtinId="9" hidden="1"/>
    <cellStyle name="Followed Hyperlink" xfId="127" builtinId="9" hidden="1"/>
    <cellStyle name="Followed Hyperlink" xfId="191" builtinId="9" hidden="1"/>
    <cellStyle name="Followed Hyperlink" xfId="255" builtinId="9" hidden="1"/>
    <cellStyle name="Followed Hyperlink" xfId="349" builtinId="9" hidden="1"/>
    <cellStyle name="Followed Hyperlink" xfId="248" builtinId="9" hidden="1"/>
    <cellStyle name="Followed Hyperlink" xfId="184" builtinId="9" hidden="1"/>
    <cellStyle name="Followed Hyperlink" xfId="102" builtinId="9" hidden="1"/>
    <cellStyle name="Followed Hyperlink" xfId="108" builtinId="9" hidden="1"/>
    <cellStyle name="Followed Hyperlink" xfId="76" builtinId="9" hidden="1"/>
    <cellStyle name="Followed Hyperlink" xfId="126" builtinId="9" hidden="1"/>
    <cellStyle name="Followed Hyperlink" xfId="148" builtinId="9" hidden="1"/>
    <cellStyle name="Followed Hyperlink" xfId="212" builtinId="9" hidden="1"/>
    <cellStyle name="Followed Hyperlink" xfId="276" builtinId="9" hidden="1"/>
    <cellStyle name="Followed Hyperlink" xfId="307" builtinId="9" hidden="1"/>
    <cellStyle name="Followed Hyperlink" xfId="227" builtinId="9" hidden="1"/>
    <cellStyle name="Followed Hyperlink" xfId="163" builtinId="9" hidden="1"/>
    <cellStyle name="Followed Hyperlink" xfId="99" builtinId="9" hidden="1"/>
    <cellStyle name="Followed Hyperlink" xfId="54" builtinId="9" hidden="1"/>
    <cellStyle name="Followed Hyperlink" xfId="60" builtinId="9" hidden="1"/>
    <cellStyle name="Followed Hyperlink" xfId="105" builtinId="9" hidden="1"/>
    <cellStyle name="Followed Hyperlink" xfId="241" builtinId="9" hidden="1"/>
    <cellStyle name="Followed Hyperlink" xfId="201" builtinId="9" hidden="1"/>
    <cellStyle name="Followed Hyperlink" xfId="161" builtinId="9" hidden="1"/>
    <cellStyle name="Followed Hyperlink" xfId="113" builtinId="9" hidden="1"/>
    <cellStyle name="Followed Hyperlink" xfId="217" builtinId="9" hidden="1"/>
    <cellStyle name="Followed Hyperlink" xfId="345" builtinId="9" hidden="1"/>
    <cellStyle name="Followed Hyperlink" xfId="351" builtinId="9" hidden="1"/>
    <cellStyle name="Followed Hyperlink" xfId="270" builtinId="9" hidden="1"/>
    <cellStyle name="Followed Hyperlink" xfId="297" builtinId="9" hidden="1"/>
    <cellStyle name="Followed Hyperlink" xfId="335" builtinId="9" hidden="1"/>
    <cellStyle name="Followed Hyperlink" xfId="249" builtinId="9" hidden="1"/>
    <cellStyle name="Followed Hyperlink" xfId="121" builtinId="9" hidden="1"/>
    <cellStyle name="Followed Hyperlink" xfId="145" builtinId="9" hidden="1"/>
    <cellStyle name="Followed Hyperlink" xfId="193" builtinId="9" hidden="1"/>
    <cellStyle name="Followed Hyperlink" xfId="233" builtinId="9" hidden="1"/>
    <cellStyle name="Followed Hyperlink" xfId="273" builtinId="9" hidden="1"/>
    <cellStyle name="Followed Hyperlink" xfId="40" builtinId="9" hidden="1"/>
    <cellStyle name="Followed Hyperlink" xfId="18" builtinId="9" hidden="1"/>
    <cellStyle name="Followed Hyperlink" xfId="83" builtinId="9" hidden="1"/>
    <cellStyle name="Followed Hyperlink" xfId="147" builtinId="9" hidden="1"/>
    <cellStyle name="Followed Hyperlink" xfId="211" builtinId="9" hidden="1"/>
    <cellStyle name="Followed Hyperlink" xfId="275" builtinId="9" hidden="1"/>
    <cellStyle name="Followed Hyperlink" xfId="309" builtinId="9" hidden="1"/>
    <cellStyle name="Followed Hyperlink" xfId="228" builtinId="9" hidden="1"/>
    <cellStyle name="Followed Hyperlink" xfId="164" builtinId="9" hidden="1"/>
    <cellStyle name="Followed Hyperlink" xfId="114" builtinId="9" hidden="1"/>
    <cellStyle name="Followed Hyperlink" xfId="86" builtinId="9" hidden="1"/>
    <cellStyle name="Followed Hyperlink" xfId="82" builtinId="9" hidden="1"/>
    <cellStyle name="Followed Hyperlink" xfId="112" builtinId="9" hidden="1"/>
    <cellStyle name="Followed Hyperlink" xfId="168" builtinId="9" hidden="1"/>
    <cellStyle name="Followed Hyperlink" xfId="232" builtinId="9" hidden="1"/>
    <cellStyle name="Followed Hyperlink" xfId="317" builtinId="9" hidden="1"/>
    <cellStyle name="Followed Hyperlink" xfId="271" builtinId="9" hidden="1"/>
    <cellStyle name="Followed Hyperlink" xfId="207" builtinId="9" hidden="1"/>
    <cellStyle name="Followed Hyperlink" xfId="143" builtinId="9" hidden="1"/>
    <cellStyle name="Followed Hyperlink" xfId="79" builtinId="9" hidden="1"/>
    <cellStyle name="Followed Hyperlink" xfId="14" builtinId="9" hidden="1"/>
    <cellStyle name="Followed Hyperlink" xfId="34" builtinId="9" hidden="1"/>
    <cellStyle name="Followed Hyperlink" xfId="125" builtinId="9" hidden="1"/>
    <cellStyle name="Followed Hyperlink" xfId="189" builtinId="9" hidden="1"/>
    <cellStyle name="Followed Hyperlink" xfId="253" builtinId="9" hidden="1"/>
    <cellStyle name="Followed Hyperlink" xfId="353" builtinId="9" hidden="1"/>
    <cellStyle name="Followed Hyperlink" xfId="186" builtinId="9" hidden="1"/>
    <cellStyle name="Followed Hyperlink" xfId="230" builtinId="9" hidden="1"/>
    <cellStyle name="Followed Hyperlink" xfId="242" builtinId="9" hidden="1"/>
    <cellStyle name="Followed Hyperlink" xfId="170" builtinId="9" hidden="1"/>
    <cellStyle name="Followed Hyperlink" xfId="142" builtinId="9" hidden="1"/>
    <cellStyle name="Followed Hyperlink" xfId="154" builtinId="9" hidden="1"/>
    <cellStyle name="Followed Hyperlink" xfId="254" builtinId="9" hidden="1"/>
    <cellStyle name="Followed Hyperlink" xfId="214" builtinId="9" hidden="1"/>
    <cellStyle name="Followed Hyperlink" xfId="274" builtinId="9" hidden="1"/>
    <cellStyle name="Followed Hyperlink" xfId="311" builtinId="9" hidden="1"/>
    <cellStyle name="Followed Hyperlink" xfId="229" builtinId="9" hidden="1"/>
    <cellStyle name="Followed Hyperlink" xfId="176" builtinId="9" hidden="1"/>
    <cellStyle name="Followed Hyperlink" xfId="208" builtinId="9" hidden="1"/>
    <cellStyle name="Followed Hyperlink" xfId="240" builtinId="9" hidden="1"/>
    <cellStyle name="Followed Hyperlink" xfId="333" builtinId="9" hidden="1"/>
    <cellStyle name="Followed Hyperlink" xfId="315" builtinId="9" hidden="1"/>
    <cellStyle name="Followed Hyperlink" xfId="263" builtinId="9" hidden="1"/>
    <cellStyle name="Followed Hyperlink" xfId="199" builtinId="9" hidden="1"/>
    <cellStyle name="Followed Hyperlink" xfId="167" builtinId="9" hidden="1"/>
    <cellStyle name="Followed Hyperlink" xfId="135" builtinId="9" hidden="1"/>
    <cellStyle name="Followed Hyperlink" xfId="66" builtinId="9" hidden="1"/>
    <cellStyle name="Followed Hyperlink" xfId="64" builtinId="9" hidden="1"/>
    <cellStyle name="Followed Hyperlink" xfId="2" builtinId="9" hidden="1"/>
    <cellStyle name="Followed Hyperlink" xfId="24" builtinId="9" hidden="1"/>
    <cellStyle name="Followed Hyperlink" xfId="101" builtinId="9" hidden="1"/>
    <cellStyle name="Followed Hyperlink" xfId="133" builtinId="9" hidden="1"/>
    <cellStyle name="Followed Hyperlink" xfId="197" builtinId="9" hidden="1"/>
    <cellStyle name="Followed Hyperlink" xfId="165" builtinId="9" hidden="1"/>
    <cellStyle name="Followed Hyperlink" xfId="62" builtinId="9" hidden="1"/>
    <cellStyle name="Followed Hyperlink" xfId="103" builtinId="9" hidden="1"/>
    <cellStyle name="Followed Hyperlink" xfId="231" builtinId="9" hidden="1"/>
    <cellStyle name="Followed Hyperlink" xfId="272" builtinId="9" hidden="1"/>
    <cellStyle name="Followed Hyperlink" xfId="144" builtinId="9" hidden="1"/>
    <cellStyle name="Followed Hyperlink" xfId="116" builtinId="9" hidden="1"/>
    <cellStyle name="Followed Hyperlink" xfId="90" builtinId="9" hidden="1"/>
    <cellStyle name="Followed Hyperlink" xfId="92" builtinId="9" hidden="1"/>
    <cellStyle name="Followed Hyperlink" xfId="128" builtinId="9" hidden="1"/>
    <cellStyle name="Followed Hyperlink" xfId="106" builtinId="9" hidden="1"/>
    <cellStyle name="Followed Hyperlink" xfId="78" builtinId="9" hidden="1"/>
    <cellStyle name="Followed Hyperlink" xfId="98" builtinId="9" hidden="1"/>
    <cellStyle name="Followed Hyperlink" xfId="120" builtinId="9" hidden="1"/>
    <cellStyle name="Followed Hyperlink" xfId="156" builtinId="9" hidden="1"/>
    <cellStyle name="Followed Hyperlink" xfId="188" builtinId="9" hidden="1"/>
    <cellStyle name="Hyperlink" xfId="352" builtinId="8" hidden="1"/>
    <cellStyle name="Hyperlink" xfId="346" builtinId="8" hidden="1"/>
    <cellStyle name="Hyperlink" xfId="330" builtinId="8" hidden="1"/>
    <cellStyle name="Hyperlink" xfId="314" builtinId="8" hidden="1"/>
    <cellStyle name="Hyperlink" xfId="43" builtinId="8" hidden="1"/>
    <cellStyle name="Hyperlink" xfId="1" builtinId="8" hidden="1"/>
    <cellStyle name="Hyperlink" xfId="13" builtinId="8" hidden="1"/>
    <cellStyle name="Hyperlink" xfId="15" builtinId="8" hidden="1"/>
    <cellStyle name="Hyperlink" xfId="19" builtinId="8" hidden="1"/>
    <cellStyle name="Hyperlink" xfId="7" builtinId="8" hidden="1"/>
    <cellStyle name="Hyperlink" xfId="71" builtinId="8" hidden="1"/>
    <cellStyle name="Hyperlink" xfId="23" builtinId="8" hidden="1"/>
    <cellStyle name="Hyperlink" xfId="25" builtinId="8" hidden="1"/>
    <cellStyle name="Hyperlink" xfId="29" builtinId="8" hidden="1"/>
    <cellStyle name="Hyperlink" xfId="298" builtinId="8" hidden="1"/>
    <cellStyle name="Hyperlink" xfId="47" builtinId="8" hidden="1"/>
    <cellStyle name="Hyperlink" xfId="33" builtinId="8" hidden="1"/>
    <cellStyle name="Hyperlink" xfId="35" builtinId="8" hidden="1"/>
    <cellStyle name="Hyperlink" xfId="39" builtinId="8" hidden="1"/>
    <cellStyle name="Hyperlink" xfId="41" builtinId="8" hidden="1"/>
    <cellStyle name="Hyperlink" xfId="65" builtinId="8" hidden="1"/>
    <cellStyle name="Hyperlink" xfId="67" builtinId="8" hidden="1"/>
    <cellStyle name="Hyperlink" xfId="61" builtinId="8" hidden="1"/>
    <cellStyle name="Hyperlink" xfId="57" builtinId="8" hidden="1"/>
    <cellStyle name="Hyperlink" xfId="63" builtinId="8" hidden="1"/>
    <cellStyle name="Hyperlink" xfId="27" builtinId="8" hidden="1"/>
    <cellStyle name="Hyperlink" xfId="11" builtinId="8" hidden="1"/>
    <cellStyle name="Hyperlink" xfId="290" builtinId="8" hidden="1"/>
    <cellStyle name="Hyperlink" xfId="73" builtinId="8" hidden="1"/>
    <cellStyle name="Hyperlink" xfId="69" builtinId="8" hidden="1"/>
    <cellStyle name="Hyperlink" xfId="75" builtinId="8" hidden="1"/>
    <cellStyle name="Hyperlink" xfId="320" builtinId="8" hidden="1"/>
    <cellStyle name="Hyperlink" xfId="336" builtinId="8" hidden="1"/>
    <cellStyle name="Hyperlink" xfId="300" builtinId="8" hidden="1"/>
    <cellStyle name="Hyperlink" xfId="294" builtinId="8" hidden="1"/>
    <cellStyle name="Hyperlink" xfId="292" builtinId="8" hidden="1"/>
    <cellStyle name="Hyperlink" xfId="296" builtinId="8" hidden="1"/>
    <cellStyle name="Hyperlink" xfId="17" builtinId="8" hidden="1"/>
    <cellStyle name="Hyperlink" xfId="31" builtinId="8" hidden="1"/>
    <cellStyle name="Hyperlink" xfId="310" builtinId="8" hidden="1"/>
    <cellStyle name="Hyperlink" xfId="304" builtinId="8" hidden="1"/>
    <cellStyle name="Hyperlink" xfId="306" builtinId="8" hidden="1"/>
    <cellStyle name="Hyperlink" xfId="342" builtinId="8" hidden="1"/>
    <cellStyle name="Hyperlink" xfId="324" builtinId="8" hidden="1"/>
    <cellStyle name="Hyperlink" xfId="9" builtinId="8" hidden="1"/>
    <cellStyle name="Hyperlink" xfId="3" builtinId="8" hidden="1"/>
    <cellStyle name="Hyperlink" xfId="5" builtinId="8" hidden="1"/>
    <cellStyle name="Hyperlink" xfId="37" builtinId="8" hidden="1"/>
    <cellStyle name="Hyperlink" xfId="21" builtinId="8" hidden="1"/>
    <cellStyle name="Hyperlink" xfId="350" builtinId="8" hidden="1"/>
    <cellStyle name="Hyperlink" xfId="302" builtinId="8" hidden="1"/>
    <cellStyle name="Hyperlink" xfId="312" builtinId="8" hidden="1"/>
    <cellStyle name="Hyperlink" xfId="316" builtinId="8" hidden="1"/>
    <cellStyle name="Hyperlink" xfId="318" builtinId="8" hidden="1"/>
    <cellStyle name="Hyperlink" xfId="322" builtinId="8" hidden="1"/>
    <cellStyle name="Hyperlink" xfId="308" builtinId="8" hidden="1"/>
    <cellStyle name="Hyperlink" xfId="59" builtinId="8" hidden="1"/>
    <cellStyle name="Hyperlink" xfId="326" builtinId="8" hidden="1"/>
    <cellStyle name="Hyperlink" xfId="328" builtinId="8" hidden="1"/>
    <cellStyle name="Hyperlink" xfId="332" builtinId="8" hidden="1"/>
    <cellStyle name="Hyperlink" xfId="334" builtinId="8" hidden="1"/>
    <cellStyle name="Hyperlink" xfId="288" builtinId="8" hidden="1"/>
    <cellStyle name="Hyperlink" xfId="354" builtinId="8" hidden="1"/>
    <cellStyle name="Hyperlink" xfId="338" builtinId="8" hidden="1"/>
    <cellStyle name="Hyperlink" xfId="340" builtinId="8" hidden="1"/>
    <cellStyle name="Hyperlink" xfId="344" builtinId="8" hidden="1"/>
    <cellStyle name="Hyperlink" xfId="348" builtinId="8" hidden="1"/>
    <cellStyle name="Hyperlink" xfId="51" builtinId="8" hidden="1"/>
    <cellStyle name="Hyperlink" xfId="53" builtinId="8" hidden="1"/>
    <cellStyle name="Hyperlink" xfId="55" builtinId="8" hidden="1"/>
    <cellStyle name="Hyperlink" xfId="49" builtinId="8" hidden="1"/>
    <cellStyle name="Hyperlink" xfId="45"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tabSelected="1" zoomScale="140" zoomScaleNormal="140" zoomScalePageLayoutView="135" workbookViewId="0">
      <selection activeCell="D25" sqref="D25"/>
    </sheetView>
  </sheetViews>
  <sheetFormatPr defaultColWidth="8.85546875" defaultRowHeight="12.95"/>
  <cols>
    <col min="1" max="1" width="16.42578125" style="1" customWidth="1"/>
    <col min="2" max="2" width="10.85546875" customWidth="1"/>
    <col min="3" max="3" width="1" style="2" hidden="1" customWidth="1"/>
    <col min="4" max="4" width="8.28515625" customWidth="1"/>
    <col min="5" max="5" width="17" bestFit="1" customWidth="1"/>
    <col min="6" max="11" width="34.140625" customWidth="1"/>
    <col min="12" max="15" width="17.85546875" hidden="1" customWidth="1"/>
    <col min="16" max="16" width="2.140625" customWidth="1"/>
  </cols>
  <sheetData>
    <row r="1" spans="1:33" ht="20.100000000000001" customHeight="1">
      <c r="A1" s="107" t="s">
        <v>0</v>
      </c>
      <c r="B1" s="107"/>
      <c r="C1" s="107"/>
      <c r="D1" s="107"/>
      <c r="E1" s="107"/>
      <c r="F1" s="107"/>
      <c r="G1" s="107"/>
      <c r="H1" s="40" t="s">
        <v>1</v>
      </c>
      <c r="Q1" s="109" t="s">
        <v>2</v>
      </c>
      <c r="R1" s="109"/>
      <c r="S1" s="109"/>
      <c r="T1" s="109"/>
      <c r="U1" s="109"/>
      <c r="V1" s="109"/>
      <c r="W1" s="109"/>
      <c r="X1" s="109"/>
      <c r="Y1" s="109"/>
      <c r="Z1" s="109"/>
      <c r="AA1" s="109"/>
      <c r="AB1" s="109"/>
      <c r="AC1" s="109"/>
      <c r="AD1" s="109"/>
      <c r="AE1" s="109"/>
      <c r="AF1" s="109"/>
      <c r="AG1" s="88"/>
    </row>
    <row r="2" spans="1:33" ht="12.95" customHeight="1" thickBot="1">
      <c r="H2" s="44"/>
      <c r="I2" s="44"/>
      <c r="Q2" s="109"/>
      <c r="R2" s="109"/>
      <c r="S2" s="109"/>
      <c r="T2" s="109"/>
      <c r="U2" s="109"/>
      <c r="V2" s="109"/>
      <c r="W2" s="109"/>
      <c r="X2" s="109"/>
      <c r="Y2" s="109"/>
      <c r="Z2" s="109"/>
      <c r="AA2" s="109"/>
      <c r="AB2" s="109"/>
      <c r="AC2" s="109"/>
      <c r="AD2" s="109"/>
      <c r="AE2" s="109"/>
      <c r="AF2" s="109"/>
      <c r="AG2" s="88"/>
    </row>
    <row r="3" spans="1:33" s="48" customFormat="1" ht="12.95" customHeight="1" thickBot="1">
      <c r="A3" s="47" t="s">
        <v>3</v>
      </c>
      <c r="B3" s="72">
        <v>45393</v>
      </c>
      <c r="H3" s="49"/>
      <c r="I3" s="49"/>
      <c r="Q3" s="109"/>
      <c r="R3" s="109"/>
      <c r="S3" s="109"/>
      <c r="T3" s="109"/>
      <c r="U3" s="109"/>
      <c r="V3" s="109"/>
      <c r="W3" s="109"/>
      <c r="X3" s="109"/>
      <c r="Y3" s="109"/>
      <c r="Z3" s="109"/>
      <c r="AA3" s="109"/>
      <c r="AB3" s="109"/>
      <c r="AC3" s="109"/>
      <c r="AD3" s="109"/>
      <c r="AE3" s="109"/>
      <c r="AF3" s="109"/>
      <c r="AG3" s="88"/>
    </row>
    <row r="4" spans="1:33" ht="12.95" customHeight="1">
      <c r="A4" s="43" t="s">
        <v>4</v>
      </c>
      <c r="B4" s="46">
        <v>45818</v>
      </c>
      <c r="C4"/>
      <c r="H4" s="44"/>
      <c r="I4" s="44"/>
      <c r="Q4" s="109"/>
      <c r="R4" s="109"/>
      <c r="S4" s="109"/>
      <c r="T4" s="109"/>
      <c r="U4" s="109"/>
      <c r="V4" s="109"/>
      <c r="W4" s="109"/>
      <c r="X4" s="109"/>
      <c r="Y4" s="109"/>
      <c r="Z4" s="109"/>
      <c r="AA4" s="109"/>
      <c r="AB4" s="109"/>
      <c r="AC4" s="109"/>
      <c r="AD4" s="109"/>
      <c r="AE4" s="109"/>
      <c r="AF4" s="109"/>
      <c r="AG4" s="88"/>
    </row>
    <row r="5" spans="1:33" ht="6.95" customHeight="1" thickBot="1">
      <c r="H5" s="44"/>
      <c r="I5" s="44"/>
      <c r="Q5" s="88"/>
      <c r="R5" s="88"/>
      <c r="S5" s="88"/>
      <c r="T5" s="88"/>
      <c r="U5" s="88"/>
      <c r="V5" s="88"/>
      <c r="W5" s="88"/>
      <c r="X5" s="88"/>
      <c r="Y5" s="88"/>
      <c r="Z5" s="88"/>
      <c r="AA5" s="88"/>
      <c r="AB5" s="88"/>
      <c r="AC5" s="88"/>
      <c r="AD5" s="88"/>
      <c r="AE5" s="88"/>
      <c r="AF5" s="88"/>
      <c r="AG5" s="88"/>
    </row>
    <row r="6" spans="1:33" ht="18">
      <c r="A6" s="10" t="s">
        <v>5</v>
      </c>
      <c r="B6" s="30">
        <v>400</v>
      </c>
      <c r="C6">
        <f>IF(Brevet_Length&gt;=1200,Brevet_Length,IF(Brevet_Length&gt;=1000,1000,IF(Brevet_Length&gt;=600,600,IF(Brevet_Length&gt;=400,400,IF(Brevet_Length&gt;=300,300,IF(Brevet_Length&gt;=200,200,100))))))</f>
        <v>400</v>
      </c>
      <c r="J6" s="110" t="s">
        <v>6</v>
      </c>
      <c r="K6" s="110"/>
      <c r="Q6" s="86" t="s">
        <v>7</v>
      </c>
      <c r="R6" s="86"/>
      <c r="S6" s="86"/>
      <c r="T6" s="86"/>
      <c r="U6" s="86"/>
      <c r="V6" s="86"/>
      <c r="W6" s="86"/>
      <c r="X6" s="87"/>
      <c r="Y6" s="87"/>
      <c r="Z6" s="87"/>
    </row>
    <row r="7" spans="1:33" ht="14.1">
      <c r="A7" s="11" t="s">
        <v>8</v>
      </c>
      <c r="B7" s="84">
        <f>IF(brevet=1200,90,IF(brevet=1000,75,IF(brevet=600,40,IF(brevet=400,27,IF(brevet=300,20,IF(brevet=200,13.5,IF(brevet&lt;200,L7,0)))))))</f>
        <v>27</v>
      </c>
      <c r="L7">
        <f>IF(Brevet_Length=150,10.5,IF(Brevet_Length=100,7,IF(Brevet_Length=50,3.5,IF(Brevet_Length=25, 2,0))))</f>
        <v>0</v>
      </c>
      <c r="Q7" s="87" t="s">
        <v>9</v>
      </c>
      <c r="R7" s="87"/>
      <c r="S7" s="87"/>
      <c r="T7" s="87"/>
      <c r="U7" s="87"/>
      <c r="V7" s="87"/>
      <c r="W7" s="87"/>
      <c r="X7" s="87"/>
      <c r="Y7" s="87"/>
      <c r="Z7" s="87"/>
    </row>
    <row r="8" spans="1:33" ht="18">
      <c r="A8" s="83" t="s">
        <v>10</v>
      </c>
      <c r="B8" s="108" t="s">
        <v>11</v>
      </c>
      <c r="C8" s="108"/>
      <c r="D8" s="108"/>
      <c r="E8" s="108"/>
      <c r="F8" s="108"/>
      <c r="G8" s="85"/>
      <c r="H8" s="85"/>
      <c r="I8" s="16"/>
      <c r="J8" s="16"/>
      <c r="K8" s="16"/>
      <c r="Q8" s="86" t="s">
        <v>12</v>
      </c>
      <c r="R8" s="87"/>
      <c r="S8" s="87"/>
      <c r="T8" s="87"/>
      <c r="U8" s="87"/>
      <c r="V8" s="87"/>
      <c r="W8" s="87"/>
      <c r="X8" s="87"/>
      <c r="Y8" s="87"/>
      <c r="Z8" s="87"/>
    </row>
    <row r="9" spans="1:33" ht="18">
      <c r="A9" s="11" t="s">
        <v>13</v>
      </c>
      <c r="B9" s="31">
        <v>5552</v>
      </c>
      <c r="C9" s="13"/>
      <c r="F9" s="14"/>
      <c r="G9" s="14"/>
      <c r="H9" s="14"/>
      <c r="I9" s="14"/>
      <c r="J9" s="14"/>
      <c r="K9" s="14"/>
      <c r="Q9" s="86" t="s">
        <v>14</v>
      </c>
      <c r="R9" s="87"/>
      <c r="S9" s="87"/>
      <c r="T9" s="87"/>
      <c r="U9" s="87"/>
      <c r="V9" s="87"/>
      <c r="W9" s="87"/>
      <c r="X9" s="87"/>
      <c r="Y9" s="87"/>
      <c r="Z9" s="87"/>
    </row>
    <row r="10" spans="1:33" ht="18">
      <c r="A10" s="18" t="s">
        <v>15</v>
      </c>
      <c r="B10" s="32">
        <v>45864</v>
      </c>
      <c r="E10" s="80" t="s">
        <v>16</v>
      </c>
      <c r="F10" s="82" t="s">
        <v>17</v>
      </c>
      <c r="Q10" s="86" t="s">
        <v>18</v>
      </c>
      <c r="R10" s="87"/>
      <c r="S10" s="87"/>
      <c r="T10" s="87"/>
      <c r="U10" s="87"/>
      <c r="V10" s="87"/>
      <c r="W10" s="87"/>
      <c r="X10" s="87"/>
      <c r="Y10" s="87"/>
      <c r="Z10" s="87"/>
    </row>
    <row r="11" spans="1:33" ht="6" customHeight="1">
      <c r="B11" s="45"/>
      <c r="Q11" s="87"/>
      <c r="R11" s="87"/>
      <c r="S11" s="87"/>
      <c r="T11" s="87"/>
      <c r="U11" s="87"/>
      <c r="V11" s="87"/>
      <c r="W11" s="87"/>
      <c r="X11" s="87"/>
      <c r="Y11" s="87"/>
      <c r="Z11" s="87"/>
    </row>
    <row r="12" spans="1:33" ht="18" customHeight="1" thickBot="1">
      <c r="A12" s="41" t="s">
        <v>19</v>
      </c>
      <c r="B12" s="42">
        <v>45864</v>
      </c>
      <c r="Q12" s="86" t="s">
        <v>20</v>
      </c>
      <c r="R12" s="87"/>
      <c r="S12" s="87"/>
      <c r="T12" s="87"/>
      <c r="U12" s="87"/>
      <c r="V12" s="87"/>
      <c r="W12" s="87"/>
      <c r="X12" s="87"/>
      <c r="Y12" s="87"/>
      <c r="Z12" s="87"/>
    </row>
    <row r="13" spans="1:33" ht="18.95" thickBot="1">
      <c r="A13" s="9" t="s">
        <v>21</v>
      </c>
      <c r="B13" s="33">
        <v>0.25</v>
      </c>
      <c r="D13" s="103" t="s">
        <v>22</v>
      </c>
      <c r="E13" s="104"/>
      <c r="F13" s="104"/>
      <c r="G13" s="104"/>
      <c r="H13" s="104"/>
      <c r="I13" s="105" t="s">
        <v>23</v>
      </c>
      <c r="J13" s="104"/>
      <c r="K13" s="106"/>
      <c r="Q13" s="86" t="s">
        <v>24</v>
      </c>
      <c r="R13" s="87"/>
      <c r="S13" s="87"/>
      <c r="T13" s="87"/>
      <c r="U13" s="87"/>
      <c r="V13" s="87"/>
      <c r="W13" s="87"/>
      <c r="X13" s="87"/>
      <c r="Y13" s="87"/>
      <c r="Z13" s="87"/>
    </row>
    <row r="14" spans="1:33" ht="15" thickBot="1">
      <c r="D14" s="5" t="s">
        <v>25</v>
      </c>
      <c r="E14" s="6" t="s">
        <v>26</v>
      </c>
      <c r="F14" s="24" t="s">
        <v>27</v>
      </c>
      <c r="G14" s="24" t="s">
        <v>28</v>
      </c>
      <c r="H14" s="25" t="s">
        <v>29</v>
      </c>
      <c r="I14" s="6" t="s">
        <v>30</v>
      </c>
      <c r="J14" s="6" t="s">
        <v>31</v>
      </c>
      <c r="K14" s="7" t="s">
        <v>32</v>
      </c>
      <c r="L14" t="s">
        <v>33</v>
      </c>
      <c r="M14" t="s">
        <v>34</v>
      </c>
      <c r="N14" t="s">
        <v>35</v>
      </c>
      <c r="O14" t="s">
        <v>36</v>
      </c>
      <c r="Q14" s="86" t="s">
        <v>37</v>
      </c>
      <c r="R14" s="87"/>
      <c r="S14" s="87"/>
      <c r="T14" s="87"/>
      <c r="U14" s="87"/>
      <c r="V14" s="87"/>
      <c r="W14" s="87"/>
      <c r="X14" s="87"/>
      <c r="Y14" s="87"/>
      <c r="Z14" s="87"/>
    </row>
    <row r="15" spans="1:33" ht="17.100000000000001" customHeight="1">
      <c r="C15" s="2" t="s">
        <v>38</v>
      </c>
      <c r="D15" s="15">
        <v>0</v>
      </c>
      <c r="E15" s="34" t="s">
        <v>39</v>
      </c>
      <c r="F15" s="35" t="s">
        <v>40</v>
      </c>
      <c r="G15" s="35" t="s">
        <v>41</v>
      </c>
      <c r="H15" s="36" t="s">
        <v>42</v>
      </c>
      <c r="I15" s="35" t="s">
        <v>43</v>
      </c>
      <c r="J15" s="35"/>
      <c r="K15" s="36"/>
      <c r="L15" s="3">
        <f>Start_date+Start_time</f>
        <v>45864.25</v>
      </c>
      <c r="M15" s="3">
        <f>L15+"1:00"</f>
        <v>45864.291666666664</v>
      </c>
      <c r="N15" s="4">
        <f ca="1">IF(ISBLANK(Distance),"",Open Control_1)</f>
        <v>45864.25</v>
      </c>
      <c r="O15" s="4">
        <f ca="1">IF(ISBLANK(Distance),"",Close Control_1)</f>
        <v>45864.291666666664</v>
      </c>
      <c r="Q15" s="86" t="s">
        <v>44</v>
      </c>
      <c r="R15" s="87"/>
      <c r="S15" s="87"/>
      <c r="T15" s="87"/>
      <c r="U15" s="87"/>
      <c r="V15" s="87"/>
      <c r="W15" s="87"/>
      <c r="X15" s="87"/>
      <c r="Y15" s="87"/>
      <c r="Z15" s="87"/>
    </row>
    <row r="16" spans="1:33" ht="17.100000000000001" customHeight="1">
      <c r="B16" s="38"/>
      <c r="C16" s="2" t="s">
        <v>45</v>
      </c>
      <c r="D16" s="15">
        <v>12.6</v>
      </c>
      <c r="E16" s="34" t="s">
        <v>46</v>
      </c>
      <c r="F16" s="35" t="s">
        <v>47</v>
      </c>
      <c r="G16" s="35" t="s">
        <v>48</v>
      </c>
      <c r="H16" s="36" t="s">
        <v>49</v>
      </c>
      <c r="I16" s="35" t="s">
        <v>50</v>
      </c>
      <c r="J16" s="35"/>
      <c r="K16" s="36"/>
      <c r="L16">
        <f>IF(ISBLANK(Distance),"",IF(Distance&gt;1000,(Distance-1000)/26+33.0847,(IF(Distance&gt;600,(Distance-600)/28+18.799,(IF(Distance&gt;400,(Distance-400)/30+12.1324,(IF(Distance&gt;200,(Distance-200)/32+5.8824,Distance/34))))))))</f>
        <v>0.37058823529411766</v>
      </c>
      <c r="M16">
        <f>IF(ISBLANK(Distance),"",IF(Distance&gt;=brevet,D16200IF(brevet&gt;1200,(brevet-1200)*75/1000+90,Max_time),IF(Distance&gt;1200,(Distance-1200)*75/1000+90,IF(Distance&gt;1000,(Distance-1000)/(1000/75)+75,IF(Distance&gt;600,(Distance-600)/(400/35)+40,IF(Distance&lt;=60,(Distance/20+1),Distance/15))))))</f>
        <v>1.63</v>
      </c>
      <c r="N16" s="4">
        <f ca="1">IF(ISBLANK(Distance),"",Open_time Control_1+(INT(Open)&amp;":"&amp;IF(ROUND(((Open-INT(Open))*60),0)&lt;10,0,"")&amp;ROUND(((Open-INT(Open))*60),0)))</f>
        <v>45864.265277777777</v>
      </c>
      <c r="O16" s="4">
        <f ca="1">IF(ISBLANK(Distance),"",Open_time Control_1+(INT(Close)&amp;":"&amp;IF(ROUND(((Close-INT(Close))*60),0)&lt;10,0,"")&amp;ROUND(((Close-INT(Close))*60),0)))</f>
        <v>45864.318055555559</v>
      </c>
      <c r="Q16" s="86" t="s">
        <v>51</v>
      </c>
      <c r="R16" s="87"/>
      <c r="S16" s="87"/>
      <c r="T16" s="87"/>
      <c r="U16" s="87"/>
      <c r="V16" s="87"/>
      <c r="W16" s="87"/>
      <c r="X16" s="87"/>
      <c r="Y16" s="87"/>
      <c r="Z16" s="87"/>
    </row>
    <row r="17" spans="2:26" ht="17.100000000000001" customHeight="1">
      <c r="B17" s="38"/>
      <c r="C17" s="2" t="s">
        <v>52</v>
      </c>
      <c r="D17" s="15">
        <v>48.7</v>
      </c>
      <c r="E17" s="34" t="s">
        <v>53</v>
      </c>
      <c r="F17" s="35"/>
      <c r="G17" s="35" t="s">
        <v>54</v>
      </c>
      <c r="H17" s="36"/>
      <c r="I17" s="35" t="s">
        <v>55</v>
      </c>
      <c r="J17" s="35"/>
      <c r="K17" s="36"/>
      <c r="L17">
        <f>IF(ISBLANK(Distance),"",IF(Distance&gt;1000,(Distance-1000)/26+33.0847,(IF(Distance&gt;600,(Distance-600)/28+18.799,(IF(Distance&gt;400,(Distance-400)/30+12.1324,(IF(Distance&gt;200,(Distance-200)/32+5.8824,Distance/34))))))))</f>
        <v>1.4323529411764706</v>
      </c>
      <c r="M17">
        <f t="shared" ref="M17:M24" si="0">IF(ISBLANK(Distance),"",IF(Distance&gt;=brevet,IF(brevet&gt;1200,(brevet-1200)*75/1000+90,Max_time),IF(Distance&gt;1200,(Distance-1200)*75/1000+90,IF(Distance&gt;1000,(Distance-1000)/(1000/75)+75,IF(Distance&gt;600,(Distance-600)/(400/35)+40,IF(Distance&lt;=60,(Distance/20+1),Distance/15))))))</f>
        <v>3.4350000000000001</v>
      </c>
      <c r="N17" s="4">
        <f ca="1">IF(ISBLANK(Distance),"",Open_time Control_1+(INT(Open)&amp;":"&amp;IF(ROUND(((Open-INT(Open))*60),0)&lt;10,0,"")&amp;ROUND(((Open-INT(Open))*60),0)))</f>
        <v>45864.30972222222</v>
      </c>
      <c r="O17" s="4">
        <f ca="1">IF(ISBLANK(Distance),"",Open_time Control_1+(INT(Close)&amp;":"&amp;IF(ROUND(((Close-INT(Close))*60),0)&lt;10,0,"")&amp;ROUND(((Close-INT(Close))*60),0)))</f>
        <v>45864.393055555556</v>
      </c>
      <c r="Q17" s="86" t="s">
        <v>56</v>
      </c>
      <c r="R17" s="87"/>
      <c r="S17" s="87"/>
      <c r="T17" s="87"/>
      <c r="U17" s="87"/>
      <c r="V17" s="87"/>
      <c r="W17" s="87"/>
      <c r="X17" s="87"/>
      <c r="Y17" s="87"/>
      <c r="Z17" s="87"/>
    </row>
    <row r="18" spans="2:26" ht="17.100000000000001" customHeight="1">
      <c r="B18" s="38"/>
      <c r="C18" s="2" t="s">
        <v>57</v>
      </c>
      <c r="D18" s="15">
        <v>76.7</v>
      </c>
      <c r="E18" s="34" t="s">
        <v>58</v>
      </c>
      <c r="F18" s="35" t="s">
        <v>59</v>
      </c>
      <c r="G18" s="35"/>
      <c r="H18" s="36" t="s">
        <v>60</v>
      </c>
      <c r="I18" s="35" t="s">
        <v>55</v>
      </c>
      <c r="J18" s="35"/>
      <c r="K18" s="36"/>
      <c r="L18">
        <f t="shared" ref="L18:L24" si="1">IF(ISBLANK(Distance),"",IF(Distance&gt;1000,(Distance-1000)/26+33.0847,(IF(Distance&gt;600,(Distance-600)/28+18.799,(IF(Distance&gt;400,(Distance-400)/30+12.1324,(IF(Distance&gt;200,(Distance-200)/32+5.8824,Distance/34))))))))</f>
        <v>2.2558823529411764</v>
      </c>
      <c r="M18">
        <f t="shared" si="0"/>
        <v>5.1133333333333333</v>
      </c>
      <c r="N18" s="4">
        <f ca="1">IF(ISBLANK(Distance),"",Open_time Control_1+(INT(Open)&amp;":"&amp;IF(ROUND(((Open-INT(Open))*60),0)&lt;10,0,"")&amp;ROUND(((Open-INT(Open))*60),0)))</f>
        <v>45864.34375</v>
      </c>
      <c r="O18" s="4">
        <f ca="1">IF(ISBLANK(Distance),"",Open_time Control_1+(INT(Close)&amp;":"&amp;IF(ROUND(((Close-INT(Close))*60),0)&lt;10,0,"")&amp;ROUND(((Close-INT(Close))*60),0)))</f>
        <v>45864.463194444441</v>
      </c>
    </row>
    <row r="19" spans="2:26" ht="17.100000000000001" customHeight="1">
      <c r="B19" s="38"/>
      <c r="C19" s="2" t="s">
        <v>61</v>
      </c>
      <c r="D19" s="15">
        <v>107.8</v>
      </c>
      <c r="E19" s="34" t="s">
        <v>62</v>
      </c>
      <c r="F19" s="35" t="s">
        <v>63</v>
      </c>
      <c r="G19" s="35" t="s">
        <v>64</v>
      </c>
      <c r="H19" s="36" t="s">
        <v>65</v>
      </c>
      <c r="I19" s="35" t="s">
        <v>55</v>
      </c>
      <c r="J19" s="35"/>
      <c r="K19" s="36"/>
      <c r="L19">
        <f t="shared" si="1"/>
        <v>3.1705882352941175</v>
      </c>
      <c r="M19">
        <f t="shared" si="0"/>
        <v>7.1866666666666665</v>
      </c>
      <c r="N19" s="4">
        <f ca="1">IF(ISBLANK(Distance),"",Open_time Control_1+(INT(Open)&amp;":"&amp;IF(ROUND(((Open-INT(Open))*60),0)&lt;10,0,"")&amp;ROUND(((Open-INT(Open))*60),0)))</f>
        <v>45864.381944444445</v>
      </c>
      <c r="O19" s="4">
        <f ca="1">IF(ISBLANK(Distance),"",Open_time Control_1+(INT(Close)&amp;":"&amp;IF(ROUND(((Close-INT(Close))*60),0)&lt;10,0,"")&amp;ROUND(((Close-INT(Close))*60),0)))</f>
        <v>45864.549305555556</v>
      </c>
      <c r="Q19" s="40"/>
    </row>
    <row r="20" spans="2:26" ht="17.100000000000001" customHeight="1">
      <c r="B20" s="38"/>
      <c r="C20" s="2" t="s">
        <v>66</v>
      </c>
      <c r="D20" s="15">
        <v>180.6</v>
      </c>
      <c r="E20" s="34" t="s">
        <v>67</v>
      </c>
      <c r="F20" s="35" t="s">
        <v>68</v>
      </c>
      <c r="G20" s="35" t="s">
        <v>69</v>
      </c>
      <c r="H20" s="36" t="s">
        <v>70</v>
      </c>
      <c r="I20" s="35" t="s">
        <v>55</v>
      </c>
      <c r="J20" s="35"/>
      <c r="K20" s="36"/>
      <c r="L20">
        <f t="shared" si="1"/>
        <v>5.3117647058823527</v>
      </c>
      <c r="M20">
        <f t="shared" si="0"/>
        <v>12.04</v>
      </c>
      <c r="N20" s="4">
        <f ca="1">IF(ISBLANK(Distance),"",Open_time Control_1+(INT(Open)&amp;":"&amp;IF(ROUND(((Open-INT(Open))*60),0)&lt;10,0,"")&amp;ROUND(((Open-INT(Open))*60),0)))</f>
        <v>45864.47152777778</v>
      </c>
      <c r="O20" s="4">
        <f ca="1">IF(ISBLANK(Distance),"",Open_time Control_1+(INT(Close)&amp;":"&amp;IF(ROUND(((Close-INT(Close))*60),0)&lt;10,0,"")&amp;ROUND(((Close-INT(Close))*60),0)))</f>
        <v>45864.751388888886</v>
      </c>
    </row>
    <row r="21" spans="2:26" ht="17.100000000000001" customHeight="1">
      <c r="B21" s="38"/>
      <c r="C21" s="2" t="s">
        <v>71</v>
      </c>
      <c r="D21" s="15">
        <v>260.3</v>
      </c>
      <c r="E21" s="34" t="s">
        <v>72</v>
      </c>
      <c r="F21" s="35" t="s">
        <v>73</v>
      </c>
      <c r="G21" s="35" t="s">
        <v>74</v>
      </c>
      <c r="H21" s="36" t="s">
        <v>75</v>
      </c>
      <c r="I21" s="35" t="s">
        <v>76</v>
      </c>
      <c r="J21" s="35"/>
      <c r="K21" s="36"/>
      <c r="L21">
        <f t="shared" si="1"/>
        <v>7.766775</v>
      </c>
      <c r="M21">
        <f t="shared" si="0"/>
        <v>17.353333333333335</v>
      </c>
      <c r="N21" s="4">
        <f ca="1">IF(ISBLANK(Distance),"",Open_time Control_1+(INT(Open)&amp;":"&amp;IF(ROUND(((Open-INT(Open))*60),0)&lt;10,0,"")&amp;ROUND(((Open-INT(Open))*60),0)))</f>
        <v>45864.573611111111</v>
      </c>
      <c r="O21" s="4">
        <f ca="1">IF(ISBLANK(Distance),"",Open_time Control_1+(INT(Close)&amp;":"&amp;IF(ROUND(((Close-INT(Close))*60),0)&lt;10,0,"")&amp;ROUND(((Close-INT(Close))*60),0)))</f>
        <v>45864.972916666666</v>
      </c>
    </row>
    <row r="22" spans="2:26" ht="17.100000000000001" customHeight="1">
      <c r="B22" s="38"/>
      <c r="C22" s="2" t="s">
        <v>77</v>
      </c>
      <c r="D22" s="15">
        <v>305.89999999999998</v>
      </c>
      <c r="E22" s="34" t="s">
        <v>78</v>
      </c>
      <c r="F22" s="35" t="s">
        <v>79</v>
      </c>
      <c r="G22" s="35" t="s">
        <v>80</v>
      </c>
      <c r="H22" s="36" t="s">
        <v>81</v>
      </c>
      <c r="I22" s="35" t="s">
        <v>82</v>
      </c>
      <c r="J22" s="35"/>
      <c r="K22" s="36"/>
      <c r="L22">
        <f t="shared" si="1"/>
        <v>9.1917749999999998</v>
      </c>
      <c r="M22">
        <f t="shared" si="0"/>
        <v>20.393333333333331</v>
      </c>
      <c r="N22" s="4">
        <f ca="1">IF(ISBLANK(Distance),"",Open_time Control_1+(INT(Open)&amp;":"&amp;IF(ROUND(((Open-INT(Open))*60),0)&lt;10,0,"")&amp;ROUND(((Open-INT(Open))*60),0)))</f>
        <v>45864.633333333331</v>
      </c>
      <c r="O22" s="4">
        <f ca="1">IF(ISBLANK(Distance),"",Open_time Control_1+(INT(Close)&amp;":"&amp;IF(ROUND(((Close-INT(Close))*60),0)&lt;10,0,"")&amp;ROUND(((Close-INT(Close))*60),0)))</f>
        <v>45865.1</v>
      </c>
    </row>
    <row r="23" spans="2:26" ht="17.100000000000001" customHeight="1">
      <c r="B23" s="38"/>
      <c r="C23" s="2" t="s">
        <v>83</v>
      </c>
      <c r="D23" s="15">
        <v>361.1</v>
      </c>
      <c r="E23" s="34" t="s">
        <v>84</v>
      </c>
      <c r="F23" s="35" t="s">
        <v>85</v>
      </c>
      <c r="G23" s="35" t="s">
        <v>86</v>
      </c>
      <c r="H23" s="36" t="s">
        <v>87</v>
      </c>
      <c r="I23" s="35" t="s">
        <v>88</v>
      </c>
      <c r="J23" s="35"/>
      <c r="K23" s="36"/>
      <c r="L23">
        <f t="shared" si="1"/>
        <v>10.916775000000001</v>
      </c>
      <c r="M23">
        <f t="shared" si="0"/>
        <v>24.073333333333334</v>
      </c>
      <c r="N23" s="4">
        <f ca="1">IF(ISBLANK(Distance),"",Open_time Control_1+(INT(Open)&amp;":"&amp;IF(ROUND(((Open-INT(Open))*60),0)&lt;10,0,"")&amp;ROUND(((Open-INT(Open))*60),0)))</f>
        <v>45864.704861111109</v>
      </c>
      <c r="O23" s="4">
        <f ca="1">IF(ISBLANK(Distance),"",Open_time Control_1+(INT(Close)&amp;":"&amp;IF(ROUND(((Close-INT(Close))*60),0)&lt;10,0,"")&amp;ROUND(((Close-INT(Close))*60),0)))</f>
        <v>45865.25277777778</v>
      </c>
    </row>
    <row r="24" spans="2:26" ht="17.100000000000001" customHeight="1" thickBot="1">
      <c r="B24" s="38"/>
      <c r="C24" s="2" t="s">
        <v>89</v>
      </c>
      <c r="D24" s="20">
        <v>400</v>
      </c>
      <c r="E24" s="37" t="s">
        <v>39</v>
      </c>
      <c r="F24" s="35" t="s">
        <v>42</v>
      </c>
      <c r="G24" s="35" t="s">
        <v>90</v>
      </c>
      <c r="H24" s="36" t="s">
        <v>91</v>
      </c>
      <c r="I24" s="35" t="s">
        <v>92</v>
      </c>
      <c r="J24" s="35"/>
      <c r="K24" s="36"/>
      <c r="L24">
        <f t="shared" si="1"/>
        <v>12.132400000000001</v>
      </c>
      <c r="M24">
        <f t="shared" si="0"/>
        <v>27</v>
      </c>
      <c r="N24" s="4">
        <f ca="1">IF(ISBLANK(Distance),"",Open_time Control_1+(INT(Open)&amp;":"&amp;IF(ROUND(((Open-INT(Open))*60),0)&lt;10,0,"")&amp;ROUND(((Open-INT(Open))*60),0)))</f>
        <v>45864.755555555559</v>
      </c>
      <c r="O24" s="4">
        <f ca="1">IF(ISBLANK(Distance),"",Open_time Control_1+(INT(Close)&amp;":"&amp;IF(ROUND(((Close-INT(Close))*60),0)&lt;10,0,"")&amp;ROUND(((Close-INT(Close))*60),0)))</f>
        <v>45865.375</v>
      </c>
    </row>
    <row r="25" spans="2:26" ht="6.95" customHeight="1" thickBot="1">
      <c r="D25" s="26"/>
      <c r="E25" s="27"/>
      <c r="F25" s="28"/>
      <c r="G25" s="28"/>
      <c r="H25" s="28"/>
      <c r="I25" s="28"/>
      <c r="J25" s="28"/>
      <c r="K25" s="29"/>
      <c r="N25" s="4"/>
      <c r="O25" s="4"/>
    </row>
    <row r="26" spans="2:26" ht="14.1" thickBot="1">
      <c r="D26" s="103" t="s">
        <v>93</v>
      </c>
      <c r="E26" s="104"/>
      <c r="F26" s="104"/>
      <c r="G26" s="104"/>
      <c r="H26" s="104"/>
      <c r="I26" s="105" t="s">
        <v>94</v>
      </c>
      <c r="J26" s="104"/>
      <c r="K26" s="106"/>
    </row>
    <row r="27" spans="2:26" ht="14.1" thickBot="1">
      <c r="D27" s="5" t="s">
        <v>25</v>
      </c>
      <c r="E27" s="6" t="s">
        <v>26</v>
      </c>
      <c r="F27" s="24" t="s">
        <v>27</v>
      </c>
      <c r="G27" s="24" t="s">
        <v>28</v>
      </c>
      <c r="H27" s="25" t="s">
        <v>29</v>
      </c>
      <c r="I27" s="6" t="s">
        <v>30</v>
      </c>
      <c r="J27" s="6" t="s">
        <v>31</v>
      </c>
      <c r="K27" s="7" t="s">
        <v>32</v>
      </c>
      <c r="L27" t="s">
        <v>33</v>
      </c>
      <c r="M27" t="s">
        <v>34</v>
      </c>
      <c r="N27" t="s">
        <v>35</v>
      </c>
      <c r="O27" t="s">
        <v>36</v>
      </c>
    </row>
    <row r="28" spans="2:26" ht="17.100000000000001" customHeight="1">
      <c r="D28" s="15"/>
      <c r="E28" s="34"/>
      <c r="F28" s="35"/>
      <c r="G28" s="35"/>
      <c r="H28" s="36"/>
      <c r="I28" s="35"/>
      <c r="J28" s="35"/>
      <c r="K28" s="36"/>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100000000000001" customHeight="1">
      <c r="D29" s="15"/>
      <c r="E29" s="34"/>
      <c r="F29" s="35"/>
      <c r="G29" s="35"/>
      <c r="H29" s="36"/>
      <c r="I29" s="35"/>
      <c r="J29" s="35"/>
      <c r="K29" s="36"/>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100000000000001" customHeight="1">
      <c r="D30" s="15"/>
      <c r="E30" s="34"/>
      <c r="F30" s="35"/>
      <c r="G30" s="35"/>
      <c r="H30" s="36"/>
      <c r="I30" s="35"/>
      <c r="J30" s="35"/>
      <c r="K30" s="36"/>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100000000000001" customHeight="1">
      <c r="D31" s="15"/>
      <c r="E31" s="34"/>
      <c r="F31" s="35"/>
      <c r="G31" s="35"/>
      <c r="H31" s="36"/>
      <c r="I31" s="35"/>
      <c r="J31" s="35"/>
      <c r="K31" s="36"/>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100000000000001" customHeight="1">
      <c r="D32" s="15"/>
      <c r="E32" s="34"/>
      <c r="F32" s="35"/>
      <c r="G32" s="35"/>
      <c r="H32" s="36"/>
      <c r="I32" s="35"/>
      <c r="J32" s="35"/>
      <c r="K32" s="36"/>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100000000000001" customHeight="1">
      <c r="D33" s="15"/>
      <c r="E33" s="34"/>
      <c r="F33" s="35"/>
      <c r="G33" s="35"/>
      <c r="H33" s="36"/>
      <c r="I33" s="35"/>
      <c r="J33" s="35"/>
      <c r="K33" s="36"/>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100000000000001" customHeight="1">
      <c r="D34" s="15"/>
      <c r="E34" s="34"/>
      <c r="F34" s="35"/>
      <c r="G34" s="35"/>
      <c r="H34" s="36"/>
      <c r="I34" s="35"/>
      <c r="J34" s="35"/>
      <c r="K34" s="36"/>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100000000000001" customHeight="1">
      <c r="D35" s="15"/>
      <c r="E35" s="34"/>
      <c r="F35" s="35"/>
      <c r="G35" s="35"/>
      <c r="H35" s="36"/>
      <c r="I35" s="35"/>
      <c r="J35" s="35"/>
      <c r="K35" s="36"/>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100000000000001" customHeight="1">
      <c r="D36" s="15"/>
      <c r="E36" s="34"/>
      <c r="F36" s="35"/>
      <c r="G36" s="35"/>
      <c r="H36" s="36"/>
      <c r="I36" s="35"/>
      <c r="J36" s="35"/>
      <c r="K36" s="36"/>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100000000000001" customHeight="1" thickBot="1">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topLeftCell="A34" zoomScale="115" zoomScaleNormal="115" zoomScalePageLayoutView="75" workbookViewId="0">
      <selection activeCell="F43" sqref="F43"/>
    </sheetView>
  </sheetViews>
  <sheetFormatPr defaultColWidth="8.85546875" defaultRowHeight="12.95"/>
  <cols>
    <col min="1" max="1" width="1.85546875" customWidth="1"/>
    <col min="2" max="2" width="12.85546875" customWidth="1"/>
    <col min="3" max="4" width="15.85546875" customWidth="1"/>
    <col min="5" max="5" width="25.85546875" customWidth="1"/>
    <col min="6" max="6" width="40.85546875" customWidth="1"/>
    <col min="7" max="7" width="12.85546875" customWidth="1"/>
    <col min="8" max="8" width="25.85546875" customWidth="1"/>
    <col min="9" max="9" width="30.85546875" customWidth="1"/>
    <col min="10" max="10" width="25.85546875" customWidth="1"/>
    <col min="11" max="11" width="1.85546875" customWidth="1"/>
    <col min="12" max="12" width="8.85546875" customWidth="1"/>
  </cols>
  <sheetData>
    <row r="1" spans="2:15">
      <c r="K1" s="75"/>
      <c r="L1" s="75"/>
      <c r="M1" s="75"/>
    </row>
    <row r="2" spans="2:15" ht="18">
      <c r="C2" s="130" t="s">
        <v>95</v>
      </c>
      <c r="D2" s="130"/>
      <c r="E2" s="130"/>
      <c r="F2" s="130"/>
      <c r="G2" s="55"/>
      <c r="H2" s="55"/>
      <c r="I2" s="78" t="s">
        <v>96</v>
      </c>
      <c r="J2" s="79">
        <f>'Control Entry'!B4</f>
        <v>45818</v>
      </c>
      <c r="K2" s="55"/>
      <c r="L2" s="55"/>
    </row>
    <row r="3" spans="2:15" ht="45" customHeight="1">
      <c r="D3" s="12"/>
      <c r="E3" s="139" t="s">
        <v>97</v>
      </c>
      <c r="F3" s="139"/>
      <c r="G3" s="139"/>
      <c r="H3" s="139"/>
      <c r="I3" s="66" t="s">
        <v>98</v>
      </c>
      <c r="J3" s="71">
        <f>IF(ISBLANK(Brevet_Number),"",Brevet_Number)</f>
        <v>5552</v>
      </c>
      <c r="K3" s="39"/>
      <c r="L3" s="39"/>
    </row>
    <row r="4" spans="2:15" ht="20.100000000000001" customHeight="1">
      <c r="C4" s="12"/>
      <c r="E4" s="140" t="str">
        <f>IF(ISBLANK(Brevet_Length),"",Brevet_Length&amp;" km Randonnée")</f>
        <v>400 km Randonnée</v>
      </c>
      <c r="F4" s="140"/>
      <c r="G4" s="140"/>
      <c r="H4" s="140"/>
      <c r="K4" s="51"/>
      <c r="L4" s="51"/>
    </row>
    <row r="5" spans="2:15" ht="20.100000000000001" customHeight="1">
      <c r="D5" s="52"/>
      <c r="E5" s="138" t="str">
        <f>IF(ISBLANK(Brevet_Description),"",Brevet_Description)</f>
        <v>LM Summer 400: Elfmerentocht</v>
      </c>
      <c r="F5" s="138"/>
      <c r="G5" s="138"/>
      <c r="H5" s="138"/>
      <c r="I5" s="74"/>
      <c r="J5" s="52"/>
      <c r="K5" s="52"/>
      <c r="L5" s="52"/>
    </row>
    <row r="6" spans="2:15" ht="20.100000000000001">
      <c r="D6" s="67"/>
      <c r="E6" s="138"/>
      <c r="F6" s="138"/>
      <c r="G6" s="138"/>
      <c r="H6" s="138"/>
      <c r="I6" s="74"/>
      <c r="J6" s="67"/>
      <c r="K6" s="52"/>
      <c r="L6" s="52"/>
    </row>
    <row r="7" spans="2:15" ht="24.95" customHeight="1">
      <c r="C7" s="134"/>
      <c r="D7" s="134"/>
      <c r="E7" s="134"/>
      <c r="F7" s="134"/>
      <c r="H7" s="136"/>
    </row>
    <row r="8" spans="2:15" ht="21" thickBot="1">
      <c r="B8" s="17" t="s">
        <v>99</v>
      </c>
      <c r="C8" s="135"/>
      <c r="D8" s="135"/>
      <c r="E8" s="135"/>
      <c r="F8" s="135"/>
      <c r="G8" s="17" t="s">
        <v>100</v>
      </c>
      <c r="H8" s="137"/>
      <c r="I8" s="53"/>
      <c r="J8" s="53"/>
      <c r="K8" s="53"/>
    </row>
    <row r="9" spans="2:15" ht="21.95" customHeight="1">
      <c r="B9" s="58"/>
      <c r="C9" s="58"/>
      <c r="D9" s="58"/>
      <c r="E9" s="58"/>
      <c r="F9" s="54"/>
      <c r="G9" s="60"/>
      <c r="H9" s="60"/>
      <c r="I9" s="60"/>
      <c r="J9" s="54"/>
    </row>
    <row r="10" spans="2:15" ht="20.100000000000001" customHeight="1">
      <c r="B10" s="132" t="s">
        <v>101</v>
      </c>
      <c r="C10" s="132"/>
      <c r="D10" s="64" t="s">
        <v>102</v>
      </c>
      <c r="E10" s="133" t="s">
        <v>103</v>
      </c>
      <c r="F10" s="133"/>
      <c r="G10" s="133"/>
      <c r="H10" s="70"/>
      <c r="I10" s="59"/>
      <c r="J10" s="59"/>
      <c r="K10" s="19"/>
      <c r="L10" s="111"/>
      <c r="M10" s="111"/>
      <c r="N10" s="111"/>
      <c r="O10" s="111"/>
    </row>
    <row r="11" spans="2:15" ht="23.1">
      <c r="B11" s="58"/>
      <c r="C11" s="58" t="s">
        <v>104</v>
      </c>
      <c r="D11" s="58"/>
      <c r="E11" s="58"/>
      <c r="F11" s="54"/>
      <c r="G11" s="60"/>
      <c r="H11" s="60"/>
      <c r="I11" s="60"/>
      <c r="J11" s="54"/>
    </row>
    <row r="12" spans="2:15" ht="21.95" thickBot="1">
      <c r="D12" s="127" t="s">
        <v>19</v>
      </c>
      <c r="E12" s="127"/>
      <c r="F12" s="69">
        <f>IF(ISBLANK('Control Entry'!B12),"",'Control Entry'!B12)</f>
        <v>45864</v>
      </c>
      <c r="G12" s="73"/>
      <c r="H12" s="17" t="s">
        <v>105</v>
      </c>
      <c r="I12" s="68">
        <f>IF(ISBLANK('Control Entry'!B13),"",'Control Entry'!B13)</f>
        <v>0.25</v>
      </c>
      <c r="J12" s="23"/>
    </row>
    <row r="13" spans="2:15" ht="20.100000000000001">
      <c r="D13" s="22"/>
      <c r="E13" s="22"/>
      <c r="F13" s="21"/>
      <c r="G13" s="21"/>
      <c r="H13" s="21"/>
      <c r="L13" s="23"/>
      <c r="M13" s="23"/>
      <c r="N13" s="23"/>
    </row>
    <row r="14" spans="2:15" ht="21" thickBot="1">
      <c r="D14" s="127" t="s">
        <v>106</v>
      </c>
      <c r="E14" s="127"/>
      <c r="F14" s="69"/>
      <c r="G14" s="73"/>
      <c r="H14" s="17" t="s">
        <v>107</v>
      </c>
      <c r="I14" s="68"/>
      <c r="J14" s="23"/>
      <c r="L14" s="45"/>
      <c r="M14" s="45"/>
      <c r="N14" s="45"/>
    </row>
    <row r="15" spans="2:15" ht="20.100000000000001">
      <c r="B15" s="22"/>
      <c r="C15" s="22"/>
      <c r="D15" s="21"/>
      <c r="E15" s="21"/>
      <c r="H15" s="21"/>
    </row>
    <row r="16" spans="2:15" ht="21" thickBot="1">
      <c r="C16" s="65"/>
      <c r="D16" s="65"/>
      <c r="E16" s="65"/>
      <c r="F16" s="65"/>
      <c r="H16" s="17" t="s">
        <v>108</v>
      </c>
      <c r="I16" s="68"/>
      <c r="J16" s="23"/>
      <c r="L16" s="45"/>
      <c r="M16" s="45"/>
      <c r="N16" s="45"/>
    </row>
    <row r="17" spans="2:15" ht="20.100000000000001">
      <c r="C17" s="128" t="s">
        <v>109</v>
      </c>
      <c r="D17" s="128"/>
      <c r="E17" s="128"/>
      <c r="F17" s="128"/>
      <c r="G17" s="19"/>
      <c r="H17" s="19"/>
      <c r="I17" s="129"/>
      <c r="J17" s="129"/>
      <c r="K17" s="19"/>
      <c r="L17" s="111"/>
      <c r="M17" s="111"/>
      <c r="N17" s="111"/>
      <c r="O17" s="111"/>
    </row>
    <row r="18" spans="2:15" ht="6" customHeight="1" thickBot="1">
      <c r="B18" s="61"/>
      <c r="C18" s="61"/>
      <c r="D18" s="61"/>
      <c r="E18" s="61"/>
      <c r="F18" s="62"/>
      <c r="G18" s="63"/>
      <c r="H18" s="63"/>
      <c r="I18" s="63"/>
      <c r="J18" s="62"/>
    </row>
    <row r="19" spans="2:15" ht="21.95" thickTop="1" thickBot="1">
      <c r="B19" s="131" t="s">
        <v>110</v>
      </c>
      <c r="C19" s="131"/>
      <c r="D19" s="131"/>
      <c r="E19" s="131"/>
      <c r="F19" s="131"/>
      <c r="G19" s="131"/>
      <c r="H19" s="131"/>
      <c r="I19" s="131"/>
      <c r="J19" s="131"/>
    </row>
    <row r="20" spans="2:15" ht="20.100000000000001" thickBot="1">
      <c r="B20" s="50" t="s">
        <v>111</v>
      </c>
      <c r="C20" s="8" t="s">
        <v>33</v>
      </c>
      <c r="D20" s="8" t="s">
        <v>34</v>
      </c>
      <c r="E20" s="8" t="s">
        <v>26</v>
      </c>
      <c r="F20" s="8" t="s">
        <v>112</v>
      </c>
      <c r="G20" s="124" t="s">
        <v>113</v>
      </c>
      <c r="H20" s="125"/>
      <c r="I20" s="126"/>
      <c r="J20" s="50" t="s">
        <v>114</v>
      </c>
    </row>
    <row r="21" spans="2:15" ht="39.950000000000003" customHeight="1">
      <c r="B21" s="89"/>
      <c r="C21" s="101">
        <f ca="1">Control_1 Open_time</f>
        <v>45864.25</v>
      </c>
      <c r="D21" s="101">
        <f ca="1">Control_1 Close_time</f>
        <v>45864.291666666664</v>
      </c>
      <c r="E21" s="90"/>
      <c r="F21" s="91" t="str">
        <f ca="1">IF(ISBLANK(Control_1 Establishment_1),"",Control_1 Establishment_1)</f>
        <v>Lakefront trail</v>
      </c>
      <c r="G21" s="114" t="str">
        <f>IF(ISBLANK('Control Entry'!I15),"",'Control Entry'!I15)</f>
        <v>Staffed control</v>
      </c>
      <c r="H21" s="115"/>
      <c r="I21" s="116"/>
      <c r="J21" s="92"/>
    </row>
    <row r="22" spans="2:15" ht="39.950000000000003" customHeight="1">
      <c r="B22" s="93">
        <f ca="1">IF(ISBLANK(Distance Control_1),"",Control_1 Distance)</f>
        <v>0</v>
      </c>
      <c r="C22" s="94">
        <f ca="1">Control_1 Open_time</f>
        <v>45864.25</v>
      </c>
      <c r="D22" s="94">
        <f ca="1">Control_1 Close_time</f>
        <v>45864.291666666664</v>
      </c>
      <c r="E22" s="91" t="str">
        <f ca="1">IF(ISBLANK(Locale Control_1),"",Locale Control_1)</f>
        <v>Lafarge Lake</v>
      </c>
      <c r="F22" s="91" t="str">
        <f ca="1">IF(ISBLANK(Control_1 Establishment_2),"",Control_1 Establishment_2)</f>
        <v>near</v>
      </c>
      <c r="G22" s="117" t="str">
        <f>IF(ISBLANK('Control Entry'!J15),"",'Control Entry'!J15)</f>
        <v/>
      </c>
      <c r="H22" s="118"/>
      <c r="I22" s="119"/>
      <c r="J22" s="95"/>
    </row>
    <row r="23" spans="2:15" ht="39.950000000000003" customHeight="1" thickBot="1">
      <c r="B23" s="96"/>
      <c r="C23" s="102">
        <f ca="1">Control_1 Open_time</f>
        <v>45864.25</v>
      </c>
      <c r="D23" s="102">
        <f ca="1">Control_1 Close_time</f>
        <v>45864.291666666664</v>
      </c>
      <c r="E23" s="97"/>
      <c r="F23" s="98" t="str">
        <f ca="1">IF(ISBLANK(Control_1 Establishment_3),"",Control_1 Establishment_3)</f>
        <v>Evergreen Cultural Centre</v>
      </c>
      <c r="G23" s="120" t="str">
        <f>IF(ISBLANK('Control Entry'!K15),"",'Control Entry'!K15)</f>
        <v/>
      </c>
      <c r="H23" s="121"/>
      <c r="I23" s="122"/>
      <c r="J23" s="99"/>
    </row>
    <row r="24" spans="2:15" ht="39.950000000000003" customHeight="1">
      <c r="B24" s="89"/>
      <c r="C24" s="101">
        <f ca="1">Control_2 Open_time</f>
        <v>45864.265277777777</v>
      </c>
      <c r="D24" s="101">
        <f ca="1">Control_2 Close_time</f>
        <v>45864.318055555559</v>
      </c>
      <c r="E24" s="100"/>
      <c r="F24" s="91" t="str">
        <f ca="1">IF(ISBLANK(Control_2 Establishment_1),"",Control_2 Establishment_1)</f>
        <v>Sasamat Outdoor Centre</v>
      </c>
      <c r="G24" s="114" t="str">
        <f>IF(ISBLANK('Control Entry'!I16),"",'Control Entry'!I16)</f>
        <v>Built-in bench is dedicated to whom?</v>
      </c>
      <c r="H24" s="115"/>
      <c r="I24" s="116"/>
      <c r="J24" s="92"/>
    </row>
    <row r="25" spans="2:15" ht="39.950000000000003" customHeight="1">
      <c r="B25" s="93">
        <f ca="1">IF(ISBLANK(Distance Control_2),"",Control_2 Distance)</f>
        <v>12.6</v>
      </c>
      <c r="C25" s="94">
        <f ca="1">Control_2 Open_time</f>
        <v>45864.265277777777</v>
      </c>
      <c r="D25" s="94">
        <f ca="1">Control_2 Close_time</f>
        <v>45864.318055555559</v>
      </c>
      <c r="E25" s="91" t="str">
        <f ca="1">IF(ISBLANK(Locale Control_2),"",Locale Control_2)</f>
        <v>Sasamat Lake</v>
      </c>
      <c r="F25" s="91" t="str">
        <f ca="1">IF(ISBLANK(Control_2 Establishment_2),"",Control_2 Establishment_2)</f>
        <v>Helm Lodge</v>
      </c>
      <c r="G25" s="117" t="str">
        <f>IF(ISBLANK('Control Entry'!J16),"",'Control Entry'!J16)</f>
        <v/>
      </c>
      <c r="H25" s="118"/>
      <c r="I25" s="119"/>
      <c r="J25" s="95"/>
    </row>
    <row r="26" spans="2:15" ht="39.950000000000003" customHeight="1" thickBot="1">
      <c r="B26" s="96"/>
      <c r="C26" s="102">
        <f ca="1">Control_2 Open_time</f>
        <v>45864.265277777777</v>
      </c>
      <c r="D26" s="102">
        <f ca="1">Control_2 Close_time</f>
        <v>45864.318055555559</v>
      </c>
      <c r="E26" s="97"/>
      <c r="F26" s="98" t="str">
        <f ca="1">IF(ISBLANK(Control_2 Establishment_3),"",Control_2 Establishment_3)</f>
        <v>by washrooms</v>
      </c>
      <c r="G26" s="120" t="str">
        <f>IF(ISBLANK('Control Entry'!K16),"",'Control Entry'!K16)</f>
        <v/>
      </c>
      <c r="H26" s="121"/>
      <c r="I26" s="122"/>
      <c r="J26" s="99"/>
    </row>
    <row r="27" spans="2:15" ht="39.950000000000003" customHeight="1">
      <c r="B27" s="89"/>
      <c r="C27" s="101">
        <f ca="1">Control_3 Open_time</f>
        <v>45864.30972222222</v>
      </c>
      <c r="D27" s="101">
        <f ca="1">Control_3 Close_time</f>
        <v>45864.393055555556</v>
      </c>
      <c r="E27" s="100"/>
      <c r="F27" s="91" t="str">
        <f ca="1">IF(ISBLANK(Control_3 Establishment_1),"",Control_3 Establishment_1)</f>
        <v/>
      </c>
      <c r="G27" s="114" t="str">
        <f>IF(ISBLANK('Control Entry'!I17),"",'Control Entry'!I17)</f>
        <v>Witness signature</v>
      </c>
      <c r="H27" s="115"/>
      <c r="I27" s="116"/>
      <c r="J27" s="92"/>
    </row>
    <row r="28" spans="2:15" ht="39.950000000000003" customHeight="1">
      <c r="B28" s="93">
        <f ca="1">IF(ISBLANK(Distance Control_3),"",Control_3 Distance)</f>
        <v>48.7</v>
      </c>
      <c r="C28" s="94">
        <f ca="1">Control_3 Open_time</f>
        <v>45864.30972222222</v>
      </c>
      <c r="D28" s="94">
        <f ca="1">Control_3 Close_time</f>
        <v>45864.393055555556</v>
      </c>
      <c r="E28" s="91" t="str">
        <f ca="1">IF(ISBLANK(Locale Control_3),"",Locale Control_3)</f>
        <v>Pitt Lake</v>
      </c>
      <c r="F28" s="91" t="str">
        <f ca="1">IF(ISBLANK(Control_3 Establishment_2),"",Control_3 Establishment_2)</f>
        <v>Boat launch</v>
      </c>
      <c r="G28" s="117" t="str">
        <f>IF(ISBLANK('Control Entry'!J17),"",'Control Entry'!J17)</f>
        <v/>
      </c>
      <c r="H28" s="118"/>
      <c r="I28" s="119"/>
      <c r="J28" s="95"/>
    </row>
    <row r="29" spans="2:15" ht="39.950000000000003" customHeight="1" thickBot="1">
      <c r="B29" s="96"/>
      <c r="C29" s="102">
        <f ca="1">Control_3 Open_time</f>
        <v>45864.30972222222</v>
      </c>
      <c r="D29" s="102">
        <f ca="1">Control_3 Close_time</f>
        <v>45864.393055555556</v>
      </c>
      <c r="E29" s="97"/>
      <c r="F29" s="98" t="str">
        <f ca="1">IF(ISBLANK(Control_3 Establishment_3),"",Control_3 Establishment_3)</f>
        <v/>
      </c>
      <c r="G29" s="120" t="str">
        <f>IF(ISBLANK('Control Entry'!K17),"",'Control Entry'!K17)</f>
        <v/>
      </c>
      <c r="H29" s="121"/>
      <c r="I29" s="122"/>
      <c r="J29" s="99"/>
    </row>
    <row r="30" spans="2:15" ht="39.950000000000003" customHeight="1">
      <c r="B30" s="89"/>
      <c r="C30" s="101">
        <f ca="1">Control_4 Open_time</f>
        <v>45864.34375</v>
      </c>
      <c r="D30" s="101">
        <f ca="1">Control_4 Close_time</f>
        <v>45864.463194444441</v>
      </c>
      <c r="E30" s="100"/>
      <c r="F30" s="91" t="str">
        <f ca="1">IF(ISBLANK(Control_4 Establishment_1),"",Control_4 Establishment_1)</f>
        <v>South Beach</v>
      </c>
      <c r="G30" s="114" t="str">
        <f>IF(ISBLANK('Control Entry'!I18),"",'Control Entry'!I18)</f>
        <v>Witness signature</v>
      </c>
      <c r="H30" s="115"/>
      <c r="I30" s="116"/>
      <c r="J30" s="92"/>
    </row>
    <row r="31" spans="2:15" ht="39.950000000000003" customHeight="1">
      <c r="B31" s="93">
        <f ca="1">IF(ISBLANK(Distance Control_4),"",Control_4 Distance)</f>
        <v>76.7</v>
      </c>
      <c r="C31" s="94">
        <f ca="1">Control_4 Open_time</f>
        <v>45864.34375</v>
      </c>
      <c r="D31" s="94">
        <f ca="1">Control_4 Close_time</f>
        <v>45864.463194444441</v>
      </c>
      <c r="E31" s="91" t="str">
        <f ca="1">IF(ISBLANK(Locale Control_4),"",Locale Control_4)</f>
        <v>Alouette Lake</v>
      </c>
      <c r="F31" s="91" t="str">
        <f ca="1">IF(ISBLANK(Control_4 Establishment_2),"",Control_4 Establishment_2)</f>
        <v/>
      </c>
      <c r="G31" s="117" t="str">
        <f>IF(ISBLANK('Control Entry'!J18),"",'Control Entry'!J18)</f>
        <v/>
      </c>
      <c r="H31" s="118"/>
      <c r="I31" s="119"/>
      <c r="J31" s="95"/>
    </row>
    <row r="32" spans="2:15" ht="39.950000000000003" customHeight="1" thickBot="1">
      <c r="B32" s="96"/>
      <c r="C32" s="102">
        <f ca="1">Control_4 Open_time</f>
        <v>45864.34375</v>
      </c>
      <c r="D32" s="102">
        <f ca="1">Control_4 Close_time</f>
        <v>45864.463194444441</v>
      </c>
      <c r="E32" s="97"/>
      <c r="F32" s="98" t="str">
        <f ca="1">IF(ISBLANK(Control_4 Establishment_3),"",Control_4 Establishment_3)</f>
        <v>picnic area</v>
      </c>
      <c r="G32" s="120" t="str">
        <f>IF(ISBLANK('Control Entry'!K18),"",'Control Entry'!K18)</f>
        <v/>
      </c>
      <c r="H32" s="121"/>
      <c r="I32" s="122"/>
      <c r="J32" s="99"/>
    </row>
    <row r="33" spans="2:10" ht="39.950000000000003" customHeight="1">
      <c r="B33" s="89"/>
      <c r="C33" s="101">
        <f ca="1">Control_5 Open_time</f>
        <v>45864.381944444445</v>
      </c>
      <c r="D33" s="101">
        <f ca="1">Control_5 Close_time</f>
        <v>45864.549305555556</v>
      </c>
      <c r="E33" s="100"/>
      <c r="F33" s="91" t="str">
        <f ca="1">IF(ISBLANK(Control_5 Establishment_1),"",Control_5 Establishment_1)</f>
        <v>Rolley Lake</v>
      </c>
      <c r="G33" s="114" t="str">
        <f>IF(ISBLANK('Control Entry'!I19),"",'Control Entry'!I19)</f>
        <v>Witness signature</v>
      </c>
      <c r="H33" s="115"/>
      <c r="I33" s="116"/>
      <c r="J33" s="92"/>
    </row>
    <row r="34" spans="2:10" ht="39.950000000000003" customHeight="1">
      <c r="B34" s="93">
        <f ca="1">IF(ISBLANK(Distance Control_5),"",Control_5 Distance)</f>
        <v>107.8</v>
      </c>
      <c r="C34" s="94">
        <f ca="1">Control_5 Open_time</f>
        <v>45864.381944444445</v>
      </c>
      <c r="D34" s="94">
        <f ca="1">Control_5 Close_time</f>
        <v>45864.549305555556</v>
      </c>
      <c r="E34" s="91" t="str">
        <f ca="1">IF(ISBLANK(Locale Control_5),"",Locale Control_5)</f>
        <v>Rolley Lake / Stave Lake</v>
      </c>
      <c r="F34" s="91" t="str">
        <f ca="1">IF(ISBLANK(Control_5 Establishment_2),"",Control_5 Establishment_2)</f>
        <v xml:space="preserve">Provincial Park </v>
      </c>
      <c r="G34" s="117" t="str">
        <f>IF(ISBLANK('Control Entry'!J19),"",'Control Entry'!J19)</f>
        <v/>
      </c>
      <c r="H34" s="118"/>
      <c r="I34" s="119"/>
      <c r="J34" s="95"/>
    </row>
    <row r="35" spans="2:10" ht="39.950000000000003" customHeight="1" thickBot="1">
      <c r="B35" s="96"/>
      <c r="C35" s="102">
        <f ca="1">Control_5 Open_time</f>
        <v>45864.381944444445</v>
      </c>
      <c r="D35" s="102">
        <f ca="1">Control_5 Close_time</f>
        <v>45864.549305555556</v>
      </c>
      <c r="E35" s="97"/>
      <c r="F35" s="98" t="str">
        <f ca="1">IF(ISBLANK(Control_5 Establishment_3),"",Control_5 Establishment_3)</f>
        <v>beach</v>
      </c>
      <c r="G35" s="120" t="str">
        <f>IF(ISBLANK('Control Entry'!K19),"",'Control Entry'!K19)</f>
        <v/>
      </c>
      <c r="H35" s="121"/>
      <c r="I35" s="122"/>
      <c r="J35" s="99"/>
    </row>
    <row r="36" spans="2:10" ht="39.950000000000003" customHeight="1">
      <c r="B36" s="89"/>
      <c r="C36" s="101">
        <f ca="1">Control_6 Open_time</f>
        <v>45864.47152777778</v>
      </c>
      <c r="D36" s="101">
        <f ca="1">Control_6 Close_time</f>
        <v>45864.751388888886</v>
      </c>
      <c r="E36" s="100"/>
      <c r="F36" s="91" t="str">
        <f ca="1">IF(ISBLANK(Control_6 Establishment_1),"",Control_6 Establishment_1)</f>
        <v>Anywhere</v>
      </c>
      <c r="G36" s="114" t="str">
        <f>IF(ISBLANK('Control Entry'!I20),"",'Control Entry'!I20)</f>
        <v>Witness signature</v>
      </c>
      <c r="H36" s="115"/>
      <c r="I36" s="116"/>
      <c r="J36" s="92"/>
    </row>
    <row r="37" spans="2:10" ht="39.950000000000003" customHeight="1">
      <c r="B37" s="93">
        <f ca="1">IF(ISBLANK(Distance Control_6),"",Control_6 Distance)</f>
        <v>180.6</v>
      </c>
      <c r="C37" s="94">
        <f ca="1">Control_6 Open_time</f>
        <v>45864.47152777778</v>
      </c>
      <c r="D37" s="94">
        <f ca="1">Control_6 Close_time</f>
        <v>45864.751388888886</v>
      </c>
      <c r="E37" s="91" t="str">
        <f ca="1">IF(ISBLANK(Locale Control_6),"",Locale Control_6)</f>
        <v>Harrison Lake</v>
      </c>
      <c r="F37" s="91" t="str">
        <f ca="1">IF(ISBLANK(Control_6 Establishment_2),"",Control_6 Establishment_2)</f>
        <v>along</v>
      </c>
      <c r="G37" s="117" t="str">
        <f>IF(ISBLANK('Control Entry'!J20),"",'Control Entry'!J20)</f>
        <v/>
      </c>
      <c r="H37" s="118"/>
      <c r="I37" s="119"/>
      <c r="J37" s="95"/>
    </row>
    <row r="38" spans="2:10" ht="39.950000000000003" customHeight="1" thickBot="1">
      <c r="B38" s="96"/>
      <c r="C38" s="102">
        <f ca="1">Control_6 Open_time</f>
        <v>45864.47152777778</v>
      </c>
      <c r="D38" s="102">
        <f ca="1">Control_6 Close_time</f>
        <v>45864.751388888886</v>
      </c>
      <c r="E38" s="97"/>
      <c r="F38" s="98" t="str">
        <f ca="1">IF(ISBLANK(Control_6 Establishment_3),"",Control_6 Establishment_3)</f>
        <v>Esplanade Ave</v>
      </c>
      <c r="G38" s="120" t="str">
        <f>IF(ISBLANK('Control Entry'!K20),"",'Control Entry'!K20)</f>
        <v/>
      </c>
      <c r="H38" s="121"/>
      <c r="I38" s="122"/>
      <c r="J38" s="99"/>
    </row>
    <row r="39" spans="2:10" ht="39.950000000000003" customHeight="1">
      <c r="B39" s="89"/>
      <c r="C39" s="101">
        <f ca="1">Control_7 Open_time</f>
        <v>45864.573611111111</v>
      </c>
      <c r="D39" s="101">
        <f ca="1">Control_7 Close_time</f>
        <v>45864.972916666666</v>
      </c>
      <c r="E39" s="100"/>
      <c r="F39" s="91" t="str">
        <f ca="1">IF(ISBLANK(Control_7 Establishment_1),"",Control_7 Establishment_1)</f>
        <v>Info board</v>
      </c>
      <c r="G39" s="114" t="str">
        <f>IF(ISBLANK('Control Entry'!I21),"",'Control Entry'!I21)</f>
        <v>Ice cream is sold during what hours?</v>
      </c>
      <c r="H39" s="115"/>
      <c r="I39" s="116"/>
      <c r="J39" s="92"/>
    </row>
    <row r="40" spans="2:10" ht="39.950000000000003" customHeight="1">
      <c r="B40" s="93">
        <f ca="1">IF(ISBLANK(Distance Control_7),"",Control_7 Distance)</f>
        <v>260.3</v>
      </c>
      <c r="C40" s="94">
        <f ca="1">Control_7 Open_time</f>
        <v>45864.573611111111</v>
      </c>
      <c r="D40" s="94">
        <f ca="1">Control_7 Close_time</f>
        <v>45864.972916666666</v>
      </c>
      <c r="E40" s="91" t="str">
        <f ca="1">IF(ISBLANK(Locale Control_7),"",Locale Control_7)</f>
        <v>Chilliwack Lake</v>
      </c>
      <c r="F40" s="91" t="str">
        <f ca="1">IF(ISBLANK(Control_7 Establishment_2),"",Control_7 Establishment_2)</f>
        <v>on beach</v>
      </c>
      <c r="G40" s="117" t="str">
        <f>IF(ISBLANK('Control Entry'!J21),"",'Control Entry'!J21)</f>
        <v/>
      </c>
      <c r="H40" s="118"/>
      <c r="I40" s="119"/>
      <c r="J40" s="95"/>
    </row>
    <row r="41" spans="2:10" ht="39.950000000000003" customHeight="1" thickBot="1">
      <c r="B41" s="96"/>
      <c r="C41" s="102">
        <f ca="1">Control_7 Open_time</f>
        <v>45864.573611111111</v>
      </c>
      <c r="D41" s="102">
        <f ca="1">Control_7 Close_time</f>
        <v>45864.972916666666</v>
      </c>
      <c r="E41" s="97"/>
      <c r="F41" s="98" t="str">
        <f ca="1">IF(ISBLANK(Control_7 Establishment_3),"",Control_7 Establishment_3)</f>
        <v>by boat launch</v>
      </c>
      <c r="G41" s="120" t="str">
        <f>IF(ISBLANK('Control Entry'!K21),"",'Control Entry'!K21)</f>
        <v/>
      </c>
      <c r="H41" s="121"/>
      <c r="I41" s="122"/>
      <c r="J41" s="99"/>
    </row>
    <row r="42" spans="2:10" ht="39.950000000000003" customHeight="1">
      <c r="B42" s="89"/>
      <c r="C42" s="101">
        <f ca="1">Control_8 Open_time</f>
        <v>45864.633333333331</v>
      </c>
      <c r="D42" s="101">
        <f ca="1">Control_8 Close_time</f>
        <v>45865.1</v>
      </c>
      <c r="E42" s="100"/>
      <c r="F42" s="91" t="str">
        <f ca="1">IF(ISBLANK(Control_8 Establishment_1),"",Control_8 Establishment_1)</f>
        <v>Cultus Lake Marina</v>
      </c>
      <c r="G42" s="114" t="str">
        <f>IF(ISBLANK('Control Entry'!I22),"",'Control Entry'!I22)</f>
        <v>Non-emerg. number for impaired boating?</v>
      </c>
      <c r="H42" s="115"/>
      <c r="I42" s="116"/>
      <c r="J42" s="92"/>
    </row>
    <row r="43" spans="2:10" ht="39.950000000000003" customHeight="1">
      <c r="B43" s="93">
        <f ca="1">IF(ISBLANK(Distance Control_8),"",Control_8 Distance)</f>
        <v>305.89999999999998</v>
      </c>
      <c r="C43" s="94">
        <f ca="1">Control_8 Open_time</f>
        <v>45864.633333333331</v>
      </c>
      <c r="D43" s="94">
        <f ca="1">Control_8 Close_time</f>
        <v>45865.1</v>
      </c>
      <c r="E43" s="91" t="str">
        <f ca="1">IF(ISBLANK(Locale Control_8),"",Locale Control_8)</f>
        <v>Cultus Lake</v>
      </c>
      <c r="F43" s="91" t="str">
        <f ca="1">IF(ISBLANK(Control_8 Establishment_2),"",Control_8 Establishment_2)</f>
        <v>boat launch</v>
      </c>
      <c r="G43" s="117" t="str">
        <f>IF(ISBLANK('Control Entry'!J22),"",'Control Entry'!J22)</f>
        <v/>
      </c>
      <c r="H43" s="118"/>
      <c r="I43" s="119"/>
      <c r="J43" s="95"/>
    </row>
    <row r="44" spans="2:10" ht="39.950000000000003" customHeight="1" thickBot="1">
      <c r="B44" s="96"/>
      <c r="C44" s="102">
        <f ca="1">Control_8 Open_time</f>
        <v>45864.633333333331</v>
      </c>
      <c r="D44" s="102">
        <f ca="1">Control_8 Close_time</f>
        <v>45865.1</v>
      </c>
      <c r="E44" s="97"/>
      <c r="F44" s="98" t="str">
        <f ca="1">IF(ISBLANK(Control_8 Establishment_3),"",Control_8 Establishment_3)</f>
        <v>info board</v>
      </c>
      <c r="G44" s="120" t="str">
        <f>IF(ISBLANK('Control Entry'!K22),"",'Control Entry'!K22)</f>
        <v/>
      </c>
      <c r="H44" s="121"/>
      <c r="I44" s="122"/>
      <c r="J44" s="99"/>
    </row>
    <row r="45" spans="2:10" ht="39.950000000000003" customHeight="1">
      <c r="B45" s="89"/>
      <c r="C45" s="101">
        <f ca="1">Control_9 Open_time</f>
        <v>45864.704861111109</v>
      </c>
      <c r="D45" s="101">
        <f ca="1">Control_9 Close_time</f>
        <v>45865.25277777778</v>
      </c>
      <c r="E45" s="100"/>
      <c r="F45" s="91" t="str">
        <f ca="1">IF(ISBLANK(Control_9 Establishment_1),"",Control_9 Establishment_1)</f>
        <v>Hayward St @ Wilson St</v>
      </c>
      <c r="G45" s="114" t="str">
        <f>IF(ISBLANK('Control Entry'!I23),"",'Control Entry'!I23)</f>
        <v>Embossed at base: C??P (what two digits?)</v>
      </c>
      <c r="H45" s="115"/>
      <c r="I45" s="116"/>
      <c r="J45" s="92"/>
    </row>
    <row r="46" spans="2:10" ht="39.950000000000003" customHeight="1">
      <c r="B46" s="93">
        <f ca="1">IF(ISBLANK(Distance Control_9),"",Control_9 Distance)</f>
        <v>361.1</v>
      </c>
      <c r="C46" s="94">
        <f ca="1">Control_9 Open_time</f>
        <v>45864.704861111109</v>
      </c>
      <c r="D46" s="94">
        <f ca="1">Control_9 Close_time</f>
        <v>45865.25277777778</v>
      </c>
      <c r="E46" s="91" t="str">
        <f ca="1">IF(ISBLANK(Locale Control_9),"",Locale Control_9)</f>
        <v>Hayward Lake / Silvermere Lake</v>
      </c>
      <c r="F46" s="91" t="str">
        <f ca="1">IF(ISBLANK(Control_9 Establishment_2),"",Control_9 Establishment_2)</f>
        <v>NE corner</v>
      </c>
      <c r="G46" s="117" t="str">
        <f>IF(ISBLANK('Control Entry'!J23),"",'Control Entry'!J23)</f>
        <v/>
      </c>
      <c r="H46" s="118"/>
      <c r="I46" s="119"/>
      <c r="J46" s="95"/>
    </row>
    <row r="47" spans="2:10" ht="39.950000000000003" customHeight="1" thickBot="1">
      <c r="B47" s="96"/>
      <c r="C47" s="102">
        <f ca="1">Control_9 Open_time</f>
        <v>45864.704861111109</v>
      </c>
      <c r="D47" s="102">
        <f ca="1">Control_9 Close_time</f>
        <v>45865.25277777778</v>
      </c>
      <c r="E47" s="97"/>
      <c r="F47" s="98" t="str">
        <f ca="1">IF(ISBLANK(Control_9 Establishment_3),"",Control_9 Establishment_3)</f>
        <v>Yellow fire hydrant</v>
      </c>
      <c r="G47" s="120" t="str">
        <f>IF(ISBLANK('Control Entry'!K23),"",'Control Entry'!K23)</f>
        <v/>
      </c>
      <c r="H47" s="121"/>
      <c r="I47" s="122"/>
      <c r="J47" s="99"/>
    </row>
    <row r="48" spans="2:10" ht="39.950000000000003" customHeight="1">
      <c r="B48" s="89"/>
      <c r="C48" s="101">
        <f ca="1">Control_10 Open_time</f>
        <v>45864.755555555559</v>
      </c>
      <c r="D48" s="101">
        <f ca="1">Control_10 Close_time</f>
        <v>45865.375</v>
      </c>
      <c r="E48" s="100"/>
      <c r="F48" s="91" t="str">
        <f ca="1">IF(ISBLANK(Control_10 Establishment_1),"",Control_10 Establishment_1)</f>
        <v>Evergreen Cultural Centre</v>
      </c>
      <c r="G48" s="114" t="str">
        <f>IF(ISBLANK('Control Entry'!I24),"",'Control Entry'!I24)</f>
        <v>Press "OK", take selfie showing time display</v>
      </c>
      <c r="H48" s="115"/>
      <c r="I48" s="116"/>
      <c r="J48" s="92"/>
    </row>
    <row r="49" spans="2:11" ht="39.950000000000003" customHeight="1">
      <c r="B49" s="93">
        <f ca="1">IF(ISBLANK(Distance Control_10),"",Control_10 Distance)</f>
        <v>400</v>
      </c>
      <c r="C49" s="94">
        <f ca="1">Control_10 Open_time</f>
        <v>45864.755555555559</v>
      </c>
      <c r="D49" s="94">
        <f ca="1">Control_10 Close_time</f>
        <v>45865.375</v>
      </c>
      <c r="E49" s="91" t="str">
        <f ca="1">IF(ISBLANK(Locale Control_10),"",Locale Control_10)</f>
        <v>Lafarge Lake</v>
      </c>
      <c r="F49" s="91" t="str">
        <f ca="1">IF(ISBLANK(Control_10 Establishment_2),"",Control_10 Establishment_2)</f>
        <v>passenger drop zone</v>
      </c>
      <c r="G49" s="117" t="str">
        <f>IF(ISBLANK('Control Entry'!J24),"",'Control Entry'!J24)</f>
        <v/>
      </c>
      <c r="H49" s="118"/>
      <c r="I49" s="119"/>
      <c r="J49" s="95"/>
    </row>
    <row r="50" spans="2:11" ht="39.950000000000003" customHeight="1" thickBot="1">
      <c r="B50" s="96"/>
      <c r="C50" s="102">
        <f ca="1">Control_10 Open_time</f>
        <v>45864.755555555559</v>
      </c>
      <c r="D50" s="102">
        <f ca="1">Control_10 Close_time</f>
        <v>45865.375</v>
      </c>
      <c r="E50" s="97"/>
      <c r="F50" s="98" t="str">
        <f ca="1">IF(ISBLANK(Control_10 Establishment_3),"",Control_10 Establishment_3)</f>
        <v>parking meter 1288</v>
      </c>
      <c r="G50" s="120" t="str">
        <f>IF(ISBLANK('Control Entry'!K24),"",'Control Entry'!K24)</f>
        <v/>
      </c>
      <c r="H50" s="121"/>
      <c r="I50" s="122"/>
      <c r="J50" s="99"/>
    </row>
    <row r="52" spans="2:11" ht="24" customHeight="1">
      <c r="B52" s="123" t="s">
        <v>115</v>
      </c>
      <c r="C52" s="123"/>
      <c r="D52" s="123"/>
      <c r="E52" s="123"/>
      <c r="F52" s="123"/>
      <c r="I52" s="58" t="s">
        <v>116</v>
      </c>
      <c r="J52" s="81" t="str">
        <f>IF(ISBLANK('Control Entry'!F10),"",'Control Entry'!F10)</f>
        <v>604-721-0309</v>
      </c>
      <c r="K52" s="54"/>
    </row>
    <row r="54" spans="2:11">
      <c r="B54" s="76" t="s">
        <v>117</v>
      </c>
      <c r="C54" s="77">
        <f>'Control Entry'!B3</f>
        <v>45393</v>
      </c>
    </row>
    <row r="55" spans="2:11" ht="23.1">
      <c r="B55" s="58"/>
      <c r="C55" s="58"/>
      <c r="D55" s="58"/>
      <c r="E55" s="58"/>
      <c r="F55" s="54"/>
      <c r="G55" s="60"/>
      <c r="H55" s="60"/>
      <c r="I55" s="60"/>
      <c r="J55" s="54"/>
    </row>
    <row r="56" spans="2:11">
      <c r="E56" s="1"/>
    </row>
    <row r="57" spans="2:11">
      <c r="B57" s="56"/>
      <c r="C57" s="57"/>
      <c r="D57" s="57"/>
      <c r="E57" s="57"/>
      <c r="F57" s="112"/>
      <c r="G57" s="113"/>
      <c r="H57" s="113"/>
      <c r="I57" s="113"/>
      <c r="J57" s="113"/>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zoomScale="115" zoomScaleNormal="115" zoomScalePageLayoutView="75" workbookViewId="0">
      <selection activeCell="C14" sqref="C14"/>
    </sheetView>
  </sheetViews>
  <sheetFormatPr defaultColWidth="8.85546875" defaultRowHeight="12.95"/>
  <cols>
    <col min="1" max="1" width="1.85546875" customWidth="1"/>
    <col min="2" max="2" width="12.85546875" customWidth="1"/>
    <col min="3" max="4" width="15.85546875" customWidth="1"/>
    <col min="5" max="5" width="25.85546875" customWidth="1"/>
    <col min="6" max="6" width="40.85546875" customWidth="1"/>
    <col min="7" max="7" width="12.85546875" customWidth="1"/>
    <col min="8" max="8" width="25.85546875" customWidth="1"/>
    <col min="9" max="9" width="30.85546875" customWidth="1"/>
    <col min="10" max="10" width="25.85546875" customWidth="1"/>
    <col min="11" max="11" width="1.85546875" customWidth="1"/>
    <col min="12" max="12" width="8.85546875" customWidth="1"/>
  </cols>
  <sheetData>
    <row r="1" spans="2:15">
      <c r="K1" s="75"/>
      <c r="L1" s="75"/>
      <c r="M1" s="75"/>
    </row>
    <row r="2" spans="2:15" ht="18">
      <c r="C2" s="130" t="s">
        <v>95</v>
      </c>
      <c r="D2" s="130"/>
      <c r="E2" s="130"/>
      <c r="F2" s="130"/>
      <c r="G2" s="55"/>
      <c r="H2" s="55"/>
      <c r="I2" s="78" t="s">
        <v>96</v>
      </c>
      <c r="J2" s="79">
        <f>'Control Entry'!B4</f>
        <v>45818</v>
      </c>
      <c r="K2" s="55"/>
      <c r="L2" s="55"/>
    </row>
    <row r="3" spans="2:15" ht="45" customHeight="1">
      <c r="D3" s="12"/>
      <c r="E3" s="139" t="s">
        <v>97</v>
      </c>
      <c r="F3" s="139"/>
      <c r="G3" s="139"/>
      <c r="H3" s="139"/>
      <c r="I3" s="66" t="s">
        <v>98</v>
      </c>
      <c r="J3" s="71">
        <f>IF(ISBLANK(Brevet_Number),"",Brevet_Number)</f>
        <v>5552</v>
      </c>
      <c r="K3" s="39"/>
      <c r="L3" s="39"/>
    </row>
    <row r="4" spans="2:15" ht="20.100000000000001" customHeight="1">
      <c r="C4" s="12"/>
      <c r="E4" s="140" t="str">
        <f>IF(ISBLANK(Brevet_Length),"",Brevet_Length&amp;" km Randonnée")</f>
        <v>400 km Randonnée</v>
      </c>
      <c r="F4" s="140"/>
      <c r="G4" s="140"/>
      <c r="H4" s="140"/>
      <c r="K4" s="51"/>
      <c r="L4" s="51"/>
    </row>
    <row r="5" spans="2:15" ht="20.100000000000001" customHeight="1">
      <c r="D5" s="52"/>
      <c r="E5" s="138" t="str">
        <f>IF(ISBLANK(Brevet_Description),"",Brevet_Description)</f>
        <v>LM Summer 400: Elfmerentocht</v>
      </c>
      <c r="F5" s="138"/>
      <c r="G5" s="138"/>
      <c r="H5" s="138"/>
      <c r="I5" s="74"/>
      <c r="J5" s="52"/>
      <c r="K5" s="52"/>
      <c r="L5" s="52"/>
    </row>
    <row r="6" spans="2:15" ht="20.100000000000001">
      <c r="D6" s="67"/>
      <c r="E6" s="138"/>
      <c r="F6" s="138"/>
      <c r="G6" s="138"/>
      <c r="H6" s="138"/>
      <c r="I6" s="74"/>
      <c r="J6" s="67"/>
      <c r="K6" s="52"/>
      <c r="L6" s="52"/>
    </row>
    <row r="7" spans="2:15" ht="24.95" customHeight="1">
      <c r="C7" s="134"/>
      <c r="D7" s="134"/>
      <c r="E7" s="134"/>
      <c r="F7" s="134"/>
      <c r="H7" s="136"/>
    </row>
    <row r="8" spans="2:15" ht="21" thickBot="1">
      <c r="B8" s="17" t="s">
        <v>99</v>
      </c>
      <c r="C8" s="135"/>
      <c r="D8" s="135"/>
      <c r="E8" s="135"/>
      <c r="F8" s="135"/>
      <c r="G8" s="17" t="s">
        <v>100</v>
      </c>
      <c r="H8" s="137"/>
      <c r="I8" s="53"/>
      <c r="J8" s="53"/>
      <c r="K8" s="53"/>
    </row>
    <row r="9" spans="2:15" ht="21.95" customHeight="1">
      <c r="B9" s="58"/>
      <c r="C9" s="58"/>
      <c r="D9" s="58"/>
      <c r="E9" s="58"/>
      <c r="F9" s="54"/>
      <c r="G9" s="60"/>
      <c r="H9" s="60"/>
      <c r="I9" s="60"/>
      <c r="J9" s="54"/>
    </row>
    <row r="10" spans="2:15" ht="20.100000000000001" customHeight="1">
      <c r="B10" s="132" t="s">
        <v>101</v>
      </c>
      <c r="C10" s="132"/>
      <c r="D10" s="64" t="s">
        <v>102</v>
      </c>
      <c r="E10" s="133" t="s">
        <v>103</v>
      </c>
      <c r="F10" s="133"/>
      <c r="G10" s="133"/>
      <c r="H10" s="70"/>
      <c r="I10" s="59"/>
      <c r="J10" s="59"/>
      <c r="K10" s="19"/>
      <c r="L10" s="111"/>
      <c r="M10" s="111"/>
      <c r="N10" s="111"/>
      <c r="O10" s="111"/>
    </row>
    <row r="11" spans="2:15" ht="23.1">
      <c r="B11" s="58"/>
      <c r="C11" s="58" t="s">
        <v>104</v>
      </c>
      <c r="D11" s="58"/>
      <c r="E11" s="58"/>
      <c r="F11" s="54"/>
      <c r="G11" s="60"/>
      <c r="H11" s="60"/>
      <c r="I11" s="60"/>
      <c r="J11" s="54"/>
    </row>
    <row r="12" spans="2:15" ht="21.95" thickBot="1">
      <c r="D12" s="127" t="s">
        <v>19</v>
      </c>
      <c r="E12" s="127"/>
      <c r="F12" s="69">
        <f>IF(ISBLANK('Control Entry'!B12),"",'Control Entry'!B12)</f>
        <v>45864</v>
      </c>
      <c r="G12" s="73"/>
      <c r="H12" s="17" t="s">
        <v>105</v>
      </c>
      <c r="I12" s="68">
        <f>IF(ISBLANK('Control Entry'!B13),"",'Control Entry'!B13)</f>
        <v>0.25</v>
      </c>
      <c r="J12" s="23"/>
    </row>
    <row r="13" spans="2:15" ht="20.100000000000001">
      <c r="D13" s="22"/>
      <c r="E13" s="22"/>
      <c r="F13" s="21"/>
      <c r="G13" s="21"/>
      <c r="H13" s="21"/>
      <c r="L13" s="23"/>
      <c r="M13" s="23"/>
      <c r="N13" s="23"/>
    </row>
    <row r="14" spans="2:15" ht="21" thickBot="1">
      <c r="D14" s="127" t="s">
        <v>106</v>
      </c>
      <c r="E14" s="127"/>
      <c r="F14" s="69"/>
      <c r="G14" s="73"/>
      <c r="H14" s="17" t="s">
        <v>107</v>
      </c>
      <c r="I14" s="68"/>
      <c r="J14" s="23"/>
      <c r="L14" s="45"/>
      <c r="M14" s="45"/>
      <c r="N14" s="45"/>
    </row>
    <row r="15" spans="2:15" ht="20.100000000000001">
      <c r="B15" s="22"/>
      <c r="C15" s="22"/>
      <c r="D15" s="21"/>
      <c r="E15" s="21"/>
      <c r="H15" s="21"/>
    </row>
    <row r="16" spans="2:15" ht="21" thickBot="1">
      <c r="C16" s="65"/>
      <c r="D16" s="65"/>
      <c r="E16" s="65"/>
      <c r="F16" s="65"/>
      <c r="H16" s="17" t="s">
        <v>108</v>
      </c>
      <c r="I16" s="68"/>
      <c r="J16" s="23"/>
      <c r="L16" s="45"/>
      <c r="M16" s="45"/>
      <c r="N16" s="45"/>
    </row>
    <row r="17" spans="2:15" ht="20.100000000000001">
      <c r="C17" s="128" t="s">
        <v>109</v>
      </c>
      <c r="D17" s="128"/>
      <c r="E17" s="128"/>
      <c r="F17" s="128"/>
      <c r="G17" s="19"/>
      <c r="H17" s="19"/>
      <c r="I17" s="129"/>
      <c r="J17" s="129"/>
      <c r="K17" s="19"/>
      <c r="L17" s="111"/>
      <c r="M17" s="111"/>
      <c r="N17" s="111"/>
      <c r="O17" s="111"/>
    </row>
    <row r="18" spans="2:15" ht="6" customHeight="1" thickBot="1">
      <c r="B18" s="61"/>
      <c r="C18" s="61"/>
      <c r="D18" s="61"/>
      <c r="E18" s="61"/>
      <c r="F18" s="62"/>
      <c r="G18" s="63"/>
      <c r="H18" s="63"/>
      <c r="I18" s="63"/>
      <c r="J18" s="62"/>
    </row>
    <row r="19" spans="2:15" ht="21.95" thickTop="1" thickBot="1">
      <c r="B19" s="131" t="s">
        <v>110</v>
      </c>
      <c r="C19" s="131"/>
      <c r="D19" s="131"/>
      <c r="E19" s="131"/>
      <c r="F19" s="131"/>
      <c r="G19" s="131"/>
      <c r="H19" s="131"/>
      <c r="I19" s="131"/>
      <c r="J19" s="131"/>
    </row>
    <row r="20" spans="2:15" ht="20.100000000000001" thickBot="1">
      <c r="B20" s="50" t="s">
        <v>111</v>
      </c>
      <c r="C20" s="8" t="s">
        <v>33</v>
      </c>
      <c r="D20" s="8" t="s">
        <v>34</v>
      </c>
      <c r="E20" s="8" t="s">
        <v>26</v>
      </c>
      <c r="F20" s="8" t="s">
        <v>112</v>
      </c>
      <c r="G20" s="124" t="s">
        <v>113</v>
      </c>
      <c r="H20" s="125"/>
      <c r="I20" s="126"/>
      <c r="J20" s="50" t="s">
        <v>114</v>
      </c>
    </row>
    <row r="21" spans="2:15" ht="39.950000000000003" customHeight="1">
      <c r="B21" s="89"/>
      <c r="C21" s="101" t="str">
        <f>'Control Entry'!N$28</f>
        <v/>
      </c>
      <c r="D21" s="101" t="str">
        <f>'Control Entry'!O$28</f>
        <v/>
      </c>
      <c r="E21" s="90"/>
      <c r="F21" s="91" t="str">
        <f>IF(ISBLANK('Control Entry'!F$28),"",'Control Entry'!F$28)</f>
        <v/>
      </c>
      <c r="G21" s="114" t="str">
        <f>IF(ISBLANK('Control Entry'!I$28),"",'Control Entry'!I$28)</f>
        <v/>
      </c>
      <c r="H21" s="115"/>
      <c r="I21" s="116"/>
      <c r="J21" s="92"/>
    </row>
    <row r="22" spans="2:15" ht="39.950000000000003" customHeight="1">
      <c r="B22" s="93" t="str">
        <f>IF(ISBLANK('Control Entry'!D$28),"",'Control Entry'!D$28)</f>
        <v/>
      </c>
      <c r="C22" s="94" t="str">
        <f>'Control Entry'!N$28</f>
        <v/>
      </c>
      <c r="D22" s="94" t="str">
        <f>'Control Entry'!O$28</f>
        <v/>
      </c>
      <c r="E22" s="91" t="str">
        <f>IF(ISBLANK('Control Entry'!E$28),"",'Control Entry'!E$28)</f>
        <v/>
      </c>
      <c r="F22" s="91" t="str">
        <f>IF(ISBLANK('Control Entry'!G$28),"",'Control Entry'!G$28)</f>
        <v/>
      </c>
      <c r="G22" s="117" t="str">
        <f>IF(ISBLANK('Control Entry'!J$28),"",'Control Entry'!J$28)</f>
        <v/>
      </c>
      <c r="H22" s="118"/>
      <c r="I22" s="119"/>
      <c r="J22" s="95"/>
    </row>
    <row r="23" spans="2:15" ht="39.950000000000003" customHeight="1" thickBot="1">
      <c r="B23" s="96"/>
      <c r="C23" s="102" t="str">
        <f>'Control Entry'!N$28</f>
        <v/>
      </c>
      <c r="D23" s="102" t="str">
        <f>'Control Entry'!O$28</f>
        <v/>
      </c>
      <c r="E23" s="97"/>
      <c r="F23" s="98" t="str">
        <f>IF(ISBLANK('Control Entry'!H$28),"",'Control Entry'!H$28)</f>
        <v/>
      </c>
      <c r="G23" s="120" t="str">
        <f>IF(ISBLANK('Control Entry'!K$28),"",'Control Entry'!K$28)</f>
        <v/>
      </c>
      <c r="H23" s="121"/>
      <c r="I23" s="122"/>
      <c r="J23" s="99"/>
    </row>
    <row r="24" spans="2:15" ht="39.950000000000003" customHeight="1">
      <c r="B24" s="89"/>
      <c r="C24" s="101" t="str">
        <f>'Control Entry'!N$29</f>
        <v/>
      </c>
      <c r="D24" s="101" t="str">
        <f>'Control Entry'!O$29</f>
        <v/>
      </c>
      <c r="E24" s="90"/>
      <c r="F24" s="91" t="str">
        <f>IF(ISBLANK('Control Entry'!F$29),"",'Control Entry'!F$29)</f>
        <v/>
      </c>
      <c r="G24" s="114" t="str">
        <f>IF(ISBLANK('Control Entry'!I$29),"",'Control Entry'!I$29)</f>
        <v/>
      </c>
      <c r="H24" s="115"/>
      <c r="I24" s="116"/>
      <c r="J24" s="92"/>
    </row>
    <row r="25" spans="2:15" ht="39.950000000000003" customHeight="1">
      <c r="B25" s="93" t="str">
        <f>IF(ISBLANK('Control Entry'!D$29),"",'Control Entry'!D$29)</f>
        <v/>
      </c>
      <c r="C25" s="94" t="str">
        <f>'Control Entry'!N$29</f>
        <v/>
      </c>
      <c r="D25" s="94" t="str">
        <f>'Control Entry'!O$29</f>
        <v/>
      </c>
      <c r="E25" s="91" t="str">
        <f>IF(ISBLANK('Control Entry'!E$29),"",'Control Entry'!E$29)</f>
        <v/>
      </c>
      <c r="F25" s="91" t="str">
        <f>IF(ISBLANK('Control Entry'!G$29),"",'Control Entry'!G$29)</f>
        <v/>
      </c>
      <c r="G25" s="117" t="str">
        <f>IF(ISBLANK('Control Entry'!J$29),"",'Control Entry'!J$29)</f>
        <v/>
      </c>
      <c r="H25" s="118"/>
      <c r="I25" s="119"/>
      <c r="J25" s="95"/>
    </row>
    <row r="26" spans="2:15" ht="39.950000000000003" customHeight="1" thickBot="1">
      <c r="B26" s="96"/>
      <c r="C26" s="102" t="str">
        <f>'Control Entry'!N$29</f>
        <v/>
      </c>
      <c r="D26" s="102" t="str">
        <f>'Control Entry'!O$29</f>
        <v/>
      </c>
      <c r="E26" s="97"/>
      <c r="F26" s="98" t="str">
        <f>IF(ISBLANK('Control Entry'!H$29),"",'Control Entry'!H$29)</f>
        <v/>
      </c>
      <c r="G26" s="120" t="str">
        <f>IF(ISBLANK('Control Entry'!K$29),"",'Control Entry'!K$29)</f>
        <v/>
      </c>
      <c r="H26" s="121"/>
      <c r="I26" s="122"/>
      <c r="J26" s="99"/>
    </row>
    <row r="27" spans="2:15" ht="39.950000000000003" customHeight="1">
      <c r="B27" s="89"/>
      <c r="C27" s="101" t="str">
        <f>'Control Entry'!N$30</f>
        <v/>
      </c>
      <c r="D27" s="101" t="str">
        <f>'Control Entry'!O$30</f>
        <v/>
      </c>
      <c r="E27" s="90"/>
      <c r="F27" s="91" t="str">
        <f>IF(ISBLANK('Control Entry'!F$30),"",'Control Entry'!F$30)</f>
        <v/>
      </c>
      <c r="G27" s="114" t="str">
        <f>IF(ISBLANK('Control Entry'!I$30),"",'Control Entry'!I$30)</f>
        <v/>
      </c>
      <c r="H27" s="115"/>
      <c r="I27" s="116"/>
      <c r="J27" s="92"/>
    </row>
    <row r="28" spans="2:15" ht="39.950000000000003" customHeight="1">
      <c r="B28" s="93" t="str">
        <f>IF(ISBLANK('Control Entry'!D$30),"",'Control Entry'!D$30)</f>
        <v/>
      </c>
      <c r="C28" s="94" t="str">
        <f>'Control Entry'!N$30</f>
        <v/>
      </c>
      <c r="D28" s="94" t="str">
        <f>'Control Entry'!O$30</f>
        <v/>
      </c>
      <c r="E28" s="91" t="str">
        <f>IF(ISBLANK('Control Entry'!E$30),"",'Control Entry'!E$30)</f>
        <v/>
      </c>
      <c r="F28" s="91" t="str">
        <f>IF(ISBLANK('Control Entry'!G$30),"",'Control Entry'!G$30)</f>
        <v/>
      </c>
      <c r="G28" s="117" t="str">
        <f>IF(ISBLANK('Control Entry'!J$30),"",'Control Entry'!J$30)</f>
        <v/>
      </c>
      <c r="H28" s="118"/>
      <c r="I28" s="119"/>
      <c r="J28" s="95"/>
    </row>
    <row r="29" spans="2:15" ht="39.950000000000003" customHeight="1" thickBot="1">
      <c r="B29" s="96"/>
      <c r="C29" s="102" t="str">
        <f>'Control Entry'!N$30</f>
        <v/>
      </c>
      <c r="D29" s="102" t="str">
        <f>'Control Entry'!O$30</f>
        <v/>
      </c>
      <c r="E29" s="97"/>
      <c r="F29" s="98" t="str">
        <f>IF(ISBLANK('Control Entry'!H$30),"",'Control Entry'!H$30)</f>
        <v/>
      </c>
      <c r="G29" s="120" t="str">
        <f>IF(ISBLANK('Control Entry'!K$30),"",'Control Entry'!K$30)</f>
        <v/>
      </c>
      <c r="H29" s="121"/>
      <c r="I29" s="122"/>
      <c r="J29" s="99"/>
    </row>
    <row r="30" spans="2:15" ht="39.950000000000003" customHeight="1">
      <c r="B30" s="89"/>
      <c r="C30" s="101" t="str">
        <f>'Control Entry'!N$31</f>
        <v/>
      </c>
      <c r="D30" s="101" t="str">
        <f>'Control Entry'!O$31</f>
        <v/>
      </c>
      <c r="E30" s="90"/>
      <c r="F30" s="91" t="str">
        <f>IF(ISBLANK('Control Entry'!F$31),"",'Control Entry'!F$31)</f>
        <v/>
      </c>
      <c r="G30" s="114" t="str">
        <f>IF(ISBLANK('Control Entry'!I$31),"",'Control Entry'!I$31)</f>
        <v/>
      </c>
      <c r="H30" s="115"/>
      <c r="I30" s="116"/>
      <c r="J30" s="92"/>
    </row>
    <row r="31" spans="2:15" ht="39.950000000000003" customHeight="1">
      <c r="B31" s="93" t="str">
        <f>IF(ISBLANK('Control Entry'!D$31),"",'Control Entry'!D$31)</f>
        <v/>
      </c>
      <c r="C31" s="94" t="str">
        <f>'Control Entry'!N$31</f>
        <v/>
      </c>
      <c r="D31" s="94" t="str">
        <f>'Control Entry'!O$31</f>
        <v/>
      </c>
      <c r="E31" s="91" t="str">
        <f>IF(ISBLANK('Control Entry'!E$31),"",'Control Entry'!E$31)</f>
        <v/>
      </c>
      <c r="F31" s="91" t="str">
        <f>IF(ISBLANK('Control Entry'!G$31),"",'Control Entry'!G$31)</f>
        <v/>
      </c>
      <c r="G31" s="117" t="str">
        <f>IF(ISBLANK('Control Entry'!J$31),"",'Control Entry'!J$31)</f>
        <v/>
      </c>
      <c r="H31" s="118"/>
      <c r="I31" s="119"/>
      <c r="J31" s="95"/>
    </row>
    <row r="32" spans="2:15" ht="39.950000000000003" customHeight="1" thickBot="1">
      <c r="B32" s="96"/>
      <c r="C32" s="102" t="str">
        <f>'Control Entry'!N$31</f>
        <v/>
      </c>
      <c r="D32" s="102" t="str">
        <f>'Control Entry'!O$31</f>
        <v/>
      </c>
      <c r="E32" s="97"/>
      <c r="F32" s="98" t="str">
        <f>IF(ISBLANK('Control Entry'!H$31),"",'Control Entry'!H$31)</f>
        <v/>
      </c>
      <c r="G32" s="120" t="str">
        <f>IF(ISBLANK('Control Entry'!K$31),"",'Control Entry'!K$31)</f>
        <v/>
      </c>
      <c r="H32" s="121"/>
      <c r="I32" s="122"/>
      <c r="J32" s="99"/>
    </row>
    <row r="33" spans="2:10" ht="39.950000000000003" customHeight="1">
      <c r="B33" s="89"/>
      <c r="C33" s="101" t="str">
        <f>'Control Entry'!N$32</f>
        <v/>
      </c>
      <c r="D33" s="101" t="str">
        <f>'Control Entry'!O$32</f>
        <v/>
      </c>
      <c r="E33" s="90"/>
      <c r="F33" s="91" t="str">
        <f>IF(ISBLANK('Control Entry'!F$32),"",'Control Entry'!F$32)</f>
        <v/>
      </c>
      <c r="G33" s="114" t="str">
        <f>IF(ISBLANK('Control Entry'!I$32),"",'Control Entry'!I$32)</f>
        <v/>
      </c>
      <c r="H33" s="115"/>
      <c r="I33" s="116"/>
      <c r="J33" s="92"/>
    </row>
    <row r="34" spans="2:10" ht="39.950000000000003" customHeight="1">
      <c r="B34" s="93" t="str">
        <f>IF(ISBLANK('Control Entry'!D$32),"",'Control Entry'!D$32)</f>
        <v/>
      </c>
      <c r="C34" s="94" t="str">
        <f>'Control Entry'!N$32</f>
        <v/>
      </c>
      <c r="D34" s="94" t="str">
        <f>'Control Entry'!O$32</f>
        <v/>
      </c>
      <c r="E34" s="91" t="str">
        <f>IF(ISBLANK('Control Entry'!E$32),"",'Control Entry'!E$32)</f>
        <v/>
      </c>
      <c r="F34" s="91" t="str">
        <f>IF(ISBLANK('Control Entry'!G$32),"",'Control Entry'!G$32)</f>
        <v/>
      </c>
      <c r="G34" s="117" t="str">
        <f>IF(ISBLANK('Control Entry'!J$32),"",'Control Entry'!J$32)</f>
        <v/>
      </c>
      <c r="H34" s="118"/>
      <c r="I34" s="119"/>
      <c r="J34" s="95"/>
    </row>
    <row r="35" spans="2:10" ht="39.950000000000003" customHeight="1" thickBot="1">
      <c r="B35" s="96"/>
      <c r="C35" s="102" t="str">
        <f>'Control Entry'!N$32</f>
        <v/>
      </c>
      <c r="D35" s="102" t="str">
        <f>'Control Entry'!O$32</f>
        <v/>
      </c>
      <c r="E35" s="97"/>
      <c r="F35" s="98" t="str">
        <f>IF(ISBLANK('Control Entry'!H$32),"",'Control Entry'!H$32)</f>
        <v/>
      </c>
      <c r="G35" s="120" t="str">
        <f>IF(ISBLANK('Control Entry'!K$32),"",'Control Entry'!K$32)</f>
        <v/>
      </c>
      <c r="H35" s="121"/>
      <c r="I35" s="122"/>
      <c r="J35" s="99"/>
    </row>
    <row r="36" spans="2:10" ht="39.950000000000003" customHeight="1">
      <c r="B36" s="89"/>
      <c r="C36" s="101" t="str">
        <f>'Control Entry'!N$33</f>
        <v/>
      </c>
      <c r="D36" s="101" t="str">
        <f>'Control Entry'!O$33</f>
        <v/>
      </c>
      <c r="E36" s="90"/>
      <c r="F36" s="91" t="str">
        <f>IF(ISBLANK('Control Entry'!F$33),"",'Control Entry'!F$33)</f>
        <v/>
      </c>
      <c r="G36" s="114" t="str">
        <f>IF(ISBLANK('Control Entry'!I$33),"",'Control Entry'!I$33)</f>
        <v/>
      </c>
      <c r="H36" s="115"/>
      <c r="I36" s="116"/>
      <c r="J36" s="92"/>
    </row>
    <row r="37" spans="2:10" ht="39.950000000000003" customHeight="1">
      <c r="B37" s="93" t="str">
        <f>IF(ISBLANK('Control Entry'!D$33),"",'Control Entry'!D$33)</f>
        <v/>
      </c>
      <c r="C37" s="94" t="str">
        <f>'Control Entry'!N$33</f>
        <v/>
      </c>
      <c r="D37" s="94" t="str">
        <f>'Control Entry'!O$33</f>
        <v/>
      </c>
      <c r="E37" s="91" t="str">
        <f>IF(ISBLANK('Control Entry'!E$33),"",'Control Entry'!E$33)</f>
        <v/>
      </c>
      <c r="F37" s="91" t="str">
        <f>IF(ISBLANK('Control Entry'!G$33),"",'Control Entry'!G$33)</f>
        <v/>
      </c>
      <c r="G37" s="117" t="str">
        <f>IF(ISBLANK('Control Entry'!J$33),"",'Control Entry'!J$33)</f>
        <v/>
      </c>
      <c r="H37" s="118"/>
      <c r="I37" s="119"/>
      <c r="J37" s="95"/>
    </row>
    <row r="38" spans="2:10" ht="39.950000000000003" customHeight="1" thickBot="1">
      <c r="B38" s="96"/>
      <c r="C38" s="102" t="str">
        <f>'Control Entry'!N$33</f>
        <v/>
      </c>
      <c r="D38" s="102" t="str">
        <f>'Control Entry'!O$33</f>
        <v/>
      </c>
      <c r="E38" s="97"/>
      <c r="F38" s="98" t="str">
        <f>IF(ISBLANK('Control Entry'!H$33),"",'Control Entry'!H$33)</f>
        <v/>
      </c>
      <c r="G38" s="120" t="str">
        <f>IF(ISBLANK('Control Entry'!K$33),"",'Control Entry'!K$33)</f>
        <v/>
      </c>
      <c r="H38" s="121"/>
      <c r="I38" s="122"/>
      <c r="J38" s="99"/>
    </row>
    <row r="39" spans="2:10" ht="39.950000000000003" customHeight="1">
      <c r="B39" s="89"/>
      <c r="C39" s="101" t="str">
        <f>'Control Entry'!N$34</f>
        <v/>
      </c>
      <c r="D39" s="101" t="str">
        <f>'Control Entry'!O$34</f>
        <v/>
      </c>
      <c r="E39" s="90"/>
      <c r="F39" s="91" t="str">
        <f>IF(ISBLANK('Control Entry'!F$34),"",'Control Entry'!F$34)</f>
        <v/>
      </c>
      <c r="G39" s="114" t="str">
        <f>IF(ISBLANK('Control Entry'!I$34),"",'Control Entry'!I$34)</f>
        <v/>
      </c>
      <c r="H39" s="115"/>
      <c r="I39" s="116"/>
      <c r="J39" s="92"/>
    </row>
    <row r="40" spans="2:10" ht="39.950000000000003" customHeight="1">
      <c r="B40" s="93" t="str">
        <f>IF(ISBLANK('Control Entry'!D$34),"",'Control Entry'!D$34)</f>
        <v/>
      </c>
      <c r="C40" s="94" t="str">
        <f>'Control Entry'!N$34</f>
        <v/>
      </c>
      <c r="D40" s="94" t="str">
        <f>'Control Entry'!O$34</f>
        <v/>
      </c>
      <c r="E40" s="91" t="str">
        <f>IF(ISBLANK('Control Entry'!E$34),"",'Control Entry'!E$34)</f>
        <v/>
      </c>
      <c r="F40" s="91" t="str">
        <f>IF(ISBLANK('Control Entry'!G$34),"",'Control Entry'!G$34)</f>
        <v/>
      </c>
      <c r="G40" s="117" t="str">
        <f>IF(ISBLANK('Control Entry'!J$34),"",'Control Entry'!J$34)</f>
        <v/>
      </c>
      <c r="H40" s="118"/>
      <c r="I40" s="119"/>
      <c r="J40" s="95"/>
    </row>
    <row r="41" spans="2:10" ht="39.950000000000003" customHeight="1" thickBot="1">
      <c r="B41" s="96"/>
      <c r="C41" s="102" t="str">
        <f>'Control Entry'!N$34</f>
        <v/>
      </c>
      <c r="D41" s="102" t="str">
        <f>'Control Entry'!O$34</f>
        <v/>
      </c>
      <c r="E41" s="97"/>
      <c r="F41" s="98" t="str">
        <f>IF(ISBLANK('Control Entry'!H$34),"",'Control Entry'!H$34)</f>
        <v/>
      </c>
      <c r="G41" s="120" t="str">
        <f>IF(ISBLANK('Control Entry'!K$34),"",'Control Entry'!K$34)</f>
        <v/>
      </c>
      <c r="H41" s="121"/>
      <c r="I41" s="122"/>
      <c r="J41" s="99"/>
    </row>
    <row r="42" spans="2:10" ht="39.950000000000003" customHeight="1">
      <c r="B42" s="89"/>
      <c r="C42" s="101" t="str">
        <f>'Control Entry'!N$35</f>
        <v/>
      </c>
      <c r="D42" s="101" t="str">
        <f>'Control Entry'!O$35</f>
        <v/>
      </c>
      <c r="E42" s="90"/>
      <c r="F42" s="91" t="str">
        <f>IF(ISBLANK('Control Entry'!F$35),"",'Control Entry'!F$35)</f>
        <v/>
      </c>
      <c r="G42" s="114" t="str">
        <f>IF(ISBLANK('Control Entry'!I$35),"",'Control Entry'!I$35)</f>
        <v/>
      </c>
      <c r="H42" s="115"/>
      <c r="I42" s="116"/>
      <c r="J42" s="92"/>
    </row>
    <row r="43" spans="2:10" ht="39.950000000000003" customHeight="1">
      <c r="B43" s="93" t="str">
        <f>IF(ISBLANK('Control Entry'!D$35),"",'Control Entry'!D$35)</f>
        <v/>
      </c>
      <c r="C43" s="94" t="str">
        <f>'Control Entry'!N$35</f>
        <v/>
      </c>
      <c r="D43" s="94" t="str">
        <f>'Control Entry'!O$35</f>
        <v/>
      </c>
      <c r="E43" s="91" t="str">
        <f>IF(ISBLANK('Control Entry'!E$35),"",'Control Entry'!E$35)</f>
        <v/>
      </c>
      <c r="F43" s="91" t="str">
        <f>IF(ISBLANK('Control Entry'!G$35),"",'Control Entry'!G$35)</f>
        <v/>
      </c>
      <c r="G43" s="117" t="str">
        <f>IF(ISBLANK('Control Entry'!J$35),"",'Control Entry'!J$35)</f>
        <v/>
      </c>
      <c r="H43" s="118"/>
      <c r="I43" s="119"/>
      <c r="J43" s="95"/>
    </row>
    <row r="44" spans="2:10" ht="39.950000000000003" customHeight="1" thickBot="1">
      <c r="B44" s="96"/>
      <c r="C44" s="102" t="str">
        <f>'Control Entry'!N$35</f>
        <v/>
      </c>
      <c r="D44" s="102" t="str">
        <f>'Control Entry'!O$35</f>
        <v/>
      </c>
      <c r="E44" s="97"/>
      <c r="F44" s="98" t="str">
        <f>IF(ISBLANK('Control Entry'!H$35),"",'Control Entry'!H$35)</f>
        <v/>
      </c>
      <c r="G44" s="120" t="str">
        <f>IF(ISBLANK('Control Entry'!K$35),"",'Control Entry'!K$35)</f>
        <v/>
      </c>
      <c r="H44" s="121"/>
      <c r="I44" s="122"/>
      <c r="J44" s="99"/>
    </row>
    <row r="45" spans="2:10" ht="39.950000000000003" customHeight="1">
      <c r="B45" s="89"/>
      <c r="C45" s="101" t="str">
        <f>'Control Entry'!N$36</f>
        <v/>
      </c>
      <c r="D45" s="101" t="str">
        <f>'Control Entry'!O$36</f>
        <v/>
      </c>
      <c r="E45" s="90"/>
      <c r="F45" s="91" t="str">
        <f>IF(ISBLANK('Control Entry'!F$36),"",'Control Entry'!F$36)</f>
        <v/>
      </c>
      <c r="G45" s="114" t="str">
        <f>IF(ISBLANK('Control Entry'!I$36),"",'Control Entry'!I$36)</f>
        <v/>
      </c>
      <c r="H45" s="115"/>
      <c r="I45" s="116"/>
      <c r="J45" s="92"/>
    </row>
    <row r="46" spans="2:10" ht="39.950000000000003" customHeight="1">
      <c r="B46" s="93" t="str">
        <f>IF(ISBLANK('Control Entry'!D$36),"",'Control Entry'!D$36)</f>
        <v/>
      </c>
      <c r="C46" s="94" t="str">
        <f>'Control Entry'!N$36</f>
        <v/>
      </c>
      <c r="D46" s="94" t="str">
        <f>'Control Entry'!O$36</f>
        <v/>
      </c>
      <c r="E46" s="91" t="str">
        <f>IF(ISBLANK('Control Entry'!E$36),"",'Control Entry'!E$36)</f>
        <v/>
      </c>
      <c r="F46" s="91" t="str">
        <f>IF(ISBLANK('Control Entry'!G$36),"",'Control Entry'!G$36)</f>
        <v/>
      </c>
      <c r="G46" s="117" t="str">
        <f>IF(ISBLANK('Control Entry'!J$36),"",'Control Entry'!J$36)</f>
        <v/>
      </c>
      <c r="H46" s="118"/>
      <c r="I46" s="119"/>
      <c r="J46" s="95"/>
    </row>
    <row r="47" spans="2:10" ht="39.950000000000003" customHeight="1" thickBot="1">
      <c r="B47" s="96"/>
      <c r="C47" s="102" t="str">
        <f>'Control Entry'!N$36</f>
        <v/>
      </c>
      <c r="D47" s="102" t="str">
        <f>'Control Entry'!O$36</f>
        <v/>
      </c>
      <c r="E47" s="97"/>
      <c r="F47" s="98" t="str">
        <f>IF(ISBLANK('Control Entry'!H$36),"",'Control Entry'!H$36)</f>
        <v/>
      </c>
      <c r="G47" s="120" t="str">
        <f>IF(ISBLANK('Control Entry'!K$36),"",'Control Entry'!K$36)</f>
        <v/>
      </c>
      <c r="H47" s="121"/>
      <c r="I47" s="122"/>
      <c r="J47" s="99"/>
    </row>
    <row r="48" spans="2:10" ht="39.950000000000003" customHeight="1">
      <c r="B48" s="89"/>
      <c r="C48" s="101" t="str">
        <f>'Control Entry'!N$37</f>
        <v/>
      </c>
      <c r="D48" s="101" t="str">
        <f>'Control Entry'!O$37</f>
        <v/>
      </c>
      <c r="E48" s="90"/>
      <c r="F48" s="91" t="str">
        <f>IF(ISBLANK('Control Entry'!F$37),"",'Control Entry'!F$37)</f>
        <v/>
      </c>
      <c r="G48" s="114" t="str">
        <f>IF(ISBLANK('Control Entry'!I$37),"",'Control Entry'!I$37)</f>
        <v/>
      </c>
      <c r="H48" s="115"/>
      <c r="I48" s="116"/>
      <c r="J48" s="92"/>
    </row>
    <row r="49" spans="2:11" ht="39.950000000000003" customHeight="1">
      <c r="B49" s="93" t="str">
        <f>IF(ISBLANK('Control Entry'!D$37),"",'Control Entry'!D$37)</f>
        <v/>
      </c>
      <c r="C49" s="94" t="str">
        <f>'Control Entry'!N$37</f>
        <v/>
      </c>
      <c r="D49" s="94" t="str">
        <f>'Control Entry'!O$37</f>
        <v/>
      </c>
      <c r="E49" s="91" t="str">
        <f>IF(ISBLANK('Control Entry'!E$37),"",'Control Entry'!E$37)</f>
        <v/>
      </c>
      <c r="F49" s="91" t="str">
        <f>IF(ISBLANK('Control Entry'!G$37),"",'Control Entry'!G$37)</f>
        <v/>
      </c>
      <c r="G49" s="117" t="str">
        <f>IF(ISBLANK('Control Entry'!J$37),"",'Control Entry'!J$37)</f>
        <v/>
      </c>
      <c r="H49" s="118"/>
      <c r="I49" s="119"/>
      <c r="J49" s="95"/>
    </row>
    <row r="50" spans="2:11" ht="39.950000000000003" customHeight="1" thickBot="1">
      <c r="B50" s="96"/>
      <c r="C50" s="102" t="str">
        <f>'Control Entry'!N$37</f>
        <v/>
      </c>
      <c r="D50" s="102" t="str">
        <f>'Control Entry'!O$37</f>
        <v/>
      </c>
      <c r="E50" s="97"/>
      <c r="F50" s="98" t="str">
        <f>IF(ISBLANK('Control Entry'!H$37),"",'Control Entry'!H$37)</f>
        <v/>
      </c>
      <c r="G50" s="120" t="str">
        <f>IF(ISBLANK('Control Entry'!K$37),"",'Control Entry'!K$37)</f>
        <v/>
      </c>
      <c r="H50" s="121"/>
      <c r="I50" s="122"/>
      <c r="J50" s="99"/>
    </row>
    <row r="52" spans="2:11" ht="24" customHeight="1">
      <c r="B52" s="123" t="s">
        <v>115</v>
      </c>
      <c r="C52" s="123"/>
      <c r="D52" s="123"/>
      <c r="E52" s="123"/>
      <c r="F52" s="123"/>
      <c r="I52" s="58" t="s">
        <v>116</v>
      </c>
      <c r="J52" s="81" t="str">
        <f>IF(ISBLANK('Control Entry'!F10),"",'Control Entry'!F10)</f>
        <v>604-721-0309</v>
      </c>
      <c r="K52" s="54"/>
    </row>
    <row r="54" spans="2:11">
      <c r="B54" s="76" t="s">
        <v>117</v>
      </c>
      <c r="C54" s="77">
        <f>'Control Entry'!B3</f>
        <v>45393</v>
      </c>
    </row>
    <row r="55" spans="2:11" ht="23.1">
      <c r="B55" s="58"/>
      <c r="C55" s="58"/>
      <c r="D55" s="58"/>
      <c r="E55" s="58"/>
      <c r="F55" s="54"/>
      <c r="G55" s="60"/>
      <c r="H55" s="60"/>
      <c r="I55" s="60"/>
      <c r="J55" s="54"/>
    </row>
    <row r="56" spans="2:11">
      <c r="E56" s="1"/>
    </row>
    <row r="57" spans="2:11">
      <c r="B57" s="56"/>
      <c r="C57" s="57"/>
      <c r="D57" s="57"/>
      <c r="E57" s="57"/>
      <c r="F57" s="112"/>
      <c r="G57" s="113"/>
      <c r="H57" s="113"/>
      <c r="I57" s="113"/>
      <c r="J57" s="113"/>
    </row>
  </sheetData>
  <mergeCells count="50">
    <mergeCell ref="B52:F52"/>
    <mergeCell ref="F57:J57"/>
    <mergeCell ref="G45:I45"/>
    <mergeCell ref="G46:I46"/>
    <mergeCell ref="G47:I47"/>
    <mergeCell ref="G48:I48"/>
    <mergeCell ref="G49:I49"/>
    <mergeCell ref="G50:I50"/>
    <mergeCell ref="G44:I44"/>
    <mergeCell ref="G33:I33"/>
    <mergeCell ref="G34:I34"/>
    <mergeCell ref="G35:I35"/>
    <mergeCell ref="G36:I36"/>
    <mergeCell ref="G37:I37"/>
    <mergeCell ref="G38:I38"/>
    <mergeCell ref="G39:I39"/>
    <mergeCell ref="G40:I40"/>
    <mergeCell ref="G41:I41"/>
    <mergeCell ref="G42:I42"/>
    <mergeCell ref="G43:I43"/>
    <mergeCell ref="G32:I32"/>
    <mergeCell ref="G21:I21"/>
    <mergeCell ref="G22:I22"/>
    <mergeCell ref="G23:I23"/>
    <mergeCell ref="G24:I24"/>
    <mergeCell ref="G25:I25"/>
    <mergeCell ref="G26:I26"/>
    <mergeCell ref="G27:I27"/>
    <mergeCell ref="G28:I28"/>
    <mergeCell ref="G29:I29"/>
    <mergeCell ref="G30:I30"/>
    <mergeCell ref="G31:I31"/>
    <mergeCell ref="G20:I20"/>
    <mergeCell ref="B10:C10"/>
    <mergeCell ref="E10:G10"/>
    <mergeCell ref="L10:M10"/>
    <mergeCell ref="N10:O10"/>
    <mergeCell ref="D12:E12"/>
    <mergeCell ref="D14:E14"/>
    <mergeCell ref="C17:F17"/>
    <mergeCell ref="I17:J17"/>
    <mergeCell ref="L17:M17"/>
    <mergeCell ref="N17:O17"/>
    <mergeCell ref="B19:J19"/>
    <mergeCell ref="C2:F2"/>
    <mergeCell ref="E3:H3"/>
    <mergeCell ref="E4:H4"/>
    <mergeCell ref="E5:H6"/>
    <mergeCell ref="C7:F8"/>
    <mergeCell ref="H7:H8"/>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Hinde</dc:creator>
  <cp:keywords/>
  <dc:description/>
  <cp:lastModifiedBy/>
  <cp:revision/>
  <dcterms:created xsi:type="dcterms:W3CDTF">1997-11-12T04:43:39Z</dcterms:created>
  <dcterms:modified xsi:type="dcterms:W3CDTF">2025-07-16T09:49:01Z</dcterms:modified>
  <cp:category/>
  <cp:contentStatus/>
</cp:coreProperties>
</file>