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showInkAnnotation="0" autoCompressPictures="0"/>
  <mc:AlternateContent xmlns:mc="http://schemas.openxmlformats.org/markup-compatibility/2006">
    <mc:Choice Requires="x15">
      <x15ac:absPath xmlns:x15ac="http://schemas.microsoft.com/office/spreadsheetml/2010/11/ac" url="C:\Markus_Files\BC Randonneurs\BCR 5426\"/>
    </mc:Choice>
  </mc:AlternateContent>
  <xr:revisionPtr revIDLastSave="0" documentId="13_ncr:1_{5ED073D0-8F6A-45B7-B521-AA42CA2A85EB}" xr6:coauthVersionLast="47" xr6:coauthVersionMax="47" xr10:uidLastSave="{00000000-0000-0000-0000-000000000000}"/>
  <bookViews>
    <workbookView xWindow="-16485" yWindow="-17400" windowWidth="30960" windowHeight="16920" tabRatio="508" activeTab="1" xr2:uid="{00000000-000D-0000-FFFF-FFFF00000000}"/>
  </bookViews>
  <sheets>
    <sheet name="Control Entry" sheetId="1" r:id="rId1"/>
    <sheet name="Control Card #1" sheetId="2" r:id="rId2"/>
    <sheet name="Control Card #2" sheetId="3" r:id="rId3"/>
    <sheet name="Control Card #3" sheetId="4" r:id="rId4"/>
    <sheet name="Control Card #4" sheetId="5" r:id="rId5"/>
  </sheets>
  <definedNames>
    <definedName name="Address_1" localSheetId="2">#REF!</definedName>
    <definedName name="Address_1" localSheetId="3">#REF!</definedName>
    <definedName name="Address_1" localSheetId="4">#REF!</definedName>
    <definedName name="Address_1">#REF!</definedName>
    <definedName name="Address_2" localSheetId="2">#REF!</definedName>
    <definedName name="Address_2" localSheetId="3">#REF!</definedName>
    <definedName name="Address_2" localSheetId="4">#REF!</definedName>
    <definedName name="Address_2">#REF!</definedName>
    <definedName name="brevet">'Control Entry'!$C$6</definedName>
    <definedName name="Brevet_Description">'Control Entry'!$B$9</definedName>
    <definedName name="Brevet_Length">'Control Entry'!$B$6</definedName>
    <definedName name="Brevet_Number">'Control Entry'!$B$10</definedName>
    <definedName name="City" localSheetId="2">#REF!</definedName>
    <definedName name="City" localSheetId="3">#REF!</definedName>
    <definedName name="City" localSheetId="4">#REF!</definedName>
    <definedName name="City">#REF!</definedName>
    <definedName name="Close">'Control Entry'!$M$16:$M$25</definedName>
    <definedName name="Close_time">'Control Entry'!$O$16:$O$25</definedName>
    <definedName name="Control_1">'Control Entry'!$D$16:$O$16</definedName>
    <definedName name="Control_10">'Control Entry'!$D$25:$O$25</definedName>
    <definedName name="Control_11" localSheetId="2">'Control Entry'!#REF!</definedName>
    <definedName name="Control_11" localSheetId="3">'Control Entry'!#REF!</definedName>
    <definedName name="Control_11" localSheetId="4">'Control Entry'!#REF!</definedName>
    <definedName name="Control_11">'Control Entry'!#REF!</definedName>
    <definedName name="Control_12" localSheetId="2">'Control Entry'!#REF!</definedName>
    <definedName name="Control_12" localSheetId="3">'Control Entry'!#REF!</definedName>
    <definedName name="Control_12" localSheetId="4">'Control Entry'!#REF!</definedName>
    <definedName name="Control_12">'Control Entry'!#REF!</definedName>
    <definedName name="Control_13" localSheetId="2">'Control Entry'!#REF!</definedName>
    <definedName name="Control_13" localSheetId="3">'Control Entry'!#REF!</definedName>
    <definedName name="Control_13" localSheetId="4">'Control Entry'!#REF!</definedName>
    <definedName name="Control_13">'Control Entry'!#REF!</definedName>
    <definedName name="Control_14" localSheetId="2">'Control Entry'!#REF!</definedName>
    <definedName name="Control_14" localSheetId="3">'Control Entry'!#REF!</definedName>
    <definedName name="Control_14" localSheetId="4">'Control Entry'!#REF!</definedName>
    <definedName name="Control_14">'Control Entry'!#REF!</definedName>
    <definedName name="Control_15" localSheetId="2">'Control Entry'!#REF!</definedName>
    <definedName name="Control_15" localSheetId="3">'Control Entry'!#REF!</definedName>
    <definedName name="Control_15" localSheetId="4">'Control Entry'!#REF!</definedName>
    <definedName name="Control_15">'Control Entry'!#REF!</definedName>
    <definedName name="Control_16" localSheetId="2">'Control Entry'!#REF!</definedName>
    <definedName name="Control_16" localSheetId="3">'Control Entry'!#REF!</definedName>
    <definedName name="Control_16" localSheetId="4">'Control Entry'!#REF!</definedName>
    <definedName name="Control_16">'Control Entry'!#REF!</definedName>
    <definedName name="Control_17" localSheetId="2">'Control Entry'!#REF!</definedName>
    <definedName name="Control_17" localSheetId="3">'Control Entry'!#REF!</definedName>
    <definedName name="Control_17" localSheetId="4">'Control Entry'!#REF!</definedName>
    <definedName name="Control_17">'Control Entry'!#REF!</definedName>
    <definedName name="Control_18" localSheetId="2">'Control Entry'!#REF!</definedName>
    <definedName name="Control_18" localSheetId="3">'Control Entry'!#REF!</definedName>
    <definedName name="Control_18" localSheetId="4">'Control Entry'!#REF!</definedName>
    <definedName name="Control_18">'Control Entry'!#REF!</definedName>
    <definedName name="Control_19" localSheetId="2">'Control Entry'!#REF!</definedName>
    <definedName name="Control_19" localSheetId="3">'Control Entry'!#REF!</definedName>
    <definedName name="Control_19" localSheetId="4">'Control Entry'!#REF!</definedName>
    <definedName name="Control_19">'Control Entry'!#REF!</definedName>
    <definedName name="Control_2">'Control Entry'!$D$17:$O$17</definedName>
    <definedName name="Control_20" localSheetId="2">'Control Entry'!#REF!</definedName>
    <definedName name="Control_20" localSheetId="3">'Control Entry'!#REF!</definedName>
    <definedName name="Control_20" localSheetId="4">'Control Entry'!#REF!</definedName>
    <definedName name="Control_20">'Control Entry'!#REF!</definedName>
    <definedName name="Control_3">'Control Entry'!$D$18:$O$18</definedName>
    <definedName name="Control_4">'Control Entry'!$D$19:$O$19</definedName>
    <definedName name="Control_5">'Control Entry'!$D$20:$O$20</definedName>
    <definedName name="Control_6">'Control Entry'!$D$21:$O$21</definedName>
    <definedName name="Control_7">'Control Entry'!$D$22:$O$22</definedName>
    <definedName name="Control_8">'Control Entry'!$D$23:$O$23</definedName>
    <definedName name="Control_9">'Control Entry'!$D$24:$O$24</definedName>
    <definedName name="Country" localSheetId="2">#REF!</definedName>
    <definedName name="Country" localSheetId="3">#REF!</definedName>
    <definedName name="Country" localSheetId="4">#REF!</definedName>
    <definedName name="Country">#REF!</definedName>
    <definedName name="Distance">'Control Entry'!$D$16:$D$25</definedName>
    <definedName name="email" localSheetId="2">#REF!</definedName>
    <definedName name="email" localSheetId="3">#REF!</definedName>
    <definedName name="email" localSheetId="4">#REF!</definedName>
    <definedName name="email">#REF!</definedName>
    <definedName name="Establishment_1">'Control Entry'!$F$16:$F$25</definedName>
    <definedName name="Establishment_2">'Control Entry'!$G$16:$G$25</definedName>
    <definedName name="Establishment_3">'Control Entry'!$H$16:$H$25</definedName>
    <definedName name="Fax" localSheetId="2">#REF!</definedName>
    <definedName name="Fax" localSheetId="3">#REF!</definedName>
    <definedName name="Fax" localSheetId="4">#REF!</definedName>
    <definedName name="Fax">#REF!</definedName>
    <definedName name="First_Name" localSheetId="2">#REF!</definedName>
    <definedName name="First_Name" localSheetId="3">#REF!</definedName>
    <definedName name="First_Name" localSheetId="4">#REF!</definedName>
    <definedName name="First_Name">#REF!</definedName>
    <definedName name="Home_telephone" localSheetId="2">#REF!</definedName>
    <definedName name="Home_telephone" localSheetId="3">#REF!</definedName>
    <definedName name="Home_telephone" localSheetId="4">#REF!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2">#REF!</definedName>
    <definedName name="Initial" localSheetId="3">#REF!</definedName>
    <definedName name="Initial" localSheetId="4">#REF!</definedName>
    <definedName name="Initial">#REF!</definedName>
    <definedName name="Locale">'Control Entry'!$E$16:$E$25</definedName>
    <definedName name="Max_time">'Control Entry'!$B$8</definedName>
    <definedName name="Open">'Control Entry'!$L$16:$L$25</definedName>
    <definedName name="Open_time">'Control Entry'!$N$16:$N$25</definedName>
    <definedName name="Postal_Code" localSheetId="2">#REF!</definedName>
    <definedName name="Postal_Code" localSheetId="3">#REF!</definedName>
    <definedName name="Postal_Code" localSheetId="4">#REF!</definedName>
    <definedName name="Postal_Code">#REF!</definedName>
    <definedName name="_xlnm.Print_Area" localSheetId="2">'Control Card #2'!$A$1:$T$35</definedName>
    <definedName name="_xlnm.Print_Titles" localSheetId="1">'Control Card #1'!$1:$2</definedName>
    <definedName name="_xlnm.Print_Titles" localSheetId="2">'Control Card #2'!$1:$2</definedName>
    <definedName name="_xlnm.Print_Titles" localSheetId="3">'Control Card #3'!$1:$2</definedName>
    <definedName name="_xlnm.Print_Titles" localSheetId="4">'Control Card #4'!$1:$2</definedName>
    <definedName name="Province_State" localSheetId="2">#REF!</definedName>
    <definedName name="Province_State" localSheetId="3">#REF!</definedName>
    <definedName name="Province_State" localSheetId="4">#REF!</definedName>
    <definedName name="Province_State">#REF!</definedName>
    <definedName name="Start_date">'Control Entry'!$B$13</definedName>
    <definedName name="Start_time">'Control Entry'!$B$14</definedName>
    <definedName name="surname" localSheetId="2">#REF!</definedName>
    <definedName name="surname" localSheetId="3">#REF!</definedName>
    <definedName name="surname" localSheetId="4">#REF!</definedName>
    <definedName name="surname">#REF!</definedName>
    <definedName name="Work_telephone" localSheetId="2">#REF!</definedName>
    <definedName name="Work_telephone" localSheetId="3">#REF!</definedName>
    <definedName name="Work_telephone" localSheetId="4">#REF!</definedName>
    <definedName name="Work_telepho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20" i="2" l="1"/>
  <c r="L18" i="1"/>
  <c r="L19" i="1"/>
  <c r="L20" i="1"/>
  <c r="L21" i="1"/>
  <c r="L22" i="1"/>
  <c r="L23" i="1"/>
  <c r="L17" i="1"/>
  <c r="K9" i="1"/>
  <c r="M19" i="1"/>
  <c r="M20" i="1"/>
  <c r="M21" i="1"/>
  <c r="M22" i="1"/>
  <c r="M23" i="1"/>
  <c r="M18" i="1"/>
  <c r="M17" i="1"/>
  <c r="L11" i="1"/>
  <c r="D9" i="2"/>
  <c r="F32" i="5"/>
  <c r="F31" i="5"/>
  <c r="F30" i="5"/>
  <c r="E32" i="5"/>
  <c r="E31" i="5"/>
  <c r="E30" i="5"/>
  <c r="D31" i="5"/>
  <c r="A31" i="5"/>
  <c r="F29" i="5"/>
  <c r="F28" i="5"/>
  <c r="F27" i="5"/>
  <c r="E29" i="5"/>
  <c r="E28" i="5"/>
  <c r="E27" i="5"/>
  <c r="D28" i="5"/>
  <c r="A28" i="5"/>
  <c r="F26" i="5"/>
  <c r="F25" i="5"/>
  <c r="F24" i="5"/>
  <c r="E26" i="5"/>
  <c r="E25" i="5"/>
  <c r="E24" i="5"/>
  <c r="D25" i="5"/>
  <c r="A25" i="5"/>
  <c r="F23" i="5"/>
  <c r="F22" i="5"/>
  <c r="F21" i="5"/>
  <c r="E23" i="5"/>
  <c r="E22" i="5"/>
  <c r="E21" i="5"/>
  <c r="D22" i="5"/>
  <c r="A22" i="5"/>
  <c r="F20" i="5"/>
  <c r="F19" i="5"/>
  <c r="F18" i="5"/>
  <c r="E20" i="5"/>
  <c r="E19" i="5"/>
  <c r="E18" i="5"/>
  <c r="D19" i="5"/>
  <c r="A19" i="5"/>
  <c r="F17" i="5"/>
  <c r="F16" i="5"/>
  <c r="F15" i="5"/>
  <c r="E17" i="5"/>
  <c r="E16" i="5"/>
  <c r="E15" i="5"/>
  <c r="D16" i="5"/>
  <c r="A16" i="5"/>
  <c r="F14" i="5"/>
  <c r="F13" i="5"/>
  <c r="F12" i="5"/>
  <c r="E14" i="5"/>
  <c r="E13" i="5"/>
  <c r="E12" i="5"/>
  <c r="D13" i="5"/>
  <c r="A13" i="5"/>
  <c r="F11" i="5"/>
  <c r="F10" i="5"/>
  <c r="F9" i="5"/>
  <c r="E11" i="5"/>
  <c r="E10" i="5"/>
  <c r="E9" i="5"/>
  <c r="D10" i="5"/>
  <c r="A10" i="5"/>
  <c r="F8" i="5"/>
  <c r="F7" i="5"/>
  <c r="F6" i="5"/>
  <c r="E8" i="5"/>
  <c r="E7" i="5"/>
  <c r="E6" i="5"/>
  <c r="D7" i="5"/>
  <c r="A7" i="5"/>
  <c r="F26" i="4"/>
  <c r="F25" i="4"/>
  <c r="F24" i="4"/>
  <c r="F19" i="4"/>
  <c r="F5" i="5"/>
  <c r="F4" i="5"/>
  <c r="F3" i="5"/>
  <c r="E5" i="4"/>
  <c r="E5" i="5"/>
  <c r="E4" i="5"/>
  <c r="E3" i="5"/>
  <c r="D4" i="5"/>
  <c r="A4" i="5"/>
  <c r="S3" i="5"/>
  <c r="S3" i="4"/>
  <c r="Q3" i="3"/>
  <c r="S3" i="2"/>
  <c r="Q33" i="5"/>
  <c r="Q32" i="5"/>
  <c r="S20" i="5"/>
  <c r="L20" i="5"/>
  <c r="L6" i="5"/>
  <c r="R5" i="5"/>
  <c r="P5" i="5"/>
  <c r="L64" i="1"/>
  <c r="L63" i="1"/>
  <c r="L62" i="1"/>
  <c r="L61" i="1"/>
  <c r="L60" i="1"/>
  <c r="L59" i="1"/>
  <c r="L58" i="1"/>
  <c r="L57" i="1"/>
  <c r="L56" i="1"/>
  <c r="M55" i="1"/>
  <c r="L55" i="1"/>
  <c r="Q33" i="4"/>
  <c r="Q32" i="4"/>
  <c r="Q33" i="2"/>
  <c r="Q32" i="2"/>
  <c r="M47" i="1"/>
  <c r="M48" i="1"/>
  <c r="M49" i="1"/>
  <c r="M50" i="1"/>
  <c r="M51" i="1"/>
  <c r="M42" i="1"/>
  <c r="M34" i="1"/>
  <c r="M35" i="1"/>
  <c r="M36" i="1"/>
  <c r="M37" i="1"/>
  <c r="M38" i="1"/>
  <c r="M24" i="1"/>
  <c r="M25" i="1"/>
  <c r="S20" i="4"/>
  <c r="L20" i="4"/>
  <c r="S20" i="2"/>
  <c r="F32" i="4"/>
  <c r="F31" i="4"/>
  <c r="F30" i="4"/>
  <c r="E32" i="4"/>
  <c r="E31" i="4"/>
  <c r="E30" i="4"/>
  <c r="D31" i="4"/>
  <c r="A31" i="4"/>
  <c r="F29" i="4"/>
  <c r="F28" i="4"/>
  <c r="F27" i="4"/>
  <c r="E29" i="4"/>
  <c r="E28" i="4"/>
  <c r="E27" i="4"/>
  <c r="D28" i="4"/>
  <c r="A28" i="4"/>
  <c r="E26" i="4"/>
  <c r="E25" i="4"/>
  <c r="E24" i="4"/>
  <c r="D25" i="4"/>
  <c r="A25" i="4"/>
  <c r="F23" i="4"/>
  <c r="F22" i="4"/>
  <c r="F21" i="4"/>
  <c r="E23" i="4"/>
  <c r="E22" i="4"/>
  <c r="E21" i="4"/>
  <c r="D22" i="4"/>
  <c r="A22" i="4"/>
  <c r="F20" i="4"/>
  <c r="F18" i="4"/>
  <c r="E20" i="4"/>
  <c r="E19" i="4"/>
  <c r="E18" i="4"/>
  <c r="D19" i="4"/>
  <c r="A19" i="4"/>
  <c r="F17" i="4"/>
  <c r="F16" i="4"/>
  <c r="F15" i="4"/>
  <c r="E17" i="4"/>
  <c r="E16" i="4"/>
  <c r="E15" i="4"/>
  <c r="D16" i="4"/>
  <c r="A16" i="4"/>
  <c r="F13" i="4"/>
  <c r="F14" i="4"/>
  <c r="F12" i="4"/>
  <c r="E14" i="4"/>
  <c r="E13" i="4"/>
  <c r="E12" i="4"/>
  <c r="D13" i="4"/>
  <c r="A13" i="4"/>
  <c r="A7" i="2"/>
  <c r="F11" i="4"/>
  <c r="F10" i="4"/>
  <c r="F9" i="4"/>
  <c r="E11" i="4"/>
  <c r="E10" i="4"/>
  <c r="E9" i="4"/>
  <c r="D10" i="4"/>
  <c r="A10" i="4"/>
  <c r="F8" i="4"/>
  <c r="F7" i="4"/>
  <c r="F6" i="4"/>
  <c r="E8" i="4"/>
  <c r="E7" i="4"/>
  <c r="E6" i="4"/>
  <c r="D7" i="4"/>
  <c r="A7" i="4"/>
  <c r="F5" i="4"/>
  <c r="F4" i="4"/>
  <c r="F3" i="4"/>
  <c r="E4" i="4"/>
  <c r="E3" i="4"/>
  <c r="D4" i="4"/>
  <c r="A4" i="4"/>
  <c r="L51" i="1"/>
  <c r="L50" i="1"/>
  <c r="L49" i="1"/>
  <c r="L48" i="1"/>
  <c r="L47" i="1"/>
  <c r="L46" i="1"/>
  <c r="L45" i="1"/>
  <c r="L44" i="1"/>
  <c r="L43" i="1"/>
  <c r="L42" i="1"/>
  <c r="L6" i="4"/>
  <c r="R5" i="4"/>
  <c r="P5" i="4"/>
  <c r="F5" i="2"/>
  <c r="F32" i="2"/>
  <c r="F31" i="2"/>
  <c r="F30" i="2"/>
  <c r="F29" i="2"/>
  <c r="F28" i="2"/>
  <c r="F27" i="2"/>
  <c r="F26" i="2"/>
  <c r="F25" i="2"/>
  <c r="F24" i="2"/>
  <c r="F23" i="2"/>
  <c r="F22" i="2"/>
  <c r="F21" i="2"/>
  <c r="F20" i="2"/>
  <c r="F19" i="2"/>
  <c r="F18" i="2"/>
  <c r="F17" i="2"/>
  <c r="F16" i="2"/>
  <c r="F15" i="2"/>
  <c r="F14" i="2"/>
  <c r="F13" i="2"/>
  <c r="F12" i="2"/>
  <c r="F11" i="2"/>
  <c r="F10" i="2"/>
  <c r="F9" i="2"/>
  <c r="F8" i="2"/>
  <c r="F7" i="2"/>
  <c r="F6" i="2"/>
  <c r="F4" i="2"/>
  <c r="F3" i="2"/>
  <c r="L16" i="1"/>
  <c r="N16" i="1" s="1"/>
  <c r="L38" i="1"/>
  <c r="L37" i="1"/>
  <c r="L36" i="1"/>
  <c r="L35" i="1"/>
  <c r="L34" i="1"/>
  <c r="L33" i="1"/>
  <c r="L32" i="1"/>
  <c r="L31" i="1"/>
  <c r="L30" i="1"/>
  <c r="L29" i="1"/>
  <c r="K33" i="3"/>
  <c r="K32" i="3"/>
  <c r="K31" i="3"/>
  <c r="K30" i="3"/>
  <c r="K29" i="3"/>
  <c r="K28" i="3"/>
  <c r="K27" i="3"/>
  <c r="K26" i="3"/>
  <c r="K25" i="3"/>
  <c r="K24" i="3"/>
  <c r="K23" i="3"/>
  <c r="K22" i="3"/>
  <c r="K21" i="3"/>
  <c r="K20" i="3"/>
  <c r="K19" i="3"/>
  <c r="K18" i="3"/>
  <c r="K17" i="3"/>
  <c r="K16" i="3"/>
  <c r="K15" i="3"/>
  <c r="K14" i="3"/>
  <c r="K13" i="3"/>
  <c r="K12" i="3"/>
  <c r="K11" i="3"/>
  <c r="K10" i="3"/>
  <c r="K8" i="3"/>
  <c r="K9" i="3"/>
  <c r="K6" i="3"/>
  <c r="K7" i="3"/>
  <c r="K5" i="3"/>
  <c r="K4" i="3"/>
  <c r="J33" i="3"/>
  <c r="J32" i="3"/>
  <c r="J31" i="3"/>
  <c r="J30" i="3"/>
  <c r="J29" i="3"/>
  <c r="J28" i="3"/>
  <c r="J27" i="3"/>
  <c r="J26" i="3"/>
  <c r="J25" i="3"/>
  <c r="J24" i="3"/>
  <c r="J23" i="3"/>
  <c r="J22" i="3"/>
  <c r="J21" i="3"/>
  <c r="J20" i="3"/>
  <c r="J19" i="3"/>
  <c r="J18" i="3"/>
  <c r="J17" i="3"/>
  <c r="J16" i="3"/>
  <c r="C6" i="1"/>
  <c r="M4" i="5" s="1"/>
  <c r="I32" i="3"/>
  <c r="I29" i="3"/>
  <c r="I26" i="3"/>
  <c r="I23" i="3"/>
  <c r="I20" i="3"/>
  <c r="I17" i="3"/>
  <c r="B32" i="3"/>
  <c r="B29" i="3"/>
  <c r="B26" i="3"/>
  <c r="B23" i="3"/>
  <c r="B20" i="3"/>
  <c r="B17" i="3"/>
  <c r="L25" i="1"/>
  <c r="L24" i="1"/>
  <c r="P5" i="3"/>
  <c r="L6" i="2"/>
  <c r="R5" i="2"/>
  <c r="P5" i="2"/>
  <c r="E32" i="2"/>
  <c r="E31" i="2"/>
  <c r="E30" i="2"/>
  <c r="E29" i="2"/>
  <c r="E28" i="2"/>
  <c r="E27" i="2"/>
  <c r="E26" i="2"/>
  <c r="E25" i="2"/>
  <c r="E24" i="2"/>
  <c r="E23" i="2"/>
  <c r="E22" i="2"/>
  <c r="E21" i="2"/>
  <c r="E20" i="2"/>
  <c r="E19" i="2"/>
  <c r="E18" i="2"/>
  <c r="E17" i="2"/>
  <c r="E16" i="2"/>
  <c r="E15" i="2"/>
  <c r="E14" i="2"/>
  <c r="E13" i="2"/>
  <c r="E12" i="2"/>
  <c r="E11" i="2"/>
  <c r="E10" i="2"/>
  <c r="E9" i="2"/>
  <c r="E8" i="2"/>
  <c r="E7" i="2"/>
  <c r="E6" i="2"/>
  <c r="E3" i="2"/>
  <c r="D25" i="2"/>
  <c r="D28" i="2"/>
  <c r="D31" i="2"/>
  <c r="A31" i="2"/>
  <c r="A4" i="2"/>
  <c r="D19" i="2"/>
  <c r="D16" i="2"/>
  <c r="D13" i="2"/>
  <c r="D7" i="2"/>
  <c r="D4" i="2"/>
  <c r="D22" i="2"/>
  <c r="A28" i="2"/>
  <c r="A25" i="2"/>
  <c r="A22" i="2"/>
  <c r="A19" i="2"/>
  <c r="A10" i="2"/>
  <c r="A16" i="2"/>
  <c r="A13" i="2"/>
  <c r="O51" i="1"/>
  <c r="C31" i="4" s="1"/>
  <c r="N51" i="1"/>
  <c r="B30" i="4" s="1"/>
  <c r="N62" i="1"/>
  <c r="B24" i="5" s="1"/>
  <c r="N61" i="1"/>
  <c r="B22" i="5" s="1"/>
  <c r="N60" i="1"/>
  <c r="B19" i="5" s="1"/>
  <c r="N64" i="1"/>
  <c r="B32" i="5" s="1"/>
  <c r="N59" i="1"/>
  <c r="B16" i="5" s="1"/>
  <c r="N63" i="1"/>
  <c r="B28" i="5" s="1"/>
  <c r="M64" i="1"/>
  <c r="O64" i="1"/>
  <c r="C32" i="5" s="1"/>
  <c r="M62" i="1"/>
  <c r="O62" i="1"/>
  <c r="C24" i="5" s="1"/>
  <c r="M60" i="1"/>
  <c r="O60" i="1"/>
  <c r="C19" i="5" s="1"/>
  <c r="M63" i="1"/>
  <c r="O63" i="1"/>
  <c r="C29" i="5" s="1"/>
  <c r="M61" i="1"/>
  <c r="O61" i="1"/>
  <c r="C23" i="5" s="1"/>
  <c r="M59" i="1"/>
  <c r="O59" i="1"/>
  <c r="C15" i="5" s="1"/>
  <c r="M29" i="1"/>
  <c r="M58" i="1"/>
  <c r="O58" i="1"/>
  <c r="C12" i="5" s="1"/>
  <c r="M56" i="1"/>
  <c r="O56" i="1"/>
  <c r="C8" i="5" s="1"/>
  <c r="M57" i="1"/>
  <c r="O57" i="1"/>
  <c r="C10" i="5" s="1"/>
  <c r="N57" i="1"/>
  <c r="B9" i="5" s="1"/>
  <c r="N58" i="1"/>
  <c r="B14" i="5" s="1"/>
  <c r="N56" i="1"/>
  <c r="B7" i="5" s="1"/>
  <c r="O55" i="1"/>
  <c r="C4" i="5" s="1"/>
  <c r="N55" i="1"/>
  <c r="B4" i="5" s="1"/>
  <c r="M43" i="1"/>
  <c r="M32" i="1"/>
  <c r="M44" i="1"/>
  <c r="O44" i="1"/>
  <c r="C9" i="4" s="1"/>
  <c r="M33" i="1"/>
  <c r="M45" i="1"/>
  <c r="O45" i="1"/>
  <c r="C12" i="4" s="1"/>
  <c r="M30" i="1"/>
  <c r="M46" i="1"/>
  <c r="M31" i="1"/>
  <c r="O47" i="1"/>
  <c r="C19" i="4" s="1"/>
  <c r="O46" i="1"/>
  <c r="C17" i="4" s="1"/>
  <c r="O48" i="1"/>
  <c r="C21" i="4" s="1"/>
  <c r="O49" i="1"/>
  <c r="C26" i="4" s="1"/>
  <c r="O50" i="1"/>
  <c r="C29" i="4" s="1"/>
  <c r="N49" i="1"/>
  <c r="B25" i="4" s="1"/>
  <c r="N43" i="1"/>
  <c r="B8" i="4" s="1"/>
  <c r="N48" i="1"/>
  <c r="B21" i="4" s="1"/>
  <c r="N44" i="1"/>
  <c r="B9" i="4" s="1"/>
  <c r="N46" i="1"/>
  <c r="B16" i="4" s="1"/>
  <c r="N50" i="1"/>
  <c r="B28" i="4" s="1"/>
  <c r="N47" i="1"/>
  <c r="B18" i="4" s="1"/>
  <c r="N45" i="1"/>
  <c r="B13" i="4" s="1"/>
  <c r="O43" i="1"/>
  <c r="C6" i="4" s="1"/>
  <c r="N42" i="1"/>
  <c r="B5" i="4" s="1"/>
  <c r="O42" i="1"/>
  <c r="C3" i="4" s="1"/>
  <c r="N32" i="1"/>
  <c r="O24" i="1"/>
  <c r="C27" i="2" s="1"/>
  <c r="N29" i="1"/>
  <c r="N35" i="1"/>
  <c r="O35" i="1"/>
  <c r="O34" i="1"/>
  <c r="N25" i="1"/>
  <c r="B31" i="2" s="1"/>
  <c r="N36" i="1"/>
  <c r="O38" i="1"/>
  <c r="N38" i="1"/>
  <c r="O25" i="1"/>
  <c r="C30" i="2" s="1"/>
  <c r="N30" i="1"/>
  <c r="N33" i="1"/>
  <c r="N24" i="1"/>
  <c r="B28" i="2" s="1"/>
  <c r="N31" i="1"/>
  <c r="N34" i="1"/>
  <c r="N37" i="1"/>
  <c r="O31" i="1"/>
  <c r="O30" i="1"/>
  <c r="O37" i="1"/>
  <c r="O33" i="1"/>
  <c r="O29" i="1"/>
  <c r="O36" i="1"/>
  <c r="O32" i="1"/>
  <c r="O19" i="1" l="1"/>
  <c r="C14" i="2" s="1"/>
  <c r="N22" i="1"/>
  <c r="B22" i="2" s="1"/>
  <c r="N23" i="1"/>
  <c r="B25" i="2" s="1"/>
  <c r="O20" i="1"/>
  <c r="M16" i="1"/>
  <c r="O16" i="1" s="1"/>
  <c r="C5" i="2" s="1"/>
  <c r="N21" i="1"/>
  <c r="B18" i="2" s="1"/>
  <c r="O22" i="1"/>
  <c r="C23" i="2" s="1"/>
  <c r="N20" i="1"/>
  <c r="B15" i="2" s="1"/>
  <c r="O21" i="1"/>
  <c r="C19" i="2" s="1"/>
  <c r="B22" i="4"/>
  <c r="B7" i="4"/>
  <c r="C5" i="4"/>
  <c r="B6" i="5"/>
  <c r="C32" i="4"/>
  <c r="B8" i="5"/>
  <c r="B30" i="2"/>
  <c r="B27" i="5"/>
  <c r="C23" i="4"/>
  <c r="B27" i="4"/>
  <c r="B29" i="5"/>
  <c r="C28" i="5"/>
  <c r="C13" i="4"/>
  <c r="C27" i="5"/>
  <c r="C9" i="5"/>
  <c r="C22" i="4"/>
  <c r="C7" i="5"/>
  <c r="C4" i="4"/>
  <c r="B23" i="4"/>
  <c r="C24" i="4"/>
  <c r="B17" i="5"/>
  <c r="B23" i="5"/>
  <c r="B20" i="4"/>
  <c r="B14" i="4"/>
  <c r="C25" i="4"/>
  <c r="B26" i="5"/>
  <c r="C16" i="5"/>
  <c r="C13" i="5"/>
  <c r="B25" i="5"/>
  <c r="B15" i="5"/>
  <c r="B19" i="4"/>
  <c r="B21" i="5"/>
  <c r="C11" i="4"/>
  <c r="B4" i="4"/>
  <c r="B12" i="5"/>
  <c r="C26" i="5"/>
  <c r="C10" i="4"/>
  <c r="B3" i="4"/>
  <c r="C17" i="5"/>
  <c r="B13" i="5"/>
  <c r="C25" i="5"/>
  <c r="B6" i="4"/>
  <c r="B29" i="4"/>
  <c r="B20" i="5"/>
  <c r="N19" i="1"/>
  <c r="B14" i="2" s="1"/>
  <c r="B5" i="2"/>
  <c r="N17" i="1"/>
  <c r="B7" i="2" s="1"/>
  <c r="B4" i="2"/>
  <c r="B3" i="2"/>
  <c r="B8" i="1"/>
  <c r="M4" i="2"/>
  <c r="O17" i="1"/>
  <c r="B32" i="2"/>
  <c r="B11" i="4"/>
  <c r="C3" i="5"/>
  <c r="O18" i="1"/>
  <c r="M4" i="4"/>
  <c r="C20" i="4"/>
  <c r="C5" i="5"/>
  <c r="B17" i="4"/>
  <c r="C16" i="4"/>
  <c r="C21" i="5"/>
  <c r="B31" i="4"/>
  <c r="B10" i="4"/>
  <c r="C14" i="4"/>
  <c r="C27" i="4"/>
  <c r="C30" i="4"/>
  <c r="C11" i="5"/>
  <c r="C6" i="5"/>
  <c r="B18" i="5"/>
  <c r="C20" i="5"/>
  <c r="B26" i="4"/>
  <c r="C30" i="5"/>
  <c r="C7" i="4"/>
  <c r="B24" i="4"/>
  <c r="B30" i="5"/>
  <c r="C31" i="5"/>
  <c r="B29" i="2"/>
  <c r="C8" i="4"/>
  <c r="C18" i="4"/>
  <c r="C28" i="4"/>
  <c r="B15" i="4"/>
  <c r="B12" i="4"/>
  <c r="B32" i="4"/>
  <c r="B3" i="5"/>
  <c r="C14" i="5"/>
  <c r="B10" i="5"/>
  <c r="B31" i="5"/>
  <c r="C22" i="5"/>
  <c r="C18" i="5"/>
  <c r="C15" i="4"/>
  <c r="B5" i="5"/>
  <c r="B11" i="5"/>
  <c r="C28" i="2"/>
  <c r="C29" i="2"/>
  <c r="C31" i="2"/>
  <c r="C32" i="2"/>
  <c r="N18" i="1"/>
  <c r="B27" i="2"/>
  <c r="O23" i="1" l="1"/>
  <c r="B21" i="2"/>
  <c r="B23" i="2"/>
  <c r="C17" i="2"/>
  <c r="C15" i="2"/>
  <c r="C16" i="2"/>
  <c r="B20" i="2"/>
  <c r="C3" i="2"/>
  <c r="B26" i="2"/>
  <c r="B24" i="2"/>
  <c r="C4" i="2"/>
  <c r="C20" i="2"/>
  <c r="B19" i="2"/>
  <c r="B17" i="2"/>
  <c r="C21" i="2"/>
  <c r="B16" i="2"/>
  <c r="C22" i="2"/>
  <c r="C18" i="2"/>
  <c r="C10" i="2"/>
  <c r="D11" i="3"/>
  <c r="D10" i="3"/>
  <c r="D12" i="3"/>
  <c r="C11" i="2"/>
  <c r="C9" i="2"/>
  <c r="C7" i="2"/>
  <c r="D7" i="3"/>
  <c r="D9" i="3"/>
  <c r="D8" i="3"/>
  <c r="C8" i="2"/>
  <c r="C6" i="2"/>
  <c r="C12" i="2"/>
  <c r="C13" i="2"/>
  <c r="D15" i="3"/>
  <c r="D14" i="3"/>
  <c r="D13" i="3"/>
  <c r="C11" i="3"/>
  <c r="C10" i="3"/>
  <c r="C12" i="3"/>
  <c r="B6" i="2"/>
  <c r="C7" i="3"/>
  <c r="B8" i="2"/>
  <c r="C9" i="3"/>
  <c r="C8" i="3"/>
  <c r="B13" i="2"/>
  <c r="C15" i="3"/>
  <c r="B12" i="2"/>
  <c r="C14" i="3"/>
  <c r="C13" i="3"/>
  <c r="B11" i="2"/>
  <c r="B10" i="2"/>
  <c r="B9" i="2"/>
  <c r="C25" i="2" l="1"/>
  <c r="C24" i="2"/>
  <c r="C2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00000000-0006-0000-0000-000001000000}">
      <text>
        <r>
          <rPr>
            <b/>
            <sz val="10"/>
            <color rgb="FF000000"/>
            <rFont val="Tahoma"/>
            <family val="2"/>
          </rPr>
          <t>Stephen Hinde:</t>
        </r>
        <r>
          <rPr>
            <sz val="10"/>
            <color rgb="FF000000"/>
            <rFont val="Tahoma"/>
            <family val="2"/>
          </rPr>
          <t xml:space="preserve">Revision date of the brevet details on this sheet
</t>
        </r>
      </text>
    </comment>
    <comment ref="B6" authorId="0" shapeId="0" xr:uid="{00000000-0006-0000-0000-000002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
</t>
        </r>
        <r>
          <rPr>
            <sz val="10"/>
            <color rgb="FF000000"/>
            <rFont val="Tahoma"/>
            <family val="2"/>
          </rPr>
          <t>eg 200, 300, 400, 600</t>
        </r>
      </text>
    </comment>
    <comment ref="B8" authorId="1" shapeId="0" xr:uid="{00000000-0006-0000-0000-000003000000}">
      <text>
        <r>
          <rPr>
            <sz val="8"/>
            <color rgb="FF000000"/>
            <rFont val="Tahoma"/>
            <family val="2"/>
          </rPr>
          <t>Autocalculated based on ACP specified times</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1" authorId="0" shapeId="0" xr:uid="{00000000-0006-0000-0000-000005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13" authorId="0" shapeId="0" xr:uid="{00000000-0006-0000-0000-000006000000}">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4" authorId="0" shapeId="0" xr:uid="{00000000-0006-0000-0000-000007000000}">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List>
</comments>
</file>

<file path=xl/sharedStrings.xml><?xml version="1.0" encoding="utf-8"?>
<sst xmlns="http://schemas.openxmlformats.org/spreadsheetml/2006/main" count="368" uniqueCount="129">
  <si>
    <t>Start time</t>
  </si>
  <si>
    <t>Finish time</t>
  </si>
  <si>
    <t>Elapsed time</t>
  </si>
  <si>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</si>
  <si>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</si>
  <si>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</si>
  <si>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</si>
  <si>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</si>
  <si>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</si>
  <si>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</si>
  <si>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</si>
  <si>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</si>
  <si>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</si>
  <si>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</si>
  <si>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</si>
  <si>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</si>
  <si>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</si>
  <si>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</si>
  <si>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Maximum Time:</t>
  </si>
  <si>
    <t>Start Date:</t>
  </si>
  <si>
    <t>Start Time:</t>
  </si>
  <si>
    <t>Distance</t>
  </si>
  <si>
    <t>Locale</t>
  </si>
  <si>
    <t>Establishment 1</t>
  </si>
  <si>
    <t>Establishment 2</t>
  </si>
  <si>
    <t>Establishment 3</t>
  </si>
  <si>
    <t>|</t>
  </si>
  <si>
    <t>DIST (km)</t>
  </si>
  <si>
    <t>Establishment</t>
  </si>
  <si>
    <t>Time of Passage</t>
  </si>
  <si>
    <t>Control Card</t>
  </si>
  <si>
    <t>Name</t>
  </si>
  <si>
    <t>Address</t>
  </si>
  <si>
    <t>City</t>
  </si>
  <si>
    <t>Province/State</t>
  </si>
  <si>
    <t>Country</t>
  </si>
  <si>
    <t>Postal Code</t>
  </si>
  <si>
    <t>Telephone</t>
  </si>
  <si>
    <t>email</t>
  </si>
  <si>
    <t>Randonneur Committee Authorization</t>
  </si>
  <si>
    <t>Report results or abandonment through registration email link</t>
  </si>
  <si>
    <t>Start Date</t>
  </si>
  <si>
    <t>Finish Date</t>
  </si>
  <si>
    <t>Member #</t>
  </si>
  <si>
    <t xml:space="preserve">Brevet No. </t>
  </si>
  <si>
    <t>Schedule date:</t>
  </si>
  <si>
    <t>Single</t>
  </si>
  <si>
    <t>Tandem</t>
  </si>
  <si>
    <t>Fixed</t>
  </si>
  <si>
    <t>Recumbent</t>
  </si>
  <si>
    <t>Velomobile</t>
  </si>
  <si>
    <t>(only add if change needed to database)</t>
  </si>
  <si>
    <t>Founding member of LES RANDONNEURS MONDIAUX (1983)</t>
  </si>
  <si>
    <t>Bicycle Type
Circle one</t>
  </si>
  <si>
    <t>-------&gt;</t>
  </si>
  <si>
    <t>Ride Day Emergency Contact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</si>
  <si>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</si>
  <si>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</si>
  <si>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</si>
  <si>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</si>
  <si>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</si>
  <si>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</si>
  <si>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</si>
  <si>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</si>
  <si>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</si>
  <si>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</si>
  <si>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Fill in the control distance.  The opening and closing times will be automatically calculated based on the start time and the brevet distance.  If you need more than 10 controls, use card #2, otherwise leave that section blank.</t>
  </si>
  <si>
    <t>Control Card #1 Information Control Question (optional)</t>
  </si>
  <si>
    <t>Control Card #2 Information Control Question (optional)</t>
  </si>
  <si>
    <t xml:space="preserve">Control Card </t>
  </si>
  <si>
    <r>
      <t xml:space="preserve">At each control, please have signed or </t>
    </r>
    <r>
      <rPr>
        <b/>
        <i/>
        <sz val="16"/>
        <rFont val="Arial"/>
        <family val="2"/>
      </rPr>
      <t>answer question</t>
    </r>
    <r>
      <rPr>
        <i/>
        <sz val="16"/>
        <rFont val="Arial"/>
        <family val="2"/>
      </rPr>
      <t xml:space="preserve"> and</t>
    </r>
    <r>
      <rPr>
        <b/>
        <i/>
        <sz val="16"/>
        <rFont val="Arial"/>
        <family val="2"/>
      </rPr>
      <t xml:space="preserve"> note time of day</t>
    </r>
  </si>
  <si>
    <t>Enter the start time.  This will be the official ACP listed start time found on the event page, unless a ride window has been enabled.</t>
  </si>
  <si>
    <t>Enter the start date.  This will be the same as the schedule date, exceot for pre-rides or unless a ride window has been enabled.</t>
  </si>
  <si>
    <t>Control Card #2</t>
  </si>
  <si>
    <t>Control Card #3 Information Control Question (optional)</t>
  </si>
  <si>
    <t>Control Card #3</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</si>
  <si>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</si>
  <si>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</si>
  <si>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</si>
  <si>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DO NOT DELETE OR MOVE ROWS OR COLUMNS (delete contents of cells only)</t>
  </si>
  <si>
    <t>Scroll right to see further instructions</t>
  </si>
  <si>
    <t xml:space="preserve">Card Revised:  </t>
  </si>
  <si>
    <t>Control Card #4</t>
  </si>
  <si>
    <t>Control Card #4 Information Control Question (optional)</t>
  </si>
  <si>
    <t>You can create 4 control cards  (upto 40 controls) for one event, or 4 control cards (up to 10 controls) with different start loctions for a single event, or 2 sets of 2 control cards.  Control Card #1 will only show '#1' if a distance, not zero, is entered into the first distance box for Control Card #2.  Similarly for Control Card #3 and Control Card #4.  If CC#3 starts at distance 0 and CC#4 has a distance greater than 0, then CC#3 will display as CC#1 and CC#4 will display as CC#2.  This allows for 2 cards for start location 1 and two cards for start location 2.</t>
  </si>
  <si>
    <t>SIGN HERE AND RECORD RESULTS ON CARD #1</t>
  </si>
  <si>
    <t xml:space="preserve">Grando Control Card </t>
  </si>
  <si>
    <t>ACP</t>
  </si>
  <si>
    <t>RUSA</t>
  </si>
  <si>
    <t>AUDUX Australia</t>
  </si>
  <si>
    <t>Rider:___________________________________________________</t>
  </si>
  <si>
    <t>Member #:__________________</t>
  </si>
  <si>
    <t>Start date</t>
  </si>
  <si>
    <t>_______________________________________________________________________</t>
  </si>
  <si>
    <t>GRANDO Length:</t>
  </si>
  <si>
    <t>GRANDO Description:</t>
  </si>
  <si>
    <t>Event Number:</t>
  </si>
  <si>
    <t>Gravel Permanent - Iron Mine Bay</t>
  </si>
  <si>
    <t>ROYAL OAK</t>
  </si>
  <si>
    <t>SAANICH</t>
  </si>
  <si>
    <t>Information</t>
  </si>
  <si>
    <t>% Unpaved</t>
  </si>
  <si>
    <t>EAST SOOKE</t>
  </si>
  <si>
    <t>East Sooke Park</t>
  </si>
  <si>
    <t>Pike Rd @ Coast Trail</t>
  </si>
  <si>
    <t>Tim Hortons</t>
  </si>
  <si>
    <t>1099 McKenzie Ave</t>
  </si>
  <si>
    <t>@Borden St</t>
  </si>
  <si>
    <t>Permanent #:  5306</t>
  </si>
  <si>
    <t>Rider's signature at finish:</t>
  </si>
  <si>
    <t>Staffed</t>
  </si>
  <si>
    <t>Beaver Lake Park</t>
  </si>
  <si>
    <t>Elk Lake Dr @ Trail</t>
  </si>
  <si>
    <t>____________________</t>
  </si>
  <si>
    <t>100km Permanent - Cowichan Gravel</t>
  </si>
  <si>
    <t xml:space="preserve">RUSTICANA'S </t>
  </si>
  <si>
    <t>START:  801 Deloume Rd, Mill Bay</t>
  </si>
  <si>
    <t>KINSOL TRESTLE</t>
  </si>
  <si>
    <t>HOLT CREEK BRIDGE</t>
  </si>
  <si>
    <t>SAYWELL PARK</t>
  </si>
  <si>
    <t>ST. ANN'S CHURCH</t>
  </si>
  <si>
    <t>FINISH:  801 Delourme Rd, Mill Bay</t>
  </si>
  <si>
    <t>The work began on Kinsol Trestle in</t>
  </si>
  <si>
    <t>Number of logs which make up the bridge deck</t>
  </si>
  <si>
    <t>Number of Windows you can see on church from where you are standing</t>
  </si>
  <si>
    <t>_______</t>
  </si>
  <si>
    <t>19____</t>
  </si>
  <si>
    <t>The Riparian Restoration began in</t>
  </si>
  <si>
    <t>20____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</si>
</sst>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
  </numFmts>
  <fonts count="35"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i/>
      <sz val="14"/>
      <name val="Arial"/>
      <family val="2"/>
    </font>
    <font>
      <sz val="18"/>
      <name val="Arial"/>
      <family val="2"/>
    </font>
    <font>
      <sz val="14"/>
      <name val="Arial Narrow"/>
      <family val="2"/>
    </font>
    <font>
      <b/>
      <sz val="14"/>
      <name val="Arial Narrow"/>
      <family val="2"/>
    </font>
    <font>
      <b/>
      <sz val="16"/>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0"/>
      <color rgb="FFFF0000"/>
      <name val="Arial"/>
      <family val="2"/>
    </font>
    <font>
      <sz val="20"/>
      <color theme="0" tint="-0.249977111117893"/>
      <name val="Impact"/>
      <family val="2"/>
    </font>
    <font>
      <sz val="16"/>
      <color rgb="FFFF0000"/>
      <name val="Arial"/>
      <family val="2"/>
    </font>
    <font>
      <sz val="9"/>
      <name val="Arial"/>
      <family val="2"/>
    </font>
    <font>
      <sz val="11"/>
      <name val="Arial Narrow"/>
      <family val="2"/>
    </font>
    <font>
      <sz val="28"/>
      <name val="Arial"/>
      <family val="2"/>
    </font>
    <font>
      <u/>
      <sz val="10"/>
      <name val="Arial"/>
      <family val="2"/>
    </font>
  </fonts>
  <fills count="4">
    <fill>
      <patternFill patternType="none"/>
    </fill>
    <fill>
      <patternFill patternType="gray125"/>
    </fill>
    <fill>
      <patternFill patternType="solid">
        <fgColor indexed="22"/>
        <bgColor indexed="64"/>
      </patternFill>
    </fill>
    <fill>
      <patternFill patternType="solid">
        <fgColor theme="0" tint="-4.9989318521683403E-2"/>
        <bgColor indexed="64"/>
      </patternFill>
    </fill>
  </fills>
  <borders count="32">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right style="thin">
        <color auto="1"/>
      </right>
      <top/>
      <bottom/>
      <diagonal/>
    </border>
    <border>
      <left style="medium">
        <color auto="1"/>
      </left>
      <right style="medium">
        <color auto="1"/>
      </right>
      <top style="medium">
        <color auto="1"/>
      </top>
      <bottom/>
      <diagonal/>
    </border>
  </borders>
  <cellStyleXfs count="416">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4" fillId="0" borderId="0"/>
    <xf numFmtId="0" fontId="4" fillId="0" borderId="0"/>
    <xf numFmtId="0" fontId="5" fillId="0" borderId="0"/>
    <xf numFmtId="0" fontId="3" fillId="0" borderId="0"/>
    <xf numFmtId="0" fontId="2" fillId="0" borderId="0"/>
    <xf numFmtId="0" fontId="1"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91">
    <xf numFmtId="0" fontId="0" fillId="0" borderId="0" xfId="0"/>
    <xf numFmtId="0" fontId="0" fillId="0" borderId="16" xfId="0" applyBorder="1"/>
    <xf numFmtId="0" fontId="0" fillId="0" borderId="0" xfId="0" applyAlignment="1">
      <alignment horizontal="right"/>
    </xf>
    <xf numFmtId="0" fontId="0" fillId="0" borderId="0" xfId="0" applyProtection="1">
      <protection hidden="1"/>
    </xf>
    <xf numFmtId="164" fontId="0" fillId="0" borderId="0" xfId="0" applyNumberFormat="1" applyBorder="1"/>
    <xf numFmtId="164" fontId="0" fillId="0" borderId="0" xfId="0" applyNumberFormat="1" applyBorder="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0" borderId="0" xfId="0" applyAlignment="1">
      <alignment vertical="top" textRotation="90"/>
    </xf>
    <xf numFmtId="0" fontId="10" fillId="0" borderId="0" xfId="0" applyFont="1"/>
    <xf numFmtId="0" fontId="0" fillId="0" borderId="19" xfId="0" applyBorder="1"/>
    <xf numFmtId="0" fontId="0" fillId="0" borderId="6" xfId="0" applyBorder="1"/>
    <xf numFmtId="0" fontId="10" fillId="0" borderId="0" xfId="0" applyFont="1" applyProtection="1"/>
    <xf numFmtId="0" fontId="0" fillId="0" borderId="0" xfId="0" applyProtection="1"/>
    <xf numFmtId="0" fontId="0" fillId="0" borderId="20" xfId="0" applyBorder="1" applyProtection="1"/>
    <xf numFmtId="0" fontId="0" fillId="0" borderId="21" xfId="0" applyBorder="1" applyProtection="1"/>
    <xf numFmtId="0" fontId="0" fillId="0" borderId="0" xfId="0" applyBorder="1" applyProtection="1"/>
    <xf numFmtId="0" fontId="0" fillId="0" borderId="17" xfId="0" applyBorder="1" applyProtection="1"/>
    <xf numFmtId="0" fontId="0" fillId="0" borderId="0" xfId="0" applyBorder="1" applyAlignment="1" applyProtection="1">
      <alignment horizontal="centerContinuous"/>
      <protection hidden="1"/>
    </xf>
    <xf numFmtId="0" fontId="0" fillId="0" borderId="0" xfId="0" applyBorder="1" applyAlignment="1">
      <alignment horizontal="centerContinuous"/>
    </xf>
    <xf numFmtId="167" fontId="0" fillId="0" borderId="13" xfId="0" applyNumberFormat="1" applyBorder="1" applyProtection="1">
      <protection locked="0"/>
    </xf>
    <xf numFmtId="0" fontId="0" fillId="0" borderId="0" xfId="0" applyBorder="1" applyAlignment="1">
      <alignment horizontal="center"/>
    </xf>
    <xf numFmtId="0" fontId="0" fillId="0" borderId="0" xfId="0" applyBorder="1"/>
    <xf numFmtId="167" fontId="13" fillId="0" borderId="16" xfId="0" applyNumberFormat="1" applyFont="1" applyBorder="1" applyAlignment="1">
      <alignment horizontal="center" wrapText="1"/>
    </xf>
    <xf numFmtId="166" fontId="13" fillId="0" borderId="16" xfId="0" applyNumberFormat="1" applyFont="1" applyBorder="1" applyAlignment="1">
      <alignment horizontal="center" vertical="center" wrapText="1"/>
    </xf>
    <xf numFmtId="0" fontId="13" fillId="0" borderId="17" xfId="0" applyFont="1" applyBorder="1" applyAlignment="1">
      <alignment horizontal="center" vertical="center"/>
    </xf>
    <xf numFmtId="0" fontId="14" fillId="0" borderId="16" xfId="0" applyFont="1" applyBorder="1" applyAlignment="1">
      <alignment horizontal="center" vertical="center" wrapText="1"/>
    </xf>
    <xf numFmtId="167" fontId="13" fillId="0" borderId="7" xfId="0" applyNumberFormat="1" applyFont="1" applyBorder="1"/>
    <xf numFmtId="165" fontId="13" fillId="0" borderId="7" xfId="0" applyNumberFormat="1" applyFont="1" applyBorder="1" applyAlignment="1">
      <alignment horizontal="center" vertical="center" wrapText="1"/>
    </xf>
    <xf numFmtId="0" fontId="13" fillId="0" borderId="18" xfId="0" applyFont="1" applyBorder="1" applyAlignment="1">
      <alignment horizontal="center" vertical="center"/>
    </xf>
    <xf numFmtId="0" fontId="14" fillId="0" borderId="7" xfId="0" applyFont="1" applyBorder="1" applyAlignment="1">
      <alignment horizontal="center" vertical="center" wrapText="1"/>
    </xf>
    <xf numFmtId="0" fontId="13" fillId="0" borderId="16" xfId="0" applyFont="1" applyBorder="1" applyAlignment="1">
      <alignment horizontal="center" vertical="center"/>
    </xf>
    <xf numFmtId="167" fontId="15" fillId="0" borderId="16" xfId="0" applyNumberFormat="1" applyFont="1" applyBorder="1" applyAlignment="1">
      <alignment horizontal="center" vertical="center"/>
    </xf>
    <xf numFmtId="18" fontId="15"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167" fontId="12" fillId="0" borderId="0" xfId="0" applyNumberFormat="1"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center" vertical="justify"/>
    </xf>
    <xf numFmtId="0" fontId="10" fillId="0" borderId="0" xfId="0" applyFont="1" applyBorder="1" applyAlignment="1" applyProtection="1">
      <alignment horizontal="right"/>
    </xf>
    <xf numFmtId="0" fontId="10" fillId="0" borderId="0" xfId="0" applyFont="1" applyBorder="1" applyAlignment="1" applyProtection="1">
      <alignment horizontal="left"/>
    </xf>
    <xf numFmtId="0" fontId="10" fillId="0" borderId="0" xfId="0" applyFont="1" applyAlignment="1" applyProtection="1"/>
    <xf numFmtId="0" fontId="5" fillId="2" borderId="3" xfId="0" applyFont="1" applyFill="1" applyBorder="1" applyAlignment="1">
      <alignment horizontal="right"/>
    </xf>
    <xf numFmtId="168" fontId="10" fillId="0" borderId="0" xfId="0" applyNumberFormat="1" applyFont="1" applyBorder="1" applyAlignment="1">
      <alignment horizontal="center"/>
    </xf>
    <xf numFmtId="0" fontId="10" fillId="0" borderId="0" xfId="0" quotePrefix="1" applyFont="1" applyAlignment="1">
      <alignment horizontal="right" vertical="center"/>
    </xf>
    <xf numFmtId="0" fontId="10" fillId="0" borderId="0" xfId="0" applyFont="1" applyAlignment="1">
      <alignment vertical="center"/>
    </xf>
    <xf numFmtId="167" fontId="0" fillId="0" borderId="24" xfId="0" applyNumberFormat="1" applyBorder="1" applyProtection="1">
      <protection locked="0"/>
    </xf>
    <xf numFmtId="0" fontId="14" fillId="0" borderId="16" xfId="0" applyFont="1" applyBorder="1" applyAlignment="1">
      <alignment horizontal="center" vertical="top" wrapText="1"/>
    </xf>
    <xf numFmtId="0" fontId="6" fillId="0" borderId="0" xfId="0" applyFont="1" applyBorder="1" applyAlignment="1" applyProtection="1">
      <alignment wrapText="1"/>
    </xf>
    <xf numFmtId="0" fontId="10" fillId="0" borderId="0" xfId="0" applyFont="1" applyBorder="1"/>
    <xf numFmtId="0" fontId="10" fillId="0" borderId="0" xfId="0" applyFont="1" applyBorder="1" applyProtection="1"/>
    <xf numFmtId="168" fontId="10" fillId="0" borderId="0" xfId="0" applyNumberFormat="1" applyFont="1" applyBorder="1" applyAlignment="1">
      <alignment horizontal="center"/>
    </xf>
    <xf numFmtId="0" fontId="10" fillId="0" borderId="0" xfId="0" applyFont="1" applyAlignment="1">
      <alignment horizontal="center"/>
    </xf>
    <xf numFmtId="0" fontId="10" fillId="0" borderId="0" xfId="0" applyFont="1" applyBorder="1" applyAlignment="1">
      <alignment horizontal="center"/>
    </xf>
    <xf numFmtId="18" fontId="23" fillId="0" borderId="0" xfId="0" applyNumberFormat="1" applyFont="1" applyBorder="1" applyAlignment="1">
      <alignment horizontal="center" wrapText="1"/>
    </xf>
    <xf numFmtId="0" fontId="10" fillId="0" borderId="0" xfId="0" applyNumberFormat="1" applyFont="1" applyBorder="1" applyAlignment="1" applyProtection="1">
      <alignment horizontal="left" vertical="center"/>
    </xf>
    <xf numFmtId="169" fontId="10" fillId="0" borderId="0" xfId="0" applyNumberFormat="1" applyFont="1" applyBorder="1" applyAlignment="1" applyProtection="1">
      <alignment horizontal="left" vertical="center"/>
    </xf>
    <xf numFmtId="0" fontId="27" fillId="2" borderId="12" xfId="0" applyFont="1" applyFill="1" applyBorder="1"/>
    <xf numFmtId="0" fontId="27" fillId="2" borderId="10" xfId="0" applyFont="1" applyFill="1" applyBorder="1"/>
    <xf numFmtId="167" fontId="0" fillId="0" borderId="22" xfId="0" applyNumberFormat="1" applyBorder="1" applyProtection="1">
      <protection locked="0"/>
    </xf>
    <xf numFmtId="0" fontId="13" fillId="0" borderId="18" xfId="0" applyFont="1" applyBorder="1" applyProtection="1">
      <protection locked="0"/>
    </xf>
    <xf numFmtId="49" fontId="13" fillId="0" borderId="18" xfId="0" applyNumberFormat="1" applyFont="1" applyBorder="1" applyAlignment="1" applyProtection="1">
      <alignment horizontal="center"/>
      <protection locked="0"/>
    </xf>
    <xf numFmtId="49" fontId="13" fillId="0" borderId="8" xfId="0" applyNumberFormat="1" applyFont="1" applyBorder="1" applyAlignment="1" applyProtection="1">
      <alignment horizontal="center"/>
      <protection locked="0"/>
    </xf>
    <xf numFmtId="0" fontId="13" fillId="0" borderId="2" xfId="0" applyFont="1" applyBorder="1" applyProtection="1">
      <protection locked="0"/>
    </xf>
    <xf numFmtId="1" fontId="13" fillId="0" borderId="4" xfId="0" applyNumberFormat="1" applyFont="1" applyBorder="1" applyProtection="1">
      <protection locked="0"/>
    </xf>
    <xf numFmtId="15" fontId="13" fillId="0" borderId="4" xfId="0" applyNumberFormat="1" applyFont="1" applyBorder="1" applyProtection="1">
      <protection locked="0"/>
    </xf>
    <xf numFmtId="20" fontId="13" fillId="0" borderId="8" xfId="0" applyNumberFormat="1" applyFont="1" applyBorder="1" applyProtection="1">
      <protection locked="0"/>
    </xf>
    <xf numFmtId="0" fontId="28" fillId="0" borderId="0" xfId="0" applyFont="1"/>
    <xf numFmtId="0" fontId="7" fillId="2" borderId="15" xfId="0" applyFont="1" applyFill="1" applyBorder="1" applyAlignment="1">
      <alignment horizontal="center" vertical="center" wrapText="1"/>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5" xfId="0" applyFont="1" applyBorder="1" applyProtection="1">
      <protection locked="0"/>
    </xf>
    <xf numFmtId="49" fontId="5" fillId="0" borderId="25" xfId="0" applyNumberFormat="1" applyFont="1" applyBorder="1" applyAlignment="1" applyProtection="1">
      <alignment horizontal="center"/>
      <protection locked="0"/>
    </xf>
    <xf numFmtId="49" fontId="5" fillId="0" borderId="23" xfId="0" applyNumberFormat="1" applyFont="1" applyBorder="1" applyAlignment="1" applyProtection="1">
      <alignment horizontal="center"/>
      <protection locked="0"/>
    </xf>
    <xf numFmtId="0" fontId="10" fillId="0" borderId="0" xfId="0" applyFont="1" applyAlignment="1">
      <alignment horizontal="center"/>
    </xf>
    <xf numFmtId="167" fontId="0" fillId="0" borderId="0" xfId="0" applyNumberFormat="1"/>
    <xf numFmtId="0" fontId="14" fillId="0" borderId="7" xfId="0" applyFont="1" applyBorder="1" applyAlignment="1">
      <alignment horizontal="center" vertical="top" wrapText="1"/>
    </xf>
    <xf numFmtId="2" fontId="0" fillId="0" borderId="0" xfId="0" applyNumberFormat="1"/>
    <xf numFmtId="0" fontId="9" fillId="0" borderId="0" xfId="0" applyNumberFormat="1" applyFont="1" applyBorder="1" applyAlignment="1">
      <alignment horizontal="center" wrapText="1"/>
    </xf>
    <xf numFmtId="0" fontId="9" fillId="0" borderId="0" xfId="0" applyFont="1" applyAlignment="1"/>
    <xf numFmtId="0" fontId="27" fillId="2" borderId="26" xfId="0" applyFont="1" applyFill="1" applyBorder="1"/>
    <xf numFmtId="0" fontId="0" fillId="2" borderId="28" xfId="0" applyFill="1" applyBorder="1" applyAlignment="1">
      <alignment horizontal="right"/>
    </xf>
    <xf numFmtId="15" fontId="13" fillId="0" borderId="27" xfId="0" applyNumberFormat="1" applyFont="1" applyBorder="1" applyProtection="1">
      <protection locked="0"/>
    </xf>
    <xf numFmtId="0" fontId="5" fillId="2" borderId="29" xfId="0" applyFont="1" applyFill="1" applyBorder="1" applyAlignment="1">
      <alignment horizontal="right"/>
    </xf>
    <xf numFmtId="0" fontId="6" fillId="0" borderId="0" xfId="0" applyFont="1" applyBorder="1" applyAlignment="1" applyProtection="1">
      <alignment vertical="top" wrapText="1"/>
    </xf>
    <xf numFmtId="0" fontId="0" fillId="0" borderId="0" xfId="0" applyAlignment="1"/>
    <xf numFmtId="0" fontId="5" fillId="0" borderId="0" xfId="0" applyFont="1" applyAlignment="1"/>
    <xf numFmtId="0" fontId="5" fillId="0" borderId="0" xfId="0" applyFont="1" applyAlignment="1">
      <alignment wrapText="1"/>
    </xf>
    <xf numFmtId="0" fontId="0" fillId="0" borderId="0" xfId="0" applyProtection="1">
      <protection locked="0"/>
    </xf>
    <xf numFmtId="0" fontId="14" fillId="0" borderId="16" xfId="0" applyFont="1" applyBorder="1" applyAlignment="1" applyProtection="1">
      <alignment horizontal="center" vertical="center" wrapText="1"/>
      <protection locked="0"/>
    </xf>
    <xf numFmtId="0" fontId="7" fillId="0" borderId="16" xfId="0" applyFont="1" applyBorder="1" applyAlignment="1" applyProtection="1">
      <alignment horizontal="center" wrapText="1"/>
      <protection locked="0"/>
    </xf>
    <xf numFmtId="0" fontId="14" fillId="0" borderId="16" xfId="0" applyFont="1" applyBorder="1" applyAlignment="1" applyProtection="1">
      <alignment horizontal="center" vertical="top" wrapText="1"/>
      <protection locked="0"/>
    </xf>
    <xf numFmtId="0" fontId="14" fillId="0" borderId="7" xfId="0" applyFont="1" applyBorder="1" applyAlignment="1" applyProtection="1">
      <alignment horizontal="center" wrapText="1"/>
      <protection locked="0"/>
    </xf>
    <xf numFmtId="0" fontId="7" fillId="0" borderId="7" xfId="0" applyFont="1" applyBorder="1" applyProtection="1">
      <protection locked="0"/>
    </xf>
    <xf numFmtId="0" fontId="14" fillId="0" borderId="7" xfId="0" applyFont="1" applyBorder="1" applyAlignment="1" applyProtection="1">
      <alignment horizontal="center" vertical="center" wrapText="1"/>
      <protection locked="0"/>
    </xf>
    <xf numFmtId="168" fontId="10" fillId="0" borderId="18" xfId="0" applyNumberFormat="1" applyFont="1" applyBorder="1" applyAlignment="1" applyProtection="1">
      <alignment horizontal="center"/>
      <protection locked="0"/>
    </xf>
    <xf numFmtId="0" fontId="0" fillId="0" borderId="19" xfId="0" applyBorder="1" applyProtection="1"/>
    <xf numFmtId="0" fontId="0" fillId="0" borderId="6" xfId="0" applyBorder="1" applyProtection="1"/>
    <xf numFmtId="15" fontId="32" fillId="0" borderId="4" xfId="0" applyNumberFormat="1" applyFont="1" applyBorder="1" applyAlignment="1" applyProtection="1">
      <alignment horizontal="center"/>
      <protection locked="0"/>
    </xf>
    <xf numFmtId="0" fontId="31" fillId="2" borderId="29" xfId="0" applyFont="1" applyFill="1" applyBorder="1" applyAlignment="1">
      <alignment horizontal="right"/>
    </xf>
    <xf numFmtId="15" fontId="31" fillId="2" borderId="2" xfId="0" applyNumberFormat="1" applyFont="1" applyFill="1" applyBorder="1" applyAlignment="1">
      <alignment horizontal="left"/>
    </xf>
    <xf numFmtId="0" fontId="31" fillId="0" borderId="0" xfId="0" applyFont="1" applyAlignment="1"/>
    <xf numFmtId="0" fontId="31" fillId="0" borderId="0" xfId="0" applyFont="1"/>
    <xf numFmtId="0" fontId="31" fillId="0" borderId="0" xfId="0" applyFont="1" applyAlignment="1">
      <alignment wrapText="1"/>
    </xf>
    <xf numFmtId="0" fontId="28" fillId="0" borderId="0" xfId="0" applyFont="1" applyAlignment="1">
      <alignment horizontal="right"/>
    </xf>
    <xf numFmtId="0" fontId="10" fillId="0" borderId="0" xfId="0" applyFont="1" applyAlignment="1">
      <alignment horizontal="center" vertical="center"/>
    </xf>
    <xf numFmtId="0" fontId="10" fillId="0" borderId="0" xfId="0" applyFont="1" applyAlignment="1">
      <alignment horizontal="right" vertical="center"/>
    </xf>
    <xf numFmtId="0" fontId="0" fillId="0" borderId="0" xfId="0" applyAlignment="1">
      <alignment horizontal="left" vertical="top"/>
    </xf>
    <xf numFmtId="0" fontId="10" fillId="0" borderId="30" xfId="0" applyFont="1" applyBorder="1" applyAlignment="1">
      <alignment horizontal="center" vertical="center"/>
    </xf>
    <xf numFmtId="0" fontId="10" fillId="0" borderId="0" xfId="0" applyFont="1" applyAlignment="1">
      <alignment horizontal="left"/>
    </xf>
    <xf numFmtId="0" fontId="0" fillId="0" borderId="14" xfId="0" applyFont="1" applyBorder="1" applyProtection="1">
      <protection locked="0"/>
    </xf>
    <xf numFmtId="49" fontId="0" fillId="0" borderId="14" xfId="0" applyNumberFormat="1" applyFont="1" applyBorder="1" applyAlignment="1" applyProtection="1">
      <alignment horizontal="center"/>
      <protection locked="0"/>
    </xf>
    <xf numFmtId="49" fontId="0" fillId="0" borderId="4" xfId="0" applyNumberFormat="1" applyFont="1" applyBorder="1" applyAlignment="1" applyProtection="1">
      <alignment horizontal="center"/>
      <protection locked="0"/>
    </xf>
    <xf numFmtId="1" fontId="0" fillId="2" borderId="4" xfId="0" applyNumberFormat="1" applyFill="1" applyBorder="1"/>
    <xf numFmtId="9" fontId="13" fillId="0" borderId="4" xfId="0" applyNumberFormat="1" applyFont="1" applyBorder="1" applyProtection="1">
      <protection locked="0"/>
    </xf>
    <xf numFmtId="0" fontId="14" fillId="3" borderId="16" xfId="0" applyFont="1" applyFill="1" applyBorder="1" applyAlignment="1" applyProtection="1">
      <alignment horizontal="center" vertical="center" wrapText="1"/>
      <protection locked="0"/>
    </xf>
    <xf numFmtId="0" fontId="7" fillId="3" borderId="16" xfId="0" applyFont="1" applyFill="1" applyBorder="1" applyAlignment="1" applyProtection="1">
      <alignment horizontal="center" wrapText="1"/>
      <protection locked="0"/>
    </xf>
    <xf numFmtId="0" fontId="14" fillId="3" borderId="7" xfId="0" applyFont="1" applyFill="1" applyBorder="1" applyAlignment="1" applyProtection="1">
      <alignment horizontal="center" vertical="center" wrapText="1"/>
      <protection locked="0"/>
    </xf>
    <xf numFmtId="0" fontId="7" fillId="3" borderId="7" xfId="0" applyFont="1" applyFill="1" applyBorder="1" applyProtection="1">
      <protection locked="0"/>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10" xfId="0" applyFill="1" applyBorder="1" applyAlignment="1">
      <alignment horizontal="center"/>
    </xf>
    <xf numFmtId="0" fontId="31" fillId="0" borderId="0" xfId="0" applyFont="1" applyAlignment="1">
      <alignment horizontal="left" vertical="top" wrapText="1"/>
    </xf>
    <xf numFmtId="0" fontId="30" fillId="0" borderId="0" xfId="0" applyFont="1" applyAlignment="1">
      <alignment horizontal="left"/>
    </xf>
    <xf numFmtId="0" fontId="13" fillId="0" borderId="9" xfId="0" applyFont="1" applyBorder="1" applyAlignment="1" applyProtection="1">
      <alignment horizontal="left"/>
      <protection locked="0"/>
    </xf>
    <xf numFmtId="0" fontId="13" fillId="0" borderId="5" xfId="0" applyFont="1" applyBorder="1" applyAlignment="1" applyProtection="1">
      <alignment horizontal="left"/>
      <protection locked="0"/>
    </xf>
    <xf numFmtId="0" fontId="13" fillId="0" borderId="10" xfId="0" applyFont="1" applyBorder="1" applyAlignment="1" applyProtection="1">
      <alignment horizontal="left"/>
      <protection locked="0"/>
    </xf>
    <xf numFmtId="0" fontId="28" fillId="0" borderId="0" xfId="0" applyFont="1" applyAlignment="1">
      <alignment horizontal="right"/>
    </xf>
    <xf numFmtId="0" fontId="0" fillId="2" borderId="9" xfId="0" applyFill="1" applyBorder="1" applyAlignment="1">
      <alignment horizontal="center"/>
    </xf>
    <xf numFmtId="0" fontId="10" fillId="0" borderId="0" xfId="0" applyFont="1" applyAlignment="1">
      <alignment horizontal="right" vertical="center"/>
    </xf>
    <xf numFmtId="0" fontId="6" fillId="0" borderId="0" xfId="0" applyFont="1" applyBorder="1" applyAlignment="1" applyProtection="1">
      <alignment horizontal="center" wrapText="1"/>
    </xf>
    <xf numFmtId="0" fontId="10" fillId="0" borderId="0" xfId="0" applyFont="1" applyAlignment="1">
      <alignment horizontal="center" vertical="center"/>
    </xf>
    <xf numFmtId="0" fontId="5" fillId="0" borderId="0" xfId="0" applyFont="1" applyBorder="1" applyAlignment="1">
      <alignment horizontal="right" vertical="top"/>
    </xf>
    <xf numFmtId="0" fontId="0" fillId="0" borderId="0" xfId="0" applyBorder="1" applyAlignment="1">
      <alignment horizontal="right" vertical="top"/>
    </xf>
    <xf numFmtId="15" fontId="0" fillId="0" borderId="0" xfId="0" applyNumberFormat="1" applyBorder="1" applyAlignment="1">
      <alignment horizontal="left" vertical="top"/>
    </xf>
    <xf numFmtId="0" fontId="0" fillId="0" borderId="0" xfId="0" applyBorder="1" applyAlignment="1">
      <alignment horizontal="left" vertical="top"/>
    </xf>
    <xf numFmtId="0" fontId="21" fillId="0" borderId="18" xfId="0" applyFont="1" applyBorder="1" applyAlignment="1">
      <alignment horizontal="center" vertical="center"/>
    </xf>
    <xf numFmtId="167" fontId="12" fillId="0" borderId="20" xfId="0" applyNumberFormat="1" applyFont="1" applyBorder="1" applyAlignment="1">
      <alignment horizontal="center" vertical="center"/>
    </xf>
    <xf numFmtId="0" fontId="10" fillId="0" borderId="0" xfId="0" applyFont="1" applyAlignment="1">
      <alignment horizontal="center" vertical="center" wrapText="1"/>
    </xf>
    <xf numFmtId="0" fontId="10" fillId="0" borderId="5" xfId="0" applyFont="1" applyBorder="1" applyAlignment="1" applyProtection="1">
      <alignment horizontal="left"/>
      <protection locked="0"/>
    </xf>
    <xf numFmtId="0" fontId="12" fillId="0" borderId="18" xfId="0" applyFont="1" applyBorder="1" applyAlignment="1" applyProtection="1">
      <alignment horizontal="left"/>
      <protection locked="0"/>
    </xf>
    <xf numFmtId="168" fontId="10" fillId="0" borderId="0" xfId="0" applyNumberFormat="1" applyFont="1" applyBorder="1" applyAlignment="1">
      <alignment horizontal="left" vertical="center"/>
    </xf>
    <xf numFmtId="0" fontId="0" fillId="0" borderId="0" xfId="0" applyAlignment="1">
      <alignment horizontal="left" vertical="top"/>
    </xf>
    <xf numFmtId="0" fontId="10" fillId="0" borderId="18" xfId="0" applyFont="1" applyBorder="1" applyAlignment="1" applyProtection="1">
      <alignment horizontal="left"/>
      <protection locked="0"/>
    </xf>
    <xf numFmtId="0" fontId="5" fillId="0" borderId="22" xfId="0" applyFont="1" applyBorder="1" applyAlignment="1">
      <alignment horizontal="right"/>
    </xf>
    <xf numFmtId="0" fontId="0" fillId="0" borderId="18" xfId="0" applyBorder="1" applyAlignment="1">
      <alignment horizontal="right"/>
    </xf>
    <xf numFmtId="0" fontId="0" fillId="0" borderId="8" xfId="0" applyBorder="1" applyAlignment="1">
      <alignment horizontal="right"/>
    </xf>
    <xf numFmtId="15" fontId="0" fillId="0" borderId="22" xfId="0" applyNumberFormat="1" applyBorder="1" applyAlignment="1">
      <alignment horizontal="left"/>
    </xf>
    <xf numFmtId="0" fontId="0" fillId="0" borderId="18" xfId="0" applyBorder="1" applyAlignment="1">
      <alignment horizontal="left"/>
    </xf>
    <xf numFmtId="0" fontId="0" fillId="0" borderId="8" xfId="0" applyBorder="1" applyAlignment="1">
      <alignment horizontal="left"/>
    </xf>
    <xf numFmtId="0" fontId="10" fillId="0" borderId="18" xfId="0" applyFont="1" applyBorder="1" applyProtection="1">
      <protection locked="0"/>
    </xf>
    <xf numFmtId="168" fontId="7" fillId="0" borderId="18" xfId="0" applyNumberFormat="1" applyFont="1" applyBorder="1" applyAlignment="1" applyProtection="1">
      <alignment horizontal="center"/>
      <protection locked="0"/>
    </xf>
    <xf numFmtId="0" fontId="8" fillId="0" borderId="5" xfId="0" applyFont="1" applyBorder="1" applyAlignment="1" applyProtection="1">
      <alignment horizontal="left"/>
      <protection locked="0"/>
    </xf>
    <xf numFmtId="18" fontId="23" fillId="0" borderId="18" xfId="0" applyNumberFormat="1" applyFont="1" applyBorder="1" applyAlignment="1">
      <alignment horizontal="center" wrapText="1"/>
    </xf>
    <xf numFmtId="0" fontId="19" fillId="0" borderId="0" xfId="0" applyFont="1" applyAlignment="1">
      <alignment horizontal="center" vertical="top"/>
    </xf>
    <xf numFmtId="0" fontId="19" fillId="0" borderId="0" xfId="0" applyFont="1" applyAlignment="1">
      <alignment horizontal="center"/>
    </xf>
    <xf numFmtId="0" fontId="0" fillId="0" borderId="18" xfId="0" applyBorder="1" applyAlignment="1" applyProtection="1">
      <alignment horizontal="left"/>
      <protection locked="0"/>
    </xf>
    <xf numFmtId="0" fontId="29" fillId="0" borderId="18" xfId="0" applyFont="1" applyBorder="1" applyAlignment="1" applyProtection="1">
      <alignment horizontal="left"/>
      <protection locked="0"/>
    </xf>
    <xf numFmtId="0" fontId="7" fillId="0" borderId="18" xfId="0" applyFont="1" applyFill="1" applyBorder="1" applyAlignment="1" applyProtection="1">
      <alignment horizontal="center" wrapText="1"/>
      <protection locked="0"/>
    </xf>
    <xf numFmtId="168" fontId="10" fillId="0" borderId="18" xfId="0" applyNumberFormat="1" applyFont="1" applyBorder="1" applyAlignment="1" applyProtection="1">
      <alignment horizontal="left"/>
      <protection locked="0"/>
    </xf>
    <xf numFmtId="169" fontId="12" fillId="0" borderId="5" xfId="0" applyNumberFormat="1" applyFont="1" applyBorder="1" applyAlignment="1" applyProtection="1">
      <alignment horizontal="left"/>
      <protection locked="0"/>
    </xf>
    <xf numFmtId="0" fontId="15" fillId="0" borderId="31"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7" xfId="0" applyFont="1" applyBorder="1" applyAlignment="1">
      <alignment horizontal="center" vertical="center" wrapText="1"/>
    </xf>
    <xf numFmtId="0" fontId="10" fillId="0" borderId="0" xfId="0" applyFont="1" applyAlignment="1" applyProtection="1">
      <alignment horizontal="right" vertical="center"/>
    </xf>
    <xf numFmtId="0" fontId="6" fillId="0" borderId="20" xfId="0" applyFont="1" applyBorder="1" applyAlignment="1">
      <alignment horizontal="center" vertical="top"/>
    </xf>
    <xf numFmtId="0" fontId="9" fillId="0" borderId="0" xfId="0" applyFont="1" applyAlignment="1">
      <alignment horizontal="center"/>
    </xf>
    <xf numFmtId="0" fontId="14" fillId="0" borderId="31"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7" xfId="0" applyFont="1" applyBorder="1" applyAlignment="1">
      <alignment horizontal="center" vertical="center" wrapText="1"/>
    </xf>
    <xf numFmtId="0" fontId="0" fillId="0" borderId="0" xfId="0" applyAlignment="1">
      <alignment horizontal="center" vertical="top"/>
    </xf>
    <xf numFmtId="0" fontId="34" fillId="0" borderId="18" xfId="0" applyFont="1" applyBorder="1" applyAlignment="1">
      <alignment horizontal="center"/>
    </xf>
    <xf numFmtId="0" fontId="10" fillId="0" borderId="0" xfId="0" applyFont="1" applyAlignment="1">
      <alignment horizontal="left" vertical="top"/>
    </xf>
    <xf numFmtId="0" fontId="7" fillId="2" borderId="9" xfId="0" applyFont="1" applyFill="1" applyBorder="1" applyAlignment="1">
      <alignment horizontal="center"/>
    </xf>
    <xf numFmtId="0" fontId="7" fillId="2" borderId="10" xfId="0" applyFont="1" applyFill="1" applyBorder="1" applyAlignment="1">
      <alignment horizontal="center"/>
    </xf>
    <xf numFmtId="0" fontId="7" fillId="0" borderId="9" xfId="0" applyFont="1" applyFill="1" applyBorder="1" applyAlignment="1">
      <alignment horizontal="center"/>
    </xf>
    <xf numFmtId="0" fontId="7" fillId="0" borderId="10" xfId="0" applyFont="1" applyFill="1" applyBorder="1" applyAlignment="1">
      <alignment horizontal="center"/>
    </xf>
    <xf numFmtId="0" fontId="8" fillId="0" borderId="0" xfId="0" applyFont="1" applyAlignment="1">
      <alignment horizontal="left" vertical="center" wrapText="1"/>
    </xf>
    <xf numFmtId="0" fontId="19" fillId="0" borderId="0" xfId="0" applyFont="1" applyBorder="1" applyAlignment="1">
      <alignment horizontal="center"/>
    </xf>
    <xf numFmtId="0" fontId="0" fillId="0" borderId="0" xfId="0" applyAlignment="1">
      <alignment horizontal="right" vertical="top"/>
    </xf>
    <xf numFmtId="0" fontId="33" fillId="0" borderId="0" xfId="0" applyFont="1" applyAlignment="1">
      <alignment horizontal="center"/>
    </xf>
    <xf numFmtId="0" fontId="0" fillId="0" borderId="0" xfId="0" applyAlignment="1">
      <alignment horizontal="center"/>
    </xf>
    <xf numFmtId="0" fontId="10" fillId="0" borderId="0" xfId="0" applyFont="1" applyAlignment="1">
      <alignment horizontal="left" vertical="center"/>
    </xf>
    <xf numFmtId="0" fontId="7" fillId="0" borderId="18" xfId="0" applyFont="1" applyFill="1" applyBorder="1" applyAlignment="1" applyProtection="1">
      <alignment horizontal="left" wrapText="1"/>
      <protection locked="0"/>
    </xf>
    <xf numFmtId="168" fontId="10" fillId="0" borderId="18" xfId="0" applyNumberFormat="1" applyFont="1" applyBorder="1" applyAlignment="1" applyProtection="1">
      <alignment horizontal="center"/>
      <protection locked="0"/>
    </xf>
  </cellXfs>
  <cellStyles count="41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Followed Hyperlink" xfId="411" builtinId="9" hidden="1"/>
    <cellStyle name="Followed Hyperlink" xfId="413" builtinId="9" hidden="1"/>
    <cellStyle name="Followed Hyperlink" xfId="41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Normal" xfId="0" builtinId="0"/>
    <cellStyle name="Normal 2" xfId="282" xr:uid="{00000000-0005-0000-0000-00009A010000}"/>
    <cellStyle name="Normal 3" xfId="283" xr:uid="{00000000-0005-0000-0000-00009B010000}"/>
    <cellStyle name="Normal 3 2" xfId="285" xr:uid="{00000000-0005-0000-0000-00009C010000}"/>
    <cellStyle name="Normal 3 2 2" xfId="286" xr:uid="{00000000-0005-0000-0000-00009D010000}"/>
    <cellStyle name="Normal 3 2 3" xfId="287" xr:uid="{00000000-0005-0000-0000-00009E010000}"/>
    <cellStyle name="Normal 4" xfId="284" xr:uid="{00000000-0005-0000-0000-00009F010000}"/>
  </cellStyles>
  <dxfs count="14">
    <dxf>
      <font>
        <color theme="0"/>
      </font>
      <fill>
        <patternFill patternType="none">
          <bgColor auto="1"/>
        </patternFill>
      </fill>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border>
        <left/>
        <right/>
        <top/>
        <bottom/>
      </border>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664210</xdr:colOff>
      <xdr:row>1</xdr:row>
      <xdr:rowOff>222788</xdr:rowOff>
    </xdr:from>
    <xdr:to>
      <xdr:col>11</xdr:col>
      <xdr:colOff>552533</xdr:colOff>
      <xdr:row>4</xdr:row>
      <xdr:rowOff>389371</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0448042" y="491973"/>
          <a:ext cx="1965518" cy="15686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618988</xdr:colOff>
      <xdr:row>2</xdr:row>
      <xdr:rowOff>59041</xdr:rowOff>
    </xdr:from>
    <xdr:to>
      <xdr:col>17</xdr:col>
      <xdr:colOff>585858</xdr:colOff>
      <xdr:row>5</xdr:row>
      <xdr:rowOff>248753</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6756271" y="707845"/>
          <a:ext cx="2009913" cy="15563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7243A14B-4D96-E346-B75C-AEE5C2592045}"/>
            </a:ext>
          </a:extLst>
        </xdr:cNvPr>
        <xdr:cNvPicPr>
          <a:picLocks noChangeAspect="1"/>
        </xdr:cNvPicPr>
      </xdr:nvPicPr>
      <xdr:blipFill>
        <a:blip xmlns:r="http://schemas.openxmlformats.org/officeDocument/2006/relationships" r:embed="rId1"/>
        <a:stretch>
          <a:fillRect/>
        </a:stretch>
      </xdr:blipFill>
      <xdr:spPr>
        <a:xfrm>
          <a:off x="11099800" y="491393"/>
          <a:ext cx="2006600" cy="15662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5EEAACE2-AD57-BD48-BB33-9A5E9F368AED}"/>
            </a:ext>
          </a:extLst>
        </xdr:cNvPr>
        <xdr:cNvPicPr>
          <a:picLocks noChangeAspect="1"/>
        </xdr:cNvPicPr>
      </xdr:nvPicPr>
      <xdr:blipFill>
        <a:blip xmlns:r="http://schemas.openxmlformats.org/officeDocument/2006/relationships" r:embed="rId1"/>
        <a:stretch>
          <a:fillRect/>
        </a:stretch>
      </xdr:blipFill>
      <xdr:spPr>
        <a:xfrm>
          <a:off x="11099800" y="491393"/>
          <a:ext cx="2006600" cy="15662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4"/>
  <sheetViews>
    <sheetView showGridLines="0" topLeftCell="I8" zoomScale="175" zoomScaleNormal="175" zoomScalePageLayoutView="140" workbookViewId="0">
      <selection activeCell="K19" sqref="K19"/>
    </sheetView>
  </sheetViews>
  <sheetFormatPr defaultColWidth="8.77734375" defaultRowHeight="13.2" x14ac:dyDescent="0.25"/>
  <cols>
    <col min="1" max="1" width="18" style="2" bestFit="1" customWidth="1"/>
    <col min="2" max="2" width="10.77734375" customWidth="1"/>
    <col min="3" max="3" width="1" style="3" hidden="1" customWidth="1"/>
    <col min="4" max="4" width="8.33203125" customWidth="1"/>
    <col min="5" max="5" width="17" bestFit="1" customWidth="1"/>
    <col min="6" max="11" width="34.109375" customWidth="1"/>
    <col min="12" max="15" width="17.77734375" customWidth="1"/>
  </cols>
  <sheetData>
    <row r="1" spans="1:26" ht="19.95" customHeight="1" x14ac:dyDescent="0.35">
      <c r="A1" s="129" t="s">
        <v>79</v>
      </c>
      <c r="B1" s="129"/>
      <c r="C1" s="129"/>
      <c r="D1" s="129"/>
      <c r="E1" s="129"/>
      <c r="F1" s="129"/>
      <c r="G1" s="129"/>
      <c r="H1" s="129"/>
      <c r="I1" s="92" t="s">
        <v>80</v>
      </c>
      <c r="Q1" s="128" t="s">
        <v>84</v>
      </c>
      <c r="R1" s="128"/>
      <c r="S1" s="128"/>
      <c r="T1" s="128"/>
      <c r="U1" s="128"/>
      <c r="V1" s="128"/>
      <c r="W1" s="128"/>
      <c r="X1" s="128"/>
      <c r="Y1" s="128"/>
      <c r="Z1" s="128"/>
    </row>
    <row r="2" spans="1:26" ht="13.05" customHeight="1" thickBot="1" x14ac:dyDescent="0.3">
      <c r="H2" s="93"/>
      <c r="I2" s="93"/>
      <c r="Q2" s="128"/>
      <c r="R2" s="128"/>
      <c r="S2" s="128"/>
      <c r="T2" s="128"/>
      <c r="U2" s="128"/>
      <c r="V2" s="128"/>
      <c r="W2" s="128"/>
      <c r="X2" s="128"/>
      <c r="Y2" s="128"/>
      <c r="Z2" s="128"/>
    </row>
    <row r="3" spans="1:26" s="108" customFormat="1" ht="13.05" customHeight="1" thickBot="1" x14ac:dyDescent="0.25">
      <c r="A3" s="105" t="s">
        <v>78</v>
      </c>
      <c r="B3" s="106">
        <v>44990</v>
      </c>
      <c r="C3" s="107"/>
      <c r="D3" s="107"/>
      <c r="G3" s="107"/>
      <c r="H3" s="109"/>
      <c r="I3" s="109"/>
      <c r="Q3" s="128"/>
      <c r="R3" s="128"/>
      <c r="S3" s="128"/>
      <c r="T3" s="128"/>
      <c r="U3" s="128"/>
      <c r="V3" s="128"/>
      <c r="W3" s="128"/>
      <c r="X3" s="128"/>
      <c r="Y3" s="128"/>
      <c r="Z3" s="128"/>
    </row>
    <row r="4" spans="1:26" ht="13.05" customHeight="1" x14ac:dyDescent="0.25">
      <c r="A4" s="89" t="s">
        <v>81</v>
      </c>
      <c r="B4" s="104">
        <v>44992</v>
      </c>
      <c r="C4" s="91"/>
      <c r="D4" s="91"/>
      <c r="G4" s="91"/>
      <c r="H4" s="93"/>
      <c r="I4" s="93"/>
      <c r="Q4" s="128"/>
      <c r="R4" s="128"/>
      <c r="S4" s="128"/>
      <c r="T4" s="128"/>
      <c r="U4" s="128"/>
      <c r="V4" s="128"/>
      <c r="W4" s="128"/>
      <c r="X4" s="128"/>
      <c r="Y4" s="128"/>
      <c r="Z4" s="128"/>
    </row>
    <row r="5" spans="1:26" ht="13.8" thickBot="1" x14ac:dyDescent="0.3">
      <c r="H5" s="93"/>
      <c r="I5" s="93"/>
      <c r="Q5" s="128"/>
      <c r="R5" s="128"/>
      <c r="S5" s="128"/>
      <c r="T5" s="128"/>
      <c r="U5" s="128"/>
      <c r="V5" s="128"/>
      <c r="W5" s="128"/>
      <c r="X5" s="128"/>
      <c r="Y5" s="128"/>
      <c r="Z5" s="128"/>
    </row>
    <row r="6" spans="1:26" ht="18" x14ac:dyDescent="0.35">
      <c r="A6" s="11" t="s">
        <v>94</v>
      </c>
      <c r="B6" s="68">
        <v>100</v>
      </c>
      <c r="C6">
        <f>IF(Brevet_Length&gt;=1200,Brevet_Length,IF(Brevet_Length&gt;=1000,1000,IF(Brevet_Length&gt;=600,600,IF(Brevet_Length&gt;=400,400,IF(Brevet_Length&gt;=300,300,IF(Brevet_Length&gt;=200,200,100))))))</f>
        <v>100</v>
      </c>
      <c r="J6" s="133" t="s">
        <v>60</v>
      </c>
      <c r="K6" s="133"/>
      <c r="Q6" s="72" t="s">
        <v>61</v>
      </c>
      <c r="R6" s="72"/>
      <c r="S6" s="72"/>
      <c r="T6" s="72"/>
      <c r="U6" s="72"/>
      <c r="V6" s="72"/>
      <c r="W6" s="72"/>
    </row>
    <row r="7" spans="1:26" ht="18" x14ac:dyDescent="0.35">
      <c r="A7" s="12" t="s">
        <v>101</v>
      </c>
      <c r="B7" s="120">
        <v>0.34</v>
      </c>
      <c r="C7"/>
      <c r="J7" s="110"/>
      <c r="K7" s="110"/>
      <c r="Q7" s="72"/>
      <c r="R7" s="72"/>
      <c r="S7" s="72"/>
      <c r="T7" s="72"/>
      <c r="U7" s="72"/>
      <c r="V7" s="72"/>
      <c r="W7" s="72"/>
    </row>
    <row r="8" spans="1:26" ht="13.8" thickBot="1" x14ac:dyDescent="0.3">
      <c r="A8" s="12" t="s">
        <v>18</v>
      </c>
      <c r="B8" s="119">
        <f>IF(brevet=1200,90,IF(brevet=1000,75,IF(brevet=600,40,IF(brevet=400,27,IF(brevet=300,20,IF(brevet=200,13.5,IF(brevet=100,7,0)))))))</f>
        <v>7</v>
      </c>
      <c r="Q8" t="s">
        <v>62</v>
      </c>
    </row>
    <row r="9" spans="1:26" ht="18.600000000000001" thickBot="1" x14ac:dyDescent="0.4">
      <c r="A9" s="12" t="s">
        <v>95</v>
      </c>
      <c r="B9" s="130" t="s">
        <v>114</v>
      </c>
      <c r="C9" s="131"/>
      <c r="D9" s="131"/>
      <c r="E9" s="131"/>
      <c r="F9" s="131"/>
      <c r="G9" s="131"/>
      <c r="H9" s="132"/>
      <c r="I9" s="26"/>
      <c r="J9" s="26"/>
      <c r="K9" s="26">
        <f>12.5/0.4167</f>
        <v>29.997600191984642</v>
      </c>
      <c r="O9" s="27"/>
      <c r="P9" s="27"/>
      <c r="Q9" s="72" t="s">
        <v>63</v>
      </c>
    </row>
    <row r="10" spans="1:26" ht="18" x14ac:dyDescent="0.35">
      <c r="A10" s="12" t="s">
        <v>96</v>
      </c>
      <c r="B10" s="69">
        <v>5426</v>
      </c>
      <c r="C10" s="23"/>
      <c r="F10" s="24"/>
      <c r="G10" s="24"/>
      <c r="H10" s="24"/>
      <c r="I10" s="24"/>
      <c r="J10" s="24"/>
      <c r="K10" s="24"/>
      <c r="Q10" s="72" t="s">
        <v>64</v>
      </c>
    </row>
    <row r="11" spans="1:26" ht="18" x14ac:dyDescent="0.35">
      <c r="A11" s="47" t="s">
        <v>45</v>
      </c>
      <c r="B11" s="70">
        <v>45563</v>
      </c>
      <c r="L11">
        <f>100/12.5</f>
        <v>8</v>
      </c>
      <c r="Q11" s="72" t="s">
        <v>65</v>
      </c>
    </row>
    <row r="12" spans="1:26" ht="6" customHeight="1" x14ac:dyDescent="0.25">
      <c r="B12" s="94"/>
    </row>
    <row r="13" spans="1:26" ht="18" customHeight="1" thickBot="1" x14ac:dyDescent="0.4">
      <c r="A13" s="87" t="s">
        <v>19</v>
      </c>
      <c r="B13" s="88">
        <v>45563</v>
      </c>
      <c r="Q13" s="72" t="s">
        <v>72</v>
      </c>
    </row>
    <row r="14" spans="1:26" ht="18.600000000000001" thickBot="1" x14ac:dyDescent="0.4">
      <c r="A14" s="10" t="s">
        <v>20</v>
      </c>
      <c r="B14" s="71">
        <v>0.35416666666666669</v>
      </c>
      <c r="D14" s="125" t="s">
        <v>77</v>
      </c>
      <c r="E14" s="126"/>
      <c r="F14" s="126"/>
      <c r="G14" s="126"/>
      <c r="H14" s="126"/>
      <c r="I14" s="134" t="s">
        <v>67</v>
      </c>
      <c r="J14" s="126"/>
      <c r="K14" s="127"/>
      <c r="Q14" s="72" t="s">
        <v>71</v>
      </c>
    </row>
    <row r="15" spans="1:26" ht="14.4" thickBot="1" x14ac:dyDescent="0.35">
      <c r="D15" s="6" t="s">
        <v>21</v>
      </c>
      <c r="E15" s="7" t="s">
        <v>22</v>
      </c>
      <c r="F15" s="62" t="s">
        <v>23</v>
      </c>
      <c r="G15" s="62" t="s">
        <v>24</v>
      </c>
      <c r="H15" s="63" t="s">
        <v>25</v>
      </c>
      <c r="I15" s="7" t="s">
        <v>57</v>
      </c>
      <c r="J15" s="7" t="s">
        <v>58</v>
      </c>
      <c r="K15" s="8" t="s">
        <v>59</v>
      </c>
      <c r="L15" t="s">
        <v>3</v>
      </c>
      <c r="M15" t="s">
        <v>4</v>
      </c>
      <c r="N15" t="s">
        <v>5</v>
      </c>
      <c r="O15" t="s">
        <v>6</v>
      </c>
      <c r="Q15" s="72" t="s">
        <v>66</v>
      </c>
    </row>
    <row r="16" spans="1:26" ht="16.95" customHeight="1" x14ac:dyDescent="0.25">
      <c r="C16" s="3" t="s">
        <v>7</v>
      </c>
      <c r="D16" s="25">
        <v>0</v>
      </c>
      <c r="E16" s="74" t="s">
        <v>115</v>
      </c>
      <c r="F16" s="75" t="s">
        <v>116</v>
      </c>
      <c r="G16" s="117"/>
      <c r="H16" s="118"/>
      <c r="I16" s="75"/>
      <c r="J16" s="75"/>
      <c r="K16" s="76"/>
      <c r="L16" s="4">
        <f>Start_date+Start_time</f>
        <v>45563.354166666664</v>
      </c>
      <c r="M16" s="4">
        <f>L16+"1:00"</f>
        <v>45563.395833333328</v>
      </c>
      <c r="N16" s="5">
        <f>IF(ISBLANK(Distance),"",Open Control_1)</f>
        <v>45563.354166666664</v>
      </c>
      <c r="O16" s="5">
        <f>IF(ISBLANK(Distance),"",Close Control_1)</f>
        <v>45563.395833333328</v>
      </c>
    </row>
    <row r="17" spans="2:15" ht="16.95" customHeight="1" x14ac:dyDescent="0.25">
      <c r="B17" s="81"/>
      <c r="C17" s="3" t="s">
        <v>8</v>
      </c>
      <c r="D17" s="25">
        <v>13.9</v>
      </c>
      <c r="E17" s="74" t="s">
        <v>117</v>
      </c>
      <c r="F17" s="117" t="s">
        <v>100</v>
      </c>
      <c r="G17" s="75"/>
      <c r="H17" s="118"/>
      <c r="I17" s="75" t="s">
        <v>122</v>
      </c>
      <c r="J17" s="75"/>
      <c r="K17" s="75" t="s">
        <v>126</v>
      </c>
      <c r="L17">
        <f t="shared" ref="L17:L23" si="0">Distance/30</f>
        <v>0.46333333333333332</v>
      </c>
      <c r="M17">
        <f>IF(ISBLANK(Distance),"",IF(Distance&gt;=brevet,IF(brevet&gt;1200,(brevet-1200)*75/1000+90,Max_time),IF(Distance&gt;1200,(Distance-1200)*75/1000+90,IF(Distance&gt;1000,(Distance-1000)/(1000/75)+75,IF(Distance&gt;600,(Distance-600)/(400/35)+40,IF(Distance&lt;=60,(Distance/12.5+1),Distance/12.5))))))</f>
        <v>2.1120000000000001</v>
      </c>
      <c r="N17" s="5">
        <f>IF(ISBLANK(Distance),"",Open_time Control_1+(INT(Open)&amp;":"&amp;IF(ROUND(((Open-INT(Open))*60),0)&lt;10,0,"")&amp;ROUND(((Open-INT(Open))*60),0)))</f>
        <v>45563.373611111107</v>
      </c>
      <c r="O17" s="5">
        <f>IF(ISBLANK(Distance),"",Open_time Control_1+(INT(Close)&amp;":"&amp;IF(ROUND(((Close-INT(Close))*60),0)&lt;10,0,"")&amp;ROUND(((Close-INT(Close))*60),0)))</f>
        <v>45563.442361111105</v>
      </c>
    </row>
    <row r="18" spans="2:15" ht="16.95" customHeight="1" x14ac:dyDescent="0.25">
      <c r="B18" s="81"/>
      <c r="C18" s="3" t="s">
        <v>9</v>
      </c>
      <c r="D18" s="25">
        <v>30.2</v>
      </c>
      <c r="E18" s="74" t="s">
        <v>118</v>
      </c>
      <c r="F18" s="117" t="s">
        <v>100</v>
      </c>
      <c r="G18" s="117"/>
      <c r="H18" s="118"/>
      <c r="I18" s="75" t="s">
        <v>123</v>
      </c>
      <c r="J18" s="75"/>
      <c r="K18" s="76" t="s">
        <v>113</v>
      </c>
      <c r="L18">
        <f t="shared" si="0"/>
        <v>1.0066666666666666</v>
      </c>
      <c r="M18">
        <f t="shared" ref="M18:M23" si="1">Distance/12.5+1</f>
        <v>3.4159999999999999</v>
      </c>
      <c r="N18" s="5">
        <f>IF(ISBLANK(Distance),"",Open_time Control_1+(INT(Open)&amp;":"&amp;IF(ROUND(((Open-INT(Open))*60),0)&lt;10,0,"")&amp;ROUND(((Open-INT(Open))*60),0)))</f>
        <v>45563.395833333328</v>
      </c>
      <c r="O18" s="5">
        <f>IF(ISBLANK(Distance),"",Open_time Control_1+(INT(Close)&amp;":"&amp;IF(ROUND(((Close-INT(Close))*60),0)&lt;10,0,"")&amp;ROUND(((Close-INT(Close))*60),0)))</f>
        <v>45563.496527777774</v>
      </c>
    </row>
    <row r="19" spans="2:15" ht="16.95" customHeight="1" x14ac:dyDescent="0.25">
      <c r="B19" s="81"/>
      <c r="C19" s="3" t="s">
        <v>10</v>
      </c>
      <c r="D19" s="25">
        <v>54.1</v>
      </c>
      <c r="E19" s="74" t="s">
        <v>119</v>
      </c>
      <c r="F19" s="117" t="s">
        <v>100</v>
      </c>
      <c r="G19" s="117"/>
      <c r="H19" s="118"/>
      <c r="I19" s="75" t="s">
        <v>127</v>
      </c>
      <c r="J19" s="75"/>
      <c r="K19" s="76" t="s">
        <v>128</v>
      </c>
      <c r="L19">
        <f t="shared" si="0"/>
        <v>1.8033333333333335</v>
      </c>
      <c r="M19">
        <f t="shared" si="1"/>
        <v>5.3280000000000003</v>
      </c>
      <c r="N19" s="5">
        <f>IF(ISBLANK(Distance),"",Open_time Control_1+(INT(Open)&amp;":"&amp;IF(ROUND(((Open-INT(Open))*60),0)&lt;10,0,"")&amp;ROUND(((Open-INT(Open))*60),0)))</f>
        <v>45563.429166666661</v>
      </c>
      <c r="O19" s="5">
        <f>IF(ISBLANK(Distance),"",Open_time Control_1+(INT(Close)&amp;":"&amp;IF(ROUND(((Close-INT(Close))*60),0)&lt;10,0,"")&amp;ROUND(((Close-INT(Close))*60),0)))</f>
        <v>45563.576388888883</v>
      </c>
    </row>
    <row r="20" spans="2:15" ht="16.95" customHeight="1" x14ac:dyDescent="0.25">
      <c r="B20" s="81"/>
      <c r="C20" s="3" t="s">
        <v>11</v>
      </c>
      <c r="D20" s="25">
        <v>88.4</v>
      </c>
      <c r="E20" s="74" t="s">
        <v>120</v>
      </c>
      <c r="F20" s="117" t="s">
        <v>100</v>
      </c>
      <c r="G20" s="75"/>
      <c r="H20" s="76"/>
      <c r="I20" s="75" t="s">
        <v>124</v>
      </c>
      <c r="J20" s="75"/>
      <c r="K20" s="76" t="s">
        <v>125</v>
      </c>
      <c r="L20">
        <f t="shared" si="0"/>
        <v>2.9466666666666668</v>
      </c>
      <c r="M20">
        <f t="shared" si="1"/>
        <v>8.0719999999999992</v>
      </c>
      <c r="N20" s="5">
        <f>IF(ISBLANK(Distance),"",Open_time Control_1+(INT(Open)&amp;":"&amp;IF(ROUND(((Open-INT(Open))*60),0)&lt;10,0,"")&amp;ROUND(((Open-INT(Open))*60),0)))</f>
        <v>45563.477083333331</v>
      </c>
      <c r="O20" s="5">
        <f>IF(ISBLANK(Distance),"",Open_time Control_1+(INT(Close)&amp;":"&amp;IF(ROUND(((Close-INT(Close))*60),0)&lt;10,0,"")&amp;ROUND(((Close-INT(Close))*60),0)))</f>
        <v>45563.690277777772</v>
      </c>
    </row>
    <row r="21" spans="2:15" ht="16.95" customHeight="1" x14ac:dyDescent="0.25">
      <c r="B21" s="81"/>
      <c r="C21" s="3" t="s">
        <v>12</v>
      </c>
      <c r="D21" s="25">
        <v>108.4</v>
      </c>
      <c r="E21" s="74" t="s">
        <v>115</v>
      </c>
      <c r="F21" s="75" t="s">
        <v>121</v>
      </c>
      <c r="G21" s="75"/>
      <c r="H21" s="76"/>
      <c r="I21" s="75"/>
      <c r="J21" s="75"/>
      <c r="K21" s="76"/>
      <c r="L21">
        <f t="shared" si="0"/>
        <v>3.6133333333333337</v>
      </c>
      <c r="M21">
        <f t="shared" si="1"/>
        <v>9.6720000000000006</v>
      </c>
      <c r="N21" s="5">
        <f>IF(ISBLANK(Distance),"",Open_time Control_1+(INT(Open)&amp;":"&amp;IF(ROUND(((Open-INT(Open))*60),0)&lt;10,0,"")&amp;ROUND(((Open-INT(Open))*60),0)))</f>
        <v>45563.504861111105</v>
      </c>
      <c r="O21" s="5">
        <f>IF(ISBLANK(Distance),"",Open_time Control_1+(INT(Close)&amp;":"&amp;IF(ROUND(((Close-INT(Close))*60),0)&lt;10,0,"")&amp;ROUND(((Close-INT(Close))*60),0)))</f>
        <v>45563.756944444445</v>
      </c>
    </row>
    <row r="22" spans="2:15" ht="16.95" customHeight="1" x14ac:dyDescent="0.25">
      <c r="B22" s="81"/>
      <c r="C22" s="3" t="s">
        <v>13</v>
      </c>
      <c r="D22" s="25"/>
      <c r="E22" s="74"/>
      <c r="F22" s="117"/>
      <c r="G22" s="75"/>
      <c r="H22" s="76"/>
      <c r="I22" s="75"/>
      <c r="J22" s="75"/>
      <c r="K22" s="76"/>
      <c r="L22">
        <f t="shared" si="0"/>
        <v>0</v>
      </c>
      <c r="M22">
        <f t="shared" si="1"/>
        <v>1</v>
      </c>
      <c r="N22" s="5" t="str">
        <f>IF(ISBLANK(Distance),"",Open_time Control_1+(INT(Open)&amp;":"&amp;IF(ROUND(((Open-INT(Open))*60),0)&lt;10,0,"")&amp;ROUND(((Open-INT(Open))*60),0)))</f>
        <v/>
      </c>
      <c r="O22" s="5" t="str">
        <f>IF(ISBLANK(Distance),"",Open_time Control_1+(INT(Close)&amp;":"&amp;IF(ROUND(((Close-INT(Close))*60),0)&lt;10,0,"")&amp;ROUND(((Close-INT(Close))*60),0)))</f>
        <v/>
      </c>
    </row>
    <row r="23" spans="2:15" ht="16.95" customHeight="1" x14ac:dyDescent="0.25">
      <c r="B23" s="81"/>
      <c r="C23" s="3" t="s">
        <v>14</v>
      </c>
      <c r="D23" s="25"/>
      <c r="E23" s="74"/>
      <c r="F23" s="75"/>
      <c r="G23" s="75"/>
      <c r="H23" s="76"/>
      <c r="I23" s="75"/>
      <c r="J23" s="75"/>
      <c r="K23" s="76"/>
      <c r="L23">
        <f t="shared" si="0"/>
        <v>0</v>
      </c>
      <c r="M23">
        <f t="shared" si="1"/>
        <v>1</v>
      </c>
      <c r="N23" s="5" t="str">
        <f>IF(ISBLANK(Distance),"",Open_time Control_1+(INT(Open)&amp;":"&amp;IF(ROUND(((Open-INT(Open))*60),0)&lt;10,0,"")&amp;ROUND(((Open-INT(Open))*60),0)))</f>
        <v/>
      </c>
      <c r="O23" s="5" t="str">
        <f>IF(ISBLANK(Distance),"",Open_time Control_1+(INT(Close)&amp;":"&amp;IF(ROUND(((Close-INT(Close))*60),0)&lt;10,0,"")&amp;ROUND(((Close-INT(Close))*60),0)))</f>
        <v/>
      </c>
    </row>
    <row r="24" spans="2:15" ht="16.95" customHeight="1" x14ac:dyDescent="0.25">
      <c r="B24" s="81"/>
      <c r="C24" s="3" t="s">
        <v>15</v>
      </c>
      <c r="D24" s="25"/>
      <c r="E24" s="74"/>
      <c r="F24" s="75"/>
      <c r="G24" s="75"/>
      <c r="H24" s="76"/>
      <c r="I24" s="75"/>
      <c r="J24" s="75"/>
      <c r="K24" s="76"/>
      <c r="L24" t="str">
        <f t="shared" ref="L24:L25" si="2">IF(ISBLANK(Distance),"",IF(Distance&gt;1000,(Distance-1000)/26+33.0847,(IF(Distance&gt;600,(Distance-600)/28+18.799,(IF(Distance&gt;400,(Distance-400)/30+12.1324,(IF(Distance&gt;200,(Distance-200)/32+5.8824,Distance/34))))))))</f>
        <v/>
      </c>
      <c r="M24" t="str">
        <f t="shared" ref="M24:M25" si="3">IF(ISBLANK(Distance),"",IF(Distance&gt;=brevet,IF(brevet&gt;1200,(brevet-1200)*75/1000+90,Max_time),IF(Distance&gt;1200,(Distance-1200)*75/1000+90,IF(Distance&gt;1000,(Distance-1000)/(1000/75)+75,IF(Distance&gt;600,(Distance-600)/(400/35)+40,IF(Distance&lt;=60,(Distance/20+1),Distance/15))))))</f>
        <v/>
      </c>
      <c r="N24" s="5" t="str">
        <f>IF(ISBLANK(Distance),"",Open_time Control_1+(INT(Open)&amp;":"&amp;IF(ROUND(((Open-INT(Open))*60),0)&lt;10,0,"")&amp;ROUND(((Open-INT(Open))*60),0)))</f>
        <v/>
      </c>
      <c r="O24" s="5" t="str">
        <f>IF(ISBLANK(Distance),"",Open_time Control_1+(INT(Close)&amp;":"&amp;IF(ROUND(((Close-INT(Close))*60),0)&lt;10,0,"")&amp;ROUND(((Close-INT(Close))*60),0)))</f>
        <v/>
      </c>
    </row>
    <row r="25" spans="2:15" ht="16.95" customHeight="1" thickBot="1" x14ac:dyDescent="0.3">
      <c r="B25" s="81"/>
      <c r="C25" s="3" t="s">
        <v>16</v>
      </c>
      <c r="D25" s="51"/>
      <c r="E25" s="77"/>
      <c r="F25" s="78"/>
      <c r="G25" s="78"/>
      <c r="H25" s="79"/>
      <c r="I25" s="78"/>
      <c r="J25" s="78"/>
      <c r="K25" s="79"/>
      <c r="L25" t="str">
        <f t="shared" si="2"/>
        <v/>
      </c>
      <c r="M25" t="str">
        <f t="shared" si="3"/>
        <v/>
      </c>
      <c r="N25" s="5" t="str">
        <f>IF(ISBLANK(Distance),"",Open_time Control_1+(INT(Open)&amp;":"&amp;IF(ROUND(((Open-INT(Open))*60),0)&lt;10,0,"")&amp;ROUND(((Open-INT(Open))*60),0)))</f>
        <v/>
      </c>
      <c r="O25" s="5" t="str">
        <f>IF(ISBLANK(Distance),"",Open_time Control_1+(INT(Close)&amp;":"&amp;IF(ROUND(((Close-INT(Close))*60),0)&lt;10,0,"")&amp;ROUND(((Close-INT(Close))*60),0)))</f>
        <v/>
      </c>
    </row>
    <row r="26" spans="2:15" ht="7.05" customHeight="1" thickBot="1" x14ac:dyDescent="0.4">
      <c r="D26" s="64"/>
      <c r="E26" s="65"/>
      <c r="F26" s="66"/>
      <c r="G26" s="66"/>
      <c r="H26" s="66"/>
      <c r="I26" s="66"/>
      <c r="J26" s="66"/>
      <c r="K26" s="67"/>
      <c r="N26" s="5"/>
      <c r="O26" s="5"/>
    </row>
    <row r="27" spans="2:15" ht="13.8" thickBot="1" x14ac:dyDescent="0.3">
      <c r="D27" s="125" t="s">
        <v>73</v>
      </c>
      <c r="E27" s="126"/>
      <c r="F27" s="126"/>
      <c r="G27" s="126"/>
      <c r="H27" s="126"/>
      <c r="I27" s="134" t="s">
        <v>68</v>
      </c>
      <c r="J27" s="126"/>
      <c r="K27" s="127"/>
    </row>
    <row r="28" spans="2:15" ht="14.4" thickBot="1" x14ac:dyDescent="0.35">
      <c r="D28" s="6" t="s">
        <v>21</v>
      </c>
      <c r="E28" s="7" t="s">
        <v>22</v>
      </c>
      <c r="F28" s="62" t="s">
        <v>23</v>
      </c>
      <c r="G28" s="62" t="s">
        <v>24</v>
      </c>
      <c r="H28" s="63" t="s">
        <v>25</v>
      </c>
      <c r="I28" s="7" t="s">
        <v>57</v>
      </c>
      <c r="J28" s="7" t="s">
        <v>58</v>
      </c>
      <c r="K28" s="8" t="s">
        <v>59</v>
      </c>
      <c r="L28" t="s">
        <v>3</v>
      </c>
      <c r="M28" t="s">
        <v>4</v>
      </c>
      <c r="N28" t="s">
        <v>5</v>
      </c>
      <c r="O28" t="s">
        <v>6</v>
      </c>
    </row>
    <row r="29" spans="2:15" ht="16.95" customHeight="1" x14ac:dyDescent="0.25">
      <c r="D29" s="25"/>
      <c r="E29" s="116"/>
      <c r="F29" s="75"/>
      <c r="G29" s="75"/>
      <c r="H29" s="76"/>
      <c r="I29" s="75"/>
      <c r="J29" s="75"/>
      <c r="K29" s="76"/>
      <c r="L29" t="str">
        <f>IF(ISBLANK(D29),"",IF(D29&gt;1000,(D29-1000)/26+33.0847,(IF(D29&gt;600,(D29-600)/28+18.799,(IF(D29&gt;400,(D29-400)/30+12.1324,(IF(D29&gt;200,(D29-200)/32+5.8824,D29/34))))))))</f>
        <v/>
      </c>
      <c r="M29" t="str">
        <f t="shared" ref="M29:M38" si="4">IF(ISBLANK(D29),"",IF((D29=0),1,IF(D29&gt;=brevet,IF(brevet&gt;1200,(brevet-1200)*75/1000+90,Max_time),IF(D29&gt;1200,(D29-1200)*75/1000+90,IF(D29&gt;1000,(D29-1000)/(1000/75)+75,IF(D29&gt;600,(D29-600)/(400/35)+40,IF(D29&lt;=60,D29/20+1,D29/15)))))))</f>
        <v/>
      </c>
      <c r="N29" s="5" t="str">
        <f>IF(ISBLANK(D29),"",Open_time Control_1+(INT(L29)&amp;":"&amp;IF(ROUND(((L29-INT(L29))*60),0)&lt;10,0,"")&amp;ROUND(((L29-INT(L29))*60),0)))</f>
        <v/>
      </c>
      <c r="O29" s="5" t="str">
        <f>IF(ISBLANK(D29),"",Open_time Control_1+(INT(M29)&amp;":"&amp;IF(ROUND(((M29-INT(M29))*60),0)&lt;10,0,"")&amp;ROUND(((M29-INT(M29))*60),0)))</f>
        <v/>
      </c>
    </row>
    <row r="30" spans="2:15" ht="16.95" customHeight="1" x14ac:dyDescent="0.25">
      <c r="D30" s="25"/>
      <c r="E30" s="116"/>
      <c r="F30" s="117"/>
      <c r="G30" s="117"/>
      <c r="H30" s="118"/>
      <c r="I30" s="75"/>
      <c r="J30" s="75"/>
      <c r="K30" s="76"/>
      <c r="L30" t="str">
        <f t="shared" ref="L30:L38" si="5">IF(ISBLANK(D30),"",IF(D30&gt;1000,(D30-1000)/26+33.0847,(IF(D30&gt;600,(D30-600)/28+18.799,(IF(D30&gt;400,(D30-400)/30+12.1324,(IF(D30&gt;200,(D30-200)/32+5.8824,D30/34))))))))</f>
        <v/>
      </c>
      <c r="M30" t="str">
        <f t="shared" si="4"/>
        <v/>
      </c>
      <c r="N30" s="5" t="str">
        <f>IF(ISBLANK(D30),"",Open_time Control_1+(INT(L30)&amp;":"&amp;IF(ROUND(((L30-INT(L30))*60),0)&lt;10,0,"")&amp;ROUND(((L30-INT(L30))*60),0)))</f>
        <v/>
      </c>
      <c r="O30" s="5" t="str">
        <f>IF(ISBLANK(D30),"",Open_time Control_1+(INT(M30)&amp;":"&amp;IF(ROUND(((M30-INT(M30))*60),0)&lt;10,0,"")&amp;ROUND(((M30-INT(M30))*60),0)))</f>
        <v/>
      </c>
    </row>
    <row r="31" spans="2:15" ht="16.95" customHeight="1" x14ac:dyDescent="0.25">
      <c r="D31" s="25"/>
      <c r="E31" s="116"/>
      <c r="F31" s="117"/>
      <c r="G31" s="117"/>
      <c r="H31" s="118"/>
      <c r="I31" s="75"/>
      <c r="J31" s="75"/>
      <c r="K31" s="76"/>
      <c r="L31" t="str">
        <f t="shared" si="5"/>
        <v/>
      </c>
      <c r="M31" t="str">
        <f t="shared" si="4"/>
        <v/>
      </c>
      <c r="N31" s="5" t="str">
        <f>IF(ISBLANK(D31),"",Open_time Control_1+(INT(L31)&amp;":"&amp;IF(ROUND(((L31-INT(L31))*60),0)&lt;10,0,"")&amp;ROUND(((L31-INT(L31))*60),0)))</f>
        <v/>
      </c>
      <c r="O31" s="5" t="str">
        <f>IF(ISBLANK(D31),"",Open_time Control_1+(INT(M31)&amp;":"&amp;IF(ROUND(((M31-INT(M31))*60),0)&lt;10,0,"")&amp;ROUND(((M31-INT(M31))*60),0)))</f>
        <v/>
      </c>
    </row>
    <row r="32" spans="2:15" ht="16.95" customHeight="1" x14ac:dyDescent="0.25">
      <c r="D32" s="25"/>
      <c r="E32" s="116"/>
      <c r="F32" s="75"/>
      <c r="G32" s="75"/>
      <c r="H32" s="76"/>
      <c r="I32" s="75"/>
      <c r="J32" s="75"/>
      <c r="K32" s="76"/>
      <c r="L32" t="str">
        <f t="shared" si="5"/>
        <v/>
      </c>
      <c r="M32" t="str">
        <f t="shared" si="4"/>
        <v/>
      </c>
      <c r="N32" s="5" t="str">
        <f>IF(ISBLANK(D32),"",Open_time Control_1+(INT(L32)&amp;":"&amp;IF(ROUND(((L32-INT(L32))*60),0)&lt;10,0,"")&amp;ROUND(((L32-INT(L32))*60),0)))</f>
        <v/>
      </c>
      <c r="O32" s="5" t="str">
        <f>IF(ISBLANK(D32),"",Open_time Control_1+(INT(M32)&amp;":"&amp;IF(ROUND(((M32-INT(M32))*60),0)&lt;10,0,"")&amp;ROUND(((M32-INT(M32))*60),0)))</f>
        <v/>
      </c>
    </row>
    <row r="33" spans="4:15" ht="16.95" customHeight="1" x14ac:dyDescent="0.25">
      <c r="D33" s="25"/>
      <c r="E33" s="74"/>
      <c r="F33" s="75"/>
      <c r="G33" s="75"/>
      <c r="H33" s="76"/>
      <c r="I33" s="75"/>
      <c r="J33" s="75"/>
      <c r="K33" s="76"/>
      <c r="L33" t="str">
        <f t="shared" si="5"/>
        <v/>
      </c>
      <c r="M33" t="str">
        <f t="shared" si="4"/>
        <v/>
      </c>
      <c r="N33" s="5" t="str">
        <f>IF(ISBLANK(D33),"",Open_time Control_1+(INT(L33)&amp;":"&amp;IF(ROUND(((L33-INT(L33))*60),0)&lt;10,0,"")&amp;ROUND(((L33-INT(L33))*60),0)))</f>
        <v/>
      </c>
      <c r="O33" s="5" t="str">
        <f>IF(ISBLANK(D33),"",Open_time Control_1+(INT(M33)&amp;":"&amp;IF(ROUND(((M33-INT(M33))*60),0)&lt;10,0,"")&amp;ROUND(((M33-INT(M33))*60),0)))</f>
        <v/>
      </c>
    </row>
    <row r="34" spans="4:15" ht="16.95" customHeight="1" x14ac:dyDescent="0.25">
      <c r="D34" s="25"/>
      <c r="E34" s="74"/>
      <c r="F34" s="75"/>
      <c r="G34" s="75"/>
      <c r="H34" s="76"/>
      <c r="I34" s="75"/>
      <c r="J34" s="75"/>
      <c r="K34" s="76"/>
      <c r="L34" t="str">
        <f t="shared" si="5"/>
        <v/>
      </c>
      <c r="M34" t="str">
        <f t="shared" si="4"/>
        <v/>
      </c>
      <c r="N34" s="5" t="str">
        <f>IF(ISBLANK(D34),"",Open_time Control_1+(INT(L34)&amp;":"&amp;IF(ROUND(((L34-INT(L34))*60),0)&lt;10,0,"")&amp;ROUND(((L34-INT(L34))*60),0)))</f>
        <v/>
      </c>
      <c r="O34" s="5" t="str">
        <f>IF(ISBLANK(D34),"",Open_time Control_1+(INT(M34)&amp;":"&amp;IF(ROUND(((M34-INT(M34))*60),0)&lt;10,0,"")&amp;ROUND(((M34-INT(M34))*60),0)))</f>
        <v/>
      </c>
    </row>
    <row r="35" spans="4:15" ht="16.95" customHeight="1" x14ac:dyDescent="0.25">
      <c r="D35" s="25"/>
      <c r="E35" s="74"/>
      <c r="F35" s="75"/>
      <c r="G35" s="75"/>
      <c r="H35" s="76"/>
      <c r="I35" s="75"/>
      <c r="J35" s="75"/>
      <c r="K35" s="76"/>
      <c r="L35" t="str">
        <f t="shared" si="5"/>
        <v/>
      </c>
      <c r="M35" t="str">
        <f t="shared" si="4"/>
        <v/>
      </c>
      <c r="N35" s="5" t="str">
        <f>IF(ISBLANK(D35),"",Open_time Control_1+(INT(L35)&amp;":"&amp;IF(ROUND(((L35-INT(L35))*60),0)&lt;10,0,"")&amp;ROUND(((L35-INT(L35))*60),0)))</f>
        <v/>
      </c>
      <c r="O35" s="5" t="str">
        <f>IF(ISBLANK(D35),"",Open_time Control_1+(INT(M35)&amp;":"&amp;IF(ROUND(((M35-INT(M35))*60),0)&lt;10,0,"")&amp;ROUND(((M35-INT(M35))*60),0)))</f>
        <v/>
      </c>
    </row>
    <row r="36" spans="4:15" ht="16.95" customHeight="1" x14ac:dyDescent="0.25">
      <c r="D36" s="25"/>
      <c r="E36" s="74"/>
      <c r="F36" s="75"/>
      <c r="G36" s="75"/>
      <c r="H36" s="76"/>
      <c r="I36" s="75"/>
      <c r="J36" s="75"/>
      <c r="K36" s="76"/>
      <c r="L36" t="str">
        <f t="shared" si="5"/>
        <v/>
      </c>
      <c r="M36" t="str">
        <f t="shared" si="4"/>
        <v/>
      </c>
      <c r="N36" s="5" t="str">
        <f>IF(ISBLANK(D36),"",Open_time Control_1+(INT(L36)&amp;":"&amp;IF(ROUND(((L36-INT(L36))*60),0)&lt;10,0,"")&amp;ROUND(((L36-INT(L36))*60),0)))</f>
        <v/>
      </c>
      <c r="O36" s="5" t="str">
        <f>IF(ISBLANK(D36),"",Open_time Control_1+(INT(M36)&amp;":"&amp;IF(ROUND(((M36-INT(M36))*60),0)&lt;10,0,"")&amp;ROUND(((M36-INT(M36))*60),0)))</f>
        <v/>
      </c>
    </row>
    <row r="37" spans="4:15" ht="16.95" customHeight="1" x14ac:dyDescent="0.25">
      <c r="D37" s="25"/>
      <c r="E37" s="74"/>
      <c r="F37" s="75"/>
      <c r="G37" s="75"/>
      <c r="H37" s="76"/>
      <c r="I37" s="75"/>
      <c r="J37" s="75"/>
      <c r="K37" s="76"/>
      <c r="L37" t="str">
        <f t="shared" si="5"/>
        <v/>
      </c>
      <c r="M37" t="str">
        <f t="shared" si="4"/>
        <v/>
      </c>
      <c r="N37" s="5" t="str">
        <f>IF(ISBLANK(D37),"",Open_time Control_1+(INT(L37)&amp;":"&amp;IF(ROUND(((L37-INT(L37))*60),0)&lt;10,0,"")&amp;ROUND(((L37-INT(L37))*60),0)))</f>
        <v/>
      </c>
      <c r="O37" s="5" t="str">
        <f>IF(ISBLANK(D37),"",Open_time Control_1+(INT(M37)&amp;":"&amp;IF(ROUND(((M37-INT(M37))*60),0)&lt;10,0,"")&amp;ROUND(((M37-INT(M37))*60),0)))</f>
        <v/>
      </c>
    </row>
    <row r="38" spans="4:15" ht="16.95" customHeight="1" thickBot="1" x14ac:dyDescent="0.3">
      <c r="D38" s="51"/>
      <c r="E38" s="77"/>
      <c r="F38" s="78"/>
      <c r="G38" s="78"/>
      <c r="H38" s="79"/>
      <c r="I38" s="78"/>
      <c r="J38" s="78"/>
      <c r="K38" s="79"/>
      <c r="L38" t="str">
        <f t="shared" si="5"/>
        <v/>
      </c>
      <c r="M38" t="str">
        <f t="shared" si="4"/>
        <v/>
      </c>
      <c r="N38" s="5" t="str">
        <f>IF(ISBLANK(D38),"",Open_time Control_1+(INT(L38)&amp;":"&amp;IF(ROUND(((L38-INT(L38))*60),0)&lt;10,0,"")&amp;ROUND(((L38-INT(L38))*60),0)))</f>
        <v/>
      </c>
      <c r="O38" s="5" t="str">
        <f>IF(ISBLANK(D38),"",Open_time Control_1+(INT(M38)&amp;":"&amp;IF(ROUND(((M38-INT(M38))*60),0)&lt;10,0,"")&amp;ROUND(((M38-INT(M38))*60),0)))</f>
        <v/>
      </c>
    </row>
    <row r="39" spans="4:15" ht="7.05" customHeight="1" thickBot="1" x14ac:dyDescent="0.4">
      <c r="D39" s="64"/>
      <c r="E39" s="65"/>
      <c r="F39" s="66"/>
      <c r="G39" s="66"/>
      <c r="H39" s="66"/>
      <c r="I39" s="66"/>
      <c r="J39" s="66"/>
      <c r="K39" s="67"/>
      <c r="N39" s="5"/>
      <c r="O39" s="5"/>
    </row>
    <row r="40" spans="4:15" ht="13.8" thickBot="1" x14ac:dyDescent="0.3">
      <c r="D40" s="125" t="s">
        <v>75</v>
      </c>
      <c r="E40" s="126"/>
      <c r="F40" s="126"/>
      <c r="G40" s="126"/>
      <c r="H40" s="126"/>
      <c r="I40" s="125" t="s">
        <v>74</v>
      </c>
      <c r="J40" s="126"/>
      <c r="K40" s="127"/>
    </row>
    <row r="41" spans="4:15" ht="14.4" thickBot="1" x14ac:dyDescent="0.35">
      <c r="D41" s="6" t="s">
        <v>21</v>
      </c>
      <c r="E41" s="7" t="s">
        <v>22</v>
      </c>
      <c r="F41" s="62" t="s">
        <v>23</v>
      </c>
      <c r="G41" s="62" t="s">
        <v>24</v>
      </c>
      <c r="H41" s="86" t="s">
        <v>25</v>
      </c>
      <c r="I41" s="7" t="s">
        <v>57</v>
      </c>
      <c r="J41" s="7" t="s">
        <v>58</v>
      </c>
      <c r="K41" s="8" t="s">
        <v>59</v>
      </c>
      <c r="L41" t="s">
        <v>3</v>
      </c>
      <c r="M41" t="s">
        <v>4</v>
      </c>
      <c r="N41" t="s">
        <v>5</v>
      </c>
      <c r="O41" t="s">
        <v>6</v>
      </c>
    </row>
    <row r="42" spans="4:15" ht="16.95" customHeight="1" x14ac:dyDescent="0.25">
      <c r="D42" s="25"/>
      <c r="E42" s="74"/>
      <c r="F42" s="75"/>
      <c r="G42" s="75"/>
      <c r="H42" s="76"/>
      <c r="I42" s="75"/>
      <c r="J42" s="75"/>
      <c r="K42" s="76"/>
      <c r="L42" t="str">
        <f>IF(ISBLANK(D42),"",IF(D42&gt;1000,(D42-1000)/26+33.0847,(IF(D42&gt;600,(D42-600)/28+18.799,(IF(D42&gt;400,(D42-400)/30+12.1324,(IF(D42&gt;200,(D42-200)/32+5.8824,D42/34))))))))</f>
        <v/>
      </c>
      <c r="M42" t="str">
        <f t="shared" ref="M42:M51" si="6">IF(ISBLANK(D42),"",IF((D42=0),1,IF(D42&gt;=brevet,IF(brevet&gt;1200,(brevet-1200)*75/1000+90,Max_time),IF(D42&gt;1200,(D42-1200)*75/1000+90,IF(D42&gt;1000,(D42-1000)/(1000/75)+75,IF(D42&gt;600,(D42-600)/(400/35)+40,IF(D42&lt;=60,D42/20+1,D42/15)))))))</f>
        <v/>
      </c>
      <c r="N42" s="5" t="str">
        <f>IF(ISBLANK(D42),"",Open_time Control_1+(INT(L42)&amp;":"&amp;IF(ROUND(((L42-INT(L42))*60),0)&lt;10,0,"")&amp;ROUND(((L42-INT(L42))*60),0)))</f>
        <v/>
      </c>
      <c r="O42" s="5" t="str">
        <f>IF(ISBLANK(D42),"",Open_time Control_1+(INT(M42)&amp;":"&amp;IF(ROUND(((M42-INT(M42))*60),0)&lt;10,0,"")&amp;ROUND(((M42-INT(M42))*60),0)))</f>
        <v/>
      </c>
    </row>
    <row r="43" spans="4:15" ht="16.95" customHeight="1" x14ac:dyDescent="0.25">
      <c r="D43" s="25"/>
      <c r="E43" s="74"/>
      <c r="F43" s="75"/>
      <c r="G43" s="75"/>
      <c r="H43" s="76"/>
      <c r="I43" s="75"/>
      <c r="J43" s="75"/>
      <c r="K43" s="76"/>
      <c r="L43" t="str">
        <f t="shared" ref="L43:L51" si="7">IF(ISBLANK(D43),"",IF(D43&gt;1000,(D43-1000)/26+33.0847,(IF(D43&gt;600,(D43-600)/28+18.799,(IF(D43&gt;400,(D43-400)/30+12.1324,(IF(D43&gt;200,(D43-200)/32+5.8824,D43/34))))))))</f>
        <v/>
      </c>
      <c r="M43" t="str">
        <f t="shared" si="6"/>
        <v/>
      </c>
      <c r="N43" s="5" t="str">
        <f>IF(ISBLANK(D43),"",Open_time Control_1+(INT(L43)&amp;":"&amp;IF(ROUND(((L43-INT(L43))*60),0)&lt;10,0,"")&amp;ROUND(((L43-INT(L43))*60),0)))</f>
        <v/>
      </c>
      <c r="O43" s="5" t="str">
        <f>IF(ISBLANK(D43),"",Open_time Control_1+(INT(M43)&amp;":"&amp;IF(ROUND(((M43-INT(M43))*60),0)&lt;10,0,"")&amp;ROUND(((M43-INT(M43))*60),0)))</f>
        <v/>
      </c>
    </row>
    <row r="44" spans="4:15" ht="16.95" customHeight="1" x14ac:dyDescent="0.25">
      <c r="D44" s="25"/>
      <c r="E44" s="74"/>
      <c r="F44" s="75"/>
      <c r="G44" s="75"/>
      <c r="H44" s="76"/>
      <c r="I44" s="75"/>
      <c r="J44" s="75"/>
      <c r="K44" s="76"/>
      <c r="L44" t="str">
        <f t="shared" si="7"/>
        <v/>
      </c>
      <c r="M44" t="str">
        <f t="shared" si="6"/>
        <v/>
      </c>
      <c r="N44" s="5" t="str">
        <f>IF(ISBLANK(D44),"",Open_time Control_1+(INT(L44)&amp;":"&amp;IF(ROUND(((L44-INT(L44))*60),0)&lt;10,0,"")&amp;ROUND(((L44-INT(L44))*60),0)))</f>
        <v/>
      </c>
      <c r="O44" s="5" t="str">
        <f>IF(ISBLANK(D44),"",Open_time Control_1+(INT(M44)&amp;":"&amp;IF(ROUND(((M44-INT(M44))*60),0)&lt;10,0,"")&amp;ROUND(((M44-INT(M44))*60),0)))</f>
        <v/>
      </c>
    </row>
    <row r="45" spans="4:15" ht="16.95" customHeight="1" x14ac:dyDescent="0.25">
      <c r="D45" s="25"/>
      <c r="E45" s="74"/>
      <c r="F45" s="75"/>
      <c r="G45" s="75"/>
      <c r="H45" s="76"/>
      <c r="I45" s="75"/>
      <c r="J45" s="75"/>
      <c r="K45" s="76"/>
      <c r="L45" t="str">
        <f t="shared" si="7"/>
        <v/>
      </c>
      <c r="M45" t="str">
        <f t="shared" si="6"/>
        <v/>
      </c>
      <c r="N45" s="5" t="str">
        <f>IF(ISBLANK(D45),"",Open_time Control_1+(INT(L45)&amp;":"&amp;IF(ROUND(((L45-INT(L45))*60),0)&lt;10,0,"")&amp;ROUND(((L45-INT(L45))*60),0)))</f>
        <v/>
      </c>
      <c r="O45" s="5" t="str">
        <f>IF(ISBLANK(D45),"",Open_time Control_1+(INT(M45)&amp;":"&amp;IF(ROUND(((M45-INT(M45))*60),0)&lt;10,0,"")&amp;ROUND(((M45-INT(M45))*60),0)))</f>
        <v/>
      </c>
    </row>
    <row r="46" spans="4:15" ht="16.95" customHeight="1" x14ac:dyDescent="0.25">
      <c r="D46" s="25"/>
      <c r="E46" s="74"/>
      <c r="F46" s="75"/>
      <c r="G46" s="75"/>
      <c r="H46" s="76"/>
      <c r="I46" s="75"/>
      <c r="J46" s="75"/>
      <c r="K46" s="76"/>
      <c r="L46" t="str">
        <f t="shared" si="7"/>
        <v/>
      </c>
      <c r="M46" t="str">
        <f t="shared" si="6"/>
        <v/>
      </c>
      <c r="N46" s="5" t="str">
        <f>IF(ISBLANK(D46),"",Open_time Control_1+(INT(L46)&amp;":"&amp;IF(ROUND(((L46-INT(L46))*60),0)&lt;10,0,"")&amp;ROUND(((L46-INT(L46))*60),0)))</f>
        <v/>
      </c>
      <c r="O46" s="5" t="str">
        <f>IF(ISBLANK(D46),"",Open_time Control_1+(INT(M46)&amp;":"&amp;IF(ROUND(((M46-INT(M46))*60),0)&lt;10,0,"")&amp;ROUND(((M46-INT(M46))*60),0)))</f>
        <v/>
      </c>
    </row>
    <row r="47" spans="4:15" ht="16.95" customHeight="1" x14ac:dyDescent="0.25">
      <c r="D47" s="25"/>
      <c r="E47" s="74"/>
      <c r="F47" s="75"/>
      <c r="G47" s="75"/>
      <c r="H47" s="76"/>
      <c r="I47" s="75"/>
      <c r="J47" s="75"/>
      <c r="K47" s="76"/>
      <c r="L47" t="str">
        <f t="shared" si="7"/>
        <v/>
      </c>
      <c r="M47" t="str">
        <f t="shared" si="6"/>
        <v/>
      </c>
      <c r="N47" s="5" t="str">
        <f>IF(ISBLANK(D47),"",Open_time Control_1+(INT(L47)&amp;":"&amp;IF(ROUND(((L47-INT(L47))*60),0)&lt;10,0,"")&amp;ROUND(((L47-INT(L47))*60),0)))</f>
        <v/>
      </c>
      <c r="O47" s="5" t="str">
        <f>IF(ISBLANK(D47),"",Open_time Control_1+(INT(M47)&amp;":"&amp;IF(ROUND(((M47-INT(M47))*60),0)&lt;10,0,"")&amp;ROUND(((M47-INT(M47))*60),0)))</f>
        <v/>
      </c>
    </row>
    <row r="48" spans="4:15" ht="16.95" customHeight="1" x14ac:dyDescent="0.25">
      <c r="D48" s="25"/>
      <c r="E48" s="74"/>
      <c r="F48" s="75"/>
      <c r="G48" s="75"/>
      <c r="H48" s="76"/>
      <c r="I48" s="75"/>
      <c r="J48" s="75"/>
      <c r="K48" s="76"/>
      <c r="L48" t="str">
        <f t="shared" si="7"/>
        <v/>
      </c>
      <c r="M48" t="str">
        <f t="shared" si="6"/>
        <v/>
      </c>
      <c r="N48" s="5" t="str">
        <f>IF(ISBLANK(D48),"",Open_time Control_1+(INT(L48)&amp;":"&amp;IF(ROUND(((L48-INT(L48))*60),0)&lt;10,0,"")&amp;ROUND(((L48-INT(L48))*60),0)))</f>
        <v/>
      </c>
      <c r="O48" s="5" t="str">
        <f>IF(ISBLANK(D48),"",Open_time Control_1+(INT(M48)&amp;":"&amp;IF(ROUND(((M48-INT(M48))*60),0)&lt;10,0,"")&amp;ROUND(((M48-INT(M48))*60),0)))</f>
        <v/>
      </c>
    </row>
    <row r="49" spans="4:15" ht="16.95" customHeight="1" x14ac:dyDescent="0.25">
      <c r="D49" s="25"/>
      <c r="E49" s="74"/>
      <c r="F49" s="75"/>
      <c r="G49" s="75"/>
      <c r="H49" s="76"/>
      <c r="I49" s="75"/>
      <c r="J49" s="75"/>
      <c r="K49" s="76"/>
      <c r="L49" t="str">
        <f t="shared" si="7"/>
        <v/>
      </c>
      <c r="M49" t="str">
        <f t="shared" si="6"/>
        <v/>
      </c>
      <c r="N49" s="5" t="str">
        <f>IF(ISBLANK(D49),"",Open_time Control_1+(INT(L49)&amp;":"&amp;IF(ROUND(((L49-INT(L49))*60),0)&lt;10,0,"")&amp;ROUND(((L49-INT(L49))*60),0)))</f>
        <v/>
      </c>
      <c r="O49" s="5" t="str">
        <f>IF(ISBLANK(D49),"",Open_time Control_1+(INT(M49)&amp;":"&amp;IF(ROUND(((M49-INT(M49))*60),0)&lt;10,0,"")&amp;ROUND(((M49-INT(M49))*60),0)))</f>
        <v/>
      </c>
    </row>
    <row r="50" spans="4:15" ht="16.95" customHeight="1" x14ac:dyDescent="0.25">
      <c r="D50" s="25"/>
      <c r="E50" s="74"/>
      <c r="F50" s="75"/>
      <c r="G50" s="75"/>
      <c r="H50" s="76"/>
      <c r="I50" s="75"/>
      <c r="J50" s="75"/>
      <c r="K50" s="76"/>
      <c r="L50" t="str">
        <f t="shared" si="7"/>
        <v/>
      </c>
      <c r="M50" t="str">
        <f t="shared" si="6"/>
        <v/>
      </c>
      <c r="N50" s="5" t="str">
        <f>IF(ISBLANK(D50),"",Open_time Control_1+(INT(L50)&amp;":"&amp;IF(ROUND(((L50-INT(L50))*60),0)&lt;10,0,"")&amp;ROUND(((L50-INT(L50))*60),0)))</f>
        <v/>
      </c>
      <c r="O50" s="5" t="str">
        <f>IF(ISBLANK(D50),"",Open_time Control_1+(INT(M50)&amp;":"&amp;IF(ROUND(((M50-INT(M50))*60),0)&lt;10,0,"")&amp;ROUND(((M50-INT(M50))*60),0)))</f>
        <v/>
      </c>
    </row>
    <row r="51" spans="4:15" ht="16.95" customHeight="1" thickBot="1" x14ac:dyDescent="0.3">
      <c r="D51" s="51"/>
      <c r="E51" s="77"/>
      <c r="F51" s="78"/>
      <c r="G51" s="78"/>
      <c r="H51" s="79"/>
      <c r="I51" s="78"/>
      <c r="J51" s="78"/>
      <c r="K51" s="79"/>
      <c r="L51" t="str">
        <f t="shared" si="7"/>
        <v/>
      </c>
      <c r="M51" t="str">
        <f t="shared" si="6"/>
        <v/>
      </c>
      <c r="N51" s="5" t="str">
        <f>IF(ISBLANK(D51),"",Open_time Control_1+(INT(L51)&amp;":"&amp;IF(ROUND(((L51-INT(L51))*60),0)&lt;10,0,"")&amp;ROUND(((L51-INT(L51))*60),0)))</f>
        <v/>
      </c>
      <c r="O51" s="5" t="str">
        <f>IF(ISBLANK(D51),"",Open_time Control_1+(INT(M51)&amp;":"&amp;IF(ROUND(((M51-INT(M51))*60),0)&lt;10,0,"")&amp;ROUND(((M51-INT(M51))*60),0)))</f>
        <v/>
      </c>
    </row>
    <row r="52" spans="4:15" ht="7.05" customHeight="1" thickBot="1" x14ac:dyDescent="0.4">
      <c r="D52" s="64"/>
      <c r="E52" s="65"/>
      <c r="F52" s="66"/>
      <c r="G52" s="66"/>
      <c r="H52" s="66"/>
      <c r="I52" s="66"/>
      <c r="J52" s="66"/>
      <c r="K52" s="67"/>
      <c r="N52" s="5"/>
      <c r="O52" s="5"/>
    </row>
    <row r="53" spans="4:15" ht="13.8" thickBot="1" x14ac:dyDescent="0.3">
      <c r="D53" s="125" t="s">
        <v>82</v>
      </c>
      <c r="E53" s="126"/>
      <c r="F53" s="126"/>
      <c r="G53" s="126"/>
      <c r="H53" s="126"/>
      <c r="I53" s="125" t="s">
        <v>83</v>
      </c>
      <c r="J53" s="126"/>
      <c r="K53" s="127"/>
    </row>
    <row r="54" spans="4:15" ht="14.4" thickBot="1" x14ac:dyDescent="0.35">
      <c r="D54" s="6" t="s">
        <v>21</v>
      </c>
      <c r="E54" s="7" t="s">
        <v>22</v>
      </c>
      <c r="F54" s="62" t="s">
        <v>23</v>
      </c>
      <c r="G54" s="62" t="s">
        <v>24</v>
      </c>
      <c r="H54" s="86" t="s">
        <v>25</v>
      </c>
      <c r="I54" s="7" t="s">
        <v>57</v>
      </c>
      <c r="J54" s="7" t="s">
        <v>58</v>
      </c>
      <c r="K54" s="8" t="s">
        <v>59</v>
      </c>
      <c r="L54" t="s">
        <v>3</v>
      </c>
      <c r="M54" t="s">
        <v>4</v>
      </c>
      <c r="N54" t="s">
        <v>5</v>
      </c>
      <c r="O54" t="s">
        <v>6</v>
      </c>
    </row>
    <row r="55" spans="4:15" ht="16.95" customHeight="1" x14ac:dyDescent="0.25">
      <c r="D55" s="25"/>
      <c r="E55" s="74"/>
      <c r="F55" s="75"/>
      <c r="G55" s="75"/>
      <c r="H55" s="76"/>
      <c r="I55" s="75"/>
      <c r="J55" s="75"/>
      <c r="K55" s="76"/>
      <c r="L55" t="str">
        <f>IF(ISBLANK(D55),"",IF(D55&gt;1000,(D55-1000)/26+33.0847,(IF(D55&gt;600,(D55-600)/28+18.799,(IF(D55&gt;400,(D55-400)/30+12.1324,(IF(D55&gt;200,(D55-200)/32+5.8824,D55/34))))))))</f>
        <v/>
      </c>
      <c r="M55" t="str">
        <f t="shared" ref="M55:M64" si="8">IF(ISBLANK(D55),"",IF((D55=0),1,IF(D55&gt;=brevet,IF(brevet&gt;1200,(brevet-1200)*75/1000+90,Max_time),IF(D55&gt;1200,(D55-1200)*75/1000+90,IF(D55&gt;1000,(D55-1000)/(1000/75)+75,IF(D55&gt;600,(D55-600)/(400/35)+40,IF(D55&lt;=60,D55/20+1,D55/15)))))))</f>
        <v/>
      </c>
      <c r="N55" s="5" t="str">
        <f>IF(ISBLANK(D55),"",Open_time Control_1+(INT(L55)&amp;":"&amp;IF(ROUND(((L55-INT(L55))*60),0)&lt;10,0,"")&amp;ROUND(((L55-INT(L55))*60),0)))</f>
        <v/>
      </c>
      <c r="O55" s="5" t="str">
        <f>IF(ISBLANK(D55),"",Open_time Control_1+(INT(M55)&amp;":"&amp;IF(ROUND(((M55-INT(M55))*60),0)&lt;10,0,"")&amp;ROUND(((M55-INT(M55))*60),0)))</f>
        <v/>
      </c>
    </row>
    <row r="56" spans="4:15" ht="16.95" customHeight="1" x14ac:dyDescent="0.25">
      <c r="D56" s="25"/>
      <c r="E56" s="74"/>
      <c r="F56" s="75"/>
      <c r="G56" s="75"/>
      <c r="H56" s="76"/>
      <c r="I56" s="75"/>
      <c r="J56" s="75"/>
      <c r="K56" s="76"/>
      <c r="L56" t="str">
        <f t="shared" ref="L56:L64" si="9">IF(ISBLANK(D56),"",IF(D56&gt;1000,(D56-1000)/26+33.0847,(IF(D56&gt;600,(D56-600)/28+18.799,(IF(D56&gt;400,(D56-400)/30+12.1324,(IF(D56&gt;200,(D56-200)/32+5.8824,D56/34))))))))</f>
        <v/>
      </c>
      <c r="M56" t="str">
        <f t="shared" si="8"/>
        <v/>
      </c>
      <c r="N56" s="5" t="str">
        <f>IF(ISBLANK(D56),"",Open_time Control_1+(INT(L56)&amp;":"&amp;IF(ROUND(((L56-INT(L56))*60),0)&lt;10,0,"")&amp;ROUND(((L56-INT(L56))*60),0)))</f>
        <v/>
      </c>
      <c r="O56" s="5" t="str">
        <f>IF(ISBLANK(D56),"",Open_time Control_1+(INT(M56)&amp;":"&amp;IF(ROUND(((M56-INT(M56))*60),0)&lt;10,0,"")&amp;ROUND(((M56-INT(M56))*60),0)))</f>
        <v/>
      </c>
    </row>
    <row r="57" spans="4:15" ht="16.95" customHeight="1" x14ac:dyDescent="0.25">
      <c r="D57" s="25"/>
      <c r="E57" s="74"/>
      <c r="F57" s="75"/>
      <c r="G57" s="75"/>
      <c r="H57" s="76"/>
      <c r="I57" s="75"/>
      <c r="J57" s="75"/>
      <c r="K57" s="76"/>
      <c r="L57" t="str">
        <f t="shared" si="9"/>
        <v/>
      </c>
      <c r="M57" t="str">
        <f t="shared" si="8"/>
        <v/>
      </c>
      <c r="N57" s="5" t="str">
        <f>IF(ISBLANK(D57),"",Open_time Control_1+(INT(L57)&amp;":"&amp;IF(ROUND(((L57-INT(L57))*60),0)&lt;10,0,"")&amp;ROUND(((L57-INT(L57))*60),0)))</f>
        <v/>
      </c>
      <c r="O57" s="5" t="str">
        <f>IF(ISBLANK(D57),"",Open_time Control_1+(INT(M57)&amp;":"&amp;IF(ROUND(((M57-INT(M57))*60),0)&lt;10,0,"")&amp;ROUND(((M57-INT(M57))*60),0)))</f>
        <v/>
      </c>
    </row>
    <row r="58" spans="4:15" ht="16.95" customHeight="1" x14ac:dyDescent="0.25">
      <c r="D58" s="25"/>
      <c r="E58" s="74"/>
      <c r="F58" s="75"/>
      <c r="G58" s="75"/>
      <c r="H58" s="76"/>
      <c r="I58" s="75"/>
      <c r="J58" s="75"/>
      <c r="K58" s="76"/>
      <c r="L58" t="str">
        <f t="shared" si="9"/>
        <v/>
      </c>
      <c r="M58" t="str">
        <f t="shared" si="8"/>
        <v/>
      </c>
      <c r="N58" s="5" t="str">
        <f>IF(ISBLANK(D58),"",Open_time Control_1+(INT(L58)&amp;":"&amp;IF(ROUND(((L58-INT(L58))*60),0)&lt;10,0,"")&amp;ROUND(((L58-INT(L58))*60),0)))</f>
        <v/>
      </c>
      <c r="O58" s="5" t="str">
        <f>IF(ISBLANK(D58),"",Open_time Control_1+(INT(M58)&amp;":"&amp;IF(ROUND(((M58-INT(M58))*60),0)&lt;10,0,"")&amp;ROUND(((M58-INT(M58))*60),0)))</f>
        <v/>
      </c>
    </row>
    <row r="59" spans="4:15" ht="16.95" customHeight="1" x14ac:dyDescent="0.25">
      <c r="D59" s="25"/>
      <c r="E59" s="74"/>
      <c r="F59" s="75"/>
      <c r="G59" s="75"/>
      <c r="H59" s="76"/>
      <c r="I59" s="75"/>
      <c r="J59" s="75"/>
      <c r="K59" s="76"/>
      <c r="L59" t="str">
        <f t="shared" si="9"/>
        <v/>
      </c>
      <c r="M59" t="str">
        <f t="shared" si="8"/>
        <v/>
      </c>
      <c r="N59" s="5" t="str">
        <f>IF(ISBLANK(D59),"",Open_time Control_1+(INT(L59)&amp;":"&amp;IF(ROUND(((L59-INT(L59))*60),0)&lt;10,0,"")&amp;ROUND(((L59-INT(L59))*60),0)))</f>
        <v/>
      </c>
      <c r="O59" s="5" t="str">
        <f>IF(ISBLANK(D59),"",Open_time Control_1+(INT(M59)&amp;":"&amp;IF(ROUND(((M59-INT(M59))*60),0)&lt;10,0,"")&amp;ROUND(((M59-INT(M59))*60),0)))</f>
        <v/>
      </c>
    </row>
    <row r="60" spans="4:15" ht="16.95" customHeight="1" x14ac:dyDescent="0.25">
      <c r="D60" s="25"/>
      <c r="E60" s="74"/>
      <c r="F60" s="75"/>
      <c r="G60" s="75"/>
      <c r="H60" s="76"/>
      <c r="I60" s="75"/>
      <c r="J60" s="75"/>
      <c r="K60" s="76"/>
      <c r="L60" t="str">
        <f t="shared" si="9"/>
        <v/>
      </c>
      <c r="M60" t="str">
        <f t="shared" si="8"/>
        <v/>
      </c>
      <c r="N60" s="5" t="str">
        <f>IF(ISBLANK(D60),"",Open_time Control_1+(INT(L60)&amp;":"&amp;IF(ROUND(((L60-INT(L60))*60),0)&lt;10,0,"")&amp;ROUND(((L60-INT(L60))*60),0)))</f>
        <v/>
      </c>
      <c r="O60" s="5" t="str">
        <f>IF(ISBLANK(D60),"",Open_time Control_1+(INT(M60)&amp;":"&amp;IF(ROUND(((M60-INT(M60))*60),0)&lt;10,0,"")&amp;ROUND(((M60-INT(M60))*60),0)))</f>
        <v/>
      </c>
    </row>
    <row r="61" spans="4:15" ht="16.95" customHeight="1" x14ac:dyDescent="0.25">
      <c r="D61" s="25"/>
      <c r="E61" s="74"/>
      <c r="F61" s="75"/>
      <c r="G61" s="75"/>
      <c r="H61" s="76"/>
      <c r="I61" s="75"/>
      <c r="J61" s="75"/>
      <c r="K61" s="76"/>
      <c r="L61" t="str">
        <f t="shared" si="9"/>
        <v/>
      </c>
      <c r="M61" t="str">
        <f t="shared" si="8"/>
        <v/>
      </c>
      <c r="N61" s="5" t="str">
        <f>IF(ISBLANK(D61),"",Open_time Control_1+(INT(L61)&amp;":"&amp;IF(ROUND(((L61-INT(L61))*60),0)&lt;10,0,"")&amp;ROUND(((L61-INT(L61))*60),0)))</f>
        <v/>
      </c>
      <c r="O61" s="5" t="str">
        <f>IF(ISBLANK(D61),"",Open_time Control_1+(INT(M61)&amp;":"&amp;IF(ROUND(((M61-INT(M61))*60),0)&lt;10,0,"")&amp;ROUND(((M61-INT(M61))*60),0)))</f>
        <v/>
      </c>
    </row>
    <row r="62" spans="4:15" ht="16.95" customHeight="1" x14ac:dyDescent="0.25">
      <c r="D62" s="25"/>
      <c r="E62" s="74"/>
      <c r="F62" s="75"/>
      <c r="G62" s="75"/>
      <c r="H62" s="76"/>
      <c r="I62" s="75"/>
      <c r="J62" s="75"/>
      <c r="K62" s="76"/>
      <c r="L62" t="str">
        <f t="shared" si="9"/>
        <v/>
      </c>
      <c r="M62" t="str">
        <f t="shared" si="8"/>
        <v/>
      </c>
      <c r="N62" s="5" t="str">
        <f>IF(ISBLANK(D62),"",Open_time Control_1+(INT(L62)&amp;":"&amp;IF(ROUND(((L62-INT(L62))*60),0)&lt;10,0,"")&amp;ROUND(((L62-INT(L62))*60),0)))</f>
        <v/>
      </c>
      <c r="O62" s="5" t="str">
        <f>IF(ISBLANK(D62),"",Open_time Control_1+(INT(M62)&amp;":"&amp;IF(ROUND(((M62-INT(M62))*60),0)&lt;10,0,"")&amp;ROUND(((M62-INT(M62))*60),0)))</f>
        <v/>
      </c>
    </row>
    <row r="63" spans="4:15" ht="16.95" customHeight="1" x14ac:dyDescent="0.25">
      <c r="D63" s="25"/>
      <c r="E63" s="74"/>
      <c r="F63" s="75"/>
      <c r="G63" s="75"/>
      <c r="H63" s="76"/>
      <c r="I63" s="75"/>
      <c r="J63" s="75"/>
      <c r="K63" s="76"/>
      <c r="L63" t="str">
        <f t="shared" si="9"/>
        <v/>
      </c>
      <c r="M63" t="str">
        <f t="shared" si="8"/>
        <v/>
      </c>
      <c r="N63" s="5" t="str">
        <f>IF(ISBLANK(D63),"",Open_time Control_1+(INT(L63)&amp;":"&amp;IF(ROUND(((L63-INT(L63))*60),0)&lt;10,0,"")&amp;ROUND(((L63-INT(L63))*60),0)))</f>
        <v/>
      </c>
      <c r="O63" s="5" t="str">
        <f>IF(ISBLANK(D63),"",Open_time Control_1+(INT(M63)&amp;":"&amp;IF(ROUND(((M63-INT(M63))*60),0)&lt;10,0,"")&amp;ROUND(((M63-INT(M63))*60),0)))</f>
        <v/>
      </c>
    </row>
    <row r="64" spans="4:15" ht="16.95" customHeight="1" thickBot="1" x14ac:dyDescent="0.3">
      <c r="D64" s="51"/>
      <c r="E64" s="77"/>
      <c r="F64" s="78"/>
      <c r="G64" s="78"/>
      <c r="H64" s="79"/>
      <c r="I64" s="78"/>
      <c r="J64" s="78"/>
      <c r="K64" s="79"/>
      <c r="L64" t="str">
        <f t="shared" si="9"/>
        <v/>
      </c>
      <c r="M64" t="str">
        <f t="shared" si="8"/>
        <v/>
      </c>
      <c r="N64" s="5" t="str">
        <f>IF(ISBLANK(D64),"",Open_time Control_1+(INT(L64)&amp;":"&amp;IF(ROUND(((L64-INT(L64))*60),0)&lt;10,0,"")&amp;ROUND(((L64-INT(L64))*60),0)))</f>
        <v/>
      </c>
      <c r="O64" s="5" t="str">
        <f>IF(ISBLANK(D64),"",Open_time Control_1+(INT(M64)&amp;":"&amp;IF(ROUND(((M64-INT(M64))*60),0)&lt;10,0,"")&amp;ROUND(((M64-INT(M64))*60),0)))</f>
        <v/>
      </c>
    </row>
  </sheetData>
  <sheetProtection formatCells="0" selectLockedCells="1"/>
  <mergeCells count="12">
    <mergeCell ref="D53:H53"/>
    <mergeCell ref="I53:K53"/>
    <mergeCell ref="Q1:Z5"/>
    <mergeCell ref="A1:H1"/>
    <mergeCell ref="B9:H9"/>
    <mergeCell ref="D40:H40"/>
    <mergeCell ref="I40:K40"/>
    <mergeCell ref="J6:K6"/>
    <mergeCell ref="D14:H14"/>
    <mergeCell ref="D27:H27"/>
    <mergeCell ref="I14:K14"/>
    <mergeCell ref="I27:K27"/>
  </mergeCells>
  <phoneticPr fontId="16" type="noConversion"/>
  <pageMargins left="0.75" right="0.75" top="1" bottom="1" header="0.5" footer="0.5"/>
  <pageSetup orientation="portrait" horizontalDpi="4294967292" verticalDpi="4294967292"/>
  <headerFooter>
    <oddHeader>&amp;A</oddHeader>
    <oddFooter>&amp;C_x000D_&amp;1#&amp;"Calibri"&amp;6&amp;K626469 Public</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0"/>
  <sheetViews>
    <sheetView showGridLines="0" tabSelected="1" view="pageLayout" zoomScale="80" zoomScaleNormal="92" zoomScalePageLayoutView="80" workbookViewId="0">
      <selection activeCell="L20" sqref="L20:N20"/>
    </sheetView>
  </sheetViews>
  <sheetFormatPr defaultColWidth="8.77734375" defaultRowHeight="13.2" x14ac:dyDescent="0.25"/>
  <cols>
    <col min="1" max="1" width="8.44140625" style="1" customWidth="1"/>
    <col min="2" max="2" width="13.33203125" customWidth="1"/>
    <col min="3" max="3" width="12.6640625" customWidth="1"/>
    <col min="4" max="4" width="18" customWidth="1"/>
    <col min="5" max="5" width="23.77734375" customWidth="1"/>
    <col min="6" max="6" width="42" customWidth="1"/>
    <col min="7" max="7" width="13.44140625" customWidth="1"/>
    <col min="8" max="8" width="8" style="27" customWidth="1"/>
    <col min="9" max="9" width="12" customWidth="1"/>
    <col min="12" max="13" width="9" customWidth="1"/>
    <col min="14" max="14" width="7.21875" customWidth="1"/>
    <col min="18" max="18" width="10.33203125" customWidth="1"/>
    <col min="19" max="19" width="8.77734375" customWidth="1"/>
  </cols>
  <sheetData>
    <row r="1" spans="1:22" ht="21" thickBot="1" x14ac:dyDescent="0.3">
      <c r="A1" s="142" t="s">
        <v>76</v>
      </c>
      <c r="B1" s="142"/>
      <c r="C1" s="142"/>
      <c r="D1" s="142"/>
      <c r="E1" s="142"/>
      <c r="F1" s="142"/>
      <c r="G1" s="142"/>
      <c r="H1" s="26" t="s">
        <v>26</v>
      </c>
    </row>
    <row r="2" spans="1:22" ht="33.6" customHeight="1" thickBot="1" x14ac:dyDescent="0.35">
      <c r="A2" s="73" t="s">
        <v>27</v>
      </c>
      <c r="B2" s="9" t="s">
        <v>3</v>
      </c>
      <c r="C2" s="9" t="s">
        <v>4</v>
      </c>
      <c r="D2" s="9" t="s">
        <v>22</v>
      </c>
      <c r="E2" s="9" t="s">
        <v>28</v>
      </c>
      <c r="F2" s="9" t="s">
        <v>56</v>
      </c>
      <c r="G2" s="73" t="s">
        <v>29</v>
      </c>
      <c r="H2" s="26" t="s">
        <v>26</v>
      </c>
      <c r="K2" s="148" t="s">
        <v>52</v>
      </c>
      <c r="L2" s="148"/>
      <c r="M2" s="148"/>
      <c r="N2" s="148"/>
      <c r="O2" s="148"/>
      <c r="P2" s="148"/>
      <c r="Q2" s="148"/>
      <c r="R2" s="148"/>
      <c r="S2" s="148"/>
      <c r="T2" s="148"/>
      <c r="U2" s="148"/>
    </row>
    <row r="3" spans="1:22" ht="40.799999999999997" customHeight="1" x14ac:dyDescent="0.7">
      <c r="A3" s="28"/>
      <c r="B3" s="29">
        <f>Control_1 Open_time</f>
        <v>45563.354166666664</v>
      </c>
      <c r="C3" s="29">
        <f>Control_1 Close_time</f>
        <v>45563.395833333328</v>
      </c>
      <c r="D3" s="30"/>
      <c r="E3" s="173" t="str">
        <f>IF(ISBLANK(Control_1 Establishment_1),"",Control_1 Establishment_1)</f>
        <v>START:  801 Deloume Rd, Mill Bay</v>
      </c>
      <c r="F3" s="95" t="str">
        <f>IF(ISBLANK('Control Entry'!I16),"",'Control Entry'!I16)</f>
        <v/>
      </c>
      <c r="G3" s="96"/>
      <c r="H3" s="26" t="s">
        <v>26</v>
      </c>
      <c r="K3" s="13"/>
      <c r="O3" s="172" t="s">
        <v>30</v>
      </c>
      <c r="P3" s="172"/>
      <c r="Q3" s="172"/>
      <c r="R3" s="172"/>
      <c r="S3" s="84" t="str">
        <f>IF('Control Entry'!D29=0,"","#1")</f>
        <v/>
      </c>
      <c r="U3" s="41"/>
    </row>
    <row r="4" spans="1:22" ht="36" customHeight="1" x14ac:dyDescent="0.3">
      <c r="A4" s="37">
        <f>IF(ISBLANK(Distance Control_1),"",Control_1 Distance)</f>
        <v>0</v>
      </c>
      <c r="B4" s="38">
        <f>Control_1 Open_time</f>
        <v>45563.354166666664</v>
      </c>
      <c r="C4" s="38">
        <f>Control_1 Close_time</f>
        <v>45563.395833333328</v>
      </c>
      <c r="D4" s="39" t="str">
        <f>IF(ISBLANK(Locale Control_1),"",Locale Control_1)</f>
        <v xml:space="preserve">RUSTICANA'S </v>
      </c>
      <c r="E4" s="174"/>
      <c r="F4" s="95" t="str">
        <f>IF(ISBLANK('Control Entry'!J16),"",'Control Entry'!J16)</f>
        <v/>
      </c>
      <c r="G4" s="96"/>
      <c r="H4" s="26" t="s">
        <v>26</v>
      </c>
      <c r="K4" s="13"/>
      <c r="M4" s="144" t="str">
        <f>IF(ISBLANK(brevet),"",brevet&amp;" km Randonnée")</f>
        <v>100 km Randonnée</v>
      </c>
      <c r="N4" s="144"/>
      <c r="O4" s="144"/>
      <c r="P4" s="144"/>
      <c r="Q4" s="144"/>
      <c r="R4" s="144"/>
      <c r="S4" s="144"/>
      <c r="T4" s="144"/>
      <c r="U4" s="42"/>
    </row>
    <row r="5" spans="1:22" ht="36" customHeight="1" thickBot="1" x14ac:dyDescent="0.4">
      <c r="A5" s="32"/>
      <c r="B5" s="33">
        <f>Control_1 Open_time</f>
        <v>45563.354166666664</v>
      </c>
      <c r="C5" s="33">
        <f>Control_1 Close_time</f>
        <v>45563.395833333328</v>
      </c>
      <c r="D5" s="34"/>
      <c r="E5" s="175"/>
      <c r="F5" s="100" t="str">
        <f>IF(ISBLANK('Control Entry'!K16),"",'Control Entry'!K16)</f>
        <v/>
      </c>
      <c r="G5" s="99"/>
      <c r="H5" s="26" t="s">
        <v>26</v>
      </c>
      <c r="K5" s="13"/>
      <c r="M5" s="14"/>
      <c r="N5" s="170" t="s">
        <v>44</v>
      </c>
      <c r="O5" s="170"/>
      <c r="P5" s="60">
        <f>IF(ISBLANK(Brevet_Number),"",Brevet_Number)</f>
        <v>5426</v>
      </c>
      <c r="Q5" s="61"/>
      <c r="R5" s="147">
        <f>IF(ISBLANK('Control Entry'!$B11),"",'Control Entry'!$B11)</f>
        <v>45563</v>
      </c>
      <c r="S5" s="147"/>
      <c r="T5" s="147"/>
      <c r="U5" s="147"/>
      <c r="V5" s="43"/>
    </row>
    <row r="6" spans="1:22" ht="36" customHeight="1" x14ac:dyDescent="0.4">
      <c r="A6" s="28"/>
      <c r="B6" s="29">
        <f>Control_2 Open_time</f>
        <v>45563.373611111107</v>
      </c>
      <c r="C6" s="29">
        <f>Control_2 Close_time</f>
        <v>45563.442361111105</v>
      </c>
      <c r="D6" s="36"/>
      <c r="E6" s="31" t="str">
        <f>IF(ISBLANK(Control_2 Establishment_1),"",Control_2 Establishment_1)</f>
        <v>Information</v>
      </c>
      <c r="F6" s="95" t="str">
        <f>IF(ISBLANK('Control Entry'!I17),"",'Control Entry'!I17)</f>
        <v>The work began on Kinsol Trestle in</v>
      </c>
      <c r="G6" s="96"/>
      <c r="H6" s="26" t="s">
        <v>26</v>
      </c>
      <c r="K6" s="13"/>
      <c r="L6" s="161" t="str">
        <f>IF(ISBLANK(Brevet_Description),"",Brevet_Description)</f>
        <v>100km Permanent - Cowichan Gravel</v>
      </c>
      <c r="M6" s="161"/>
      <c r="N6" s="161"/>
      <c r="O6" s="161"/>
      <c r="P6" s="161"/>
      <c r="Q6" s="161"/>
      <c r="R6" s="161"/>
      <c r="S6" s="161"/>
      <c r="T6" s="161"/>
      <c r="U6" s="161"/>
    </row>
    <row r="7" spans="1:22" ht="36" customHeight="1" x14ac:dyDescent="0.3">
      <c r="A7" s="37">
        <f>IF(ISBLANK(Distance Control_2),"",Control_2 Distance)</f>
        <v>13.9</v>
      </c>
      <c r="B7" s="38">
        <f>Control_2 Open_time</f>
        <v>45563.373611111107</v>
      </c>
      <c r="C7" s="38">
        <f>Control_2 Close_time</f>
        <v>45563.442361111105</v>
      </c>
      <c r="D7" s="39" t="str">
        <f>IF(ISBLANK(Locale Control_2),"",Locale Control_2)</f>
        <v>KINSOL TRESTLE</v>
      </c>
      <c r="E7" s="52" t="str">
        <f>IF(ISBLANK(Control_2 Establishment_2),"",Control_2 Establishment_2)</f>
        <v/>
      </c>
      <c r="F7" s="97" t="str">
        <f>IF(ISBLANK('Control Entry'!J17),"",'Control Entry'!J17)</f>
        <v/>
      </c>
      <c r="G7" s="96"/>
      <c r="H7" s="26" t="s">
        <v>26</v>
      </c>
      <c r="J7" s="83"/>
      <c r="L7" s="83"/>
    </row>
    <row r="8" spans="1:22" ht="36" customHeight="1" thickBot="1" x14ac:dyDescent="0.4">
      <c r="A8" s="32"/>
      <c r="B8" s="33">
        <f>Control_2 Open_time</f>
        <v>45563.373611111107</v>
      </c>
      <c r="C8" s="33">
        <f>Control_2 Close_time</f>
        <v>45563.442361111105</v>
      </c>
      <c r="D8" s="34"/>
      <c r="E8" s="82" t="str">
        <f>IF(ISBLANK(Control_2 Establishment_3),"",Control_2 Establishment_3)</f>
        <v/>
      </c>
      <c r="F8" s="98" t="str">
        <f>IF(ISBLANK('Control Entry'!K17),"",'Control Entry'!K17)</f>
        <v>19____</v>
      </c>
      <c r="G8" s="99"/>
      <c r="H8" s="26" t="s">
        <v>26</v>
      </c>
      <c r="J8" s="14" t="s">
        <v>31</v>
      </c>
      <c r="L8" s="149"/>
      <c r="M8" s="149"/>
      <c r="N8" s="149"/>
      <c r="O8" s="149"/>
      <c r="P8" s="149"/>
      <c r="Q8" s="149"/>
      <c r="R8" s="27"/>
      <c r="S8" s="44" t="s">
        <v>43</v>
      </c>
      <c r="T8" s="156"/>
      <c r="U8" s="156"/>
    </row>
    <row r="9" spans="1:22" ht="36" customHeight="1" thickBot="1" x14ac:dyDescent="0.5">
      <c r="A9" s="28"/>
      <c r="B9" s="29">
        <f>Control_3 Open_time</f>
        <v>45563.395833333328</v>
      </c>
      <c r="C9" s="29">
        <f>Control_3 Close_time</f>
        <v>45563.496527777774</v>
      </c>
      <c r="D9" s="167" t="str">
        <f>IF(ISBLANK(Locale Control_3),"",Locale Control_3)</f>
        <v>HOLT CREEK BRIDGE</v>
      </c>
      <c r="E9" s="31" t="str">
        <f>IF(ISBLANK(Control_3 Establishment_1),"",Control_3 Establishment_1)</f>
        <v>Information</v>
      </c>
      <c r="F9" s="95" t="str">
        <f>IF(ISBLANK('Control Entry'!I18),"",'Control Entry'!I18)</f>
        <v>Number of logs which make up the bridge deck</v>
      </c>
      <c r="G9" s="96"/>
      <c r="H9" s="26" t="s">
        <v>26</v>
      </c>
      <c r="J9" s="14" t="s">
        <v>32</v>
      </c>
      <c r="K9" s="14"/>
      <c r="L9" s="163" t="s">
        <v>51</v>
      </c>
      <c r="M9" s="163"/>
      <c r="N9" s="163"/>
      <c r="O9" s="163"/>
      <c r="P9" s="163"/>
      <c r="Q9" s="163"/>
      <c r="R9" s="163"/>
      <c r="S9" s="163"/>
      <c r="T9" s="163"/>
      <c r="U9" s="163"/>
    </row>
    <row r="10" spans="1:22" ht="36" customHeight="1" thickBot="1" x14ac:dyDescent="0.45">
      <c r="A10" s="37">
        <f>IF(ISBLANK(Distance Control_3),"",Control_3 Distance)</f>
        <v>30.2</v>
      </c>
      <c r="B10" s="38">
        <f>Control_3 Open_time</f>
        <v>45563.395833333328</v>
      </c>
      <c r="C10" s="38">
        <f>Control_3 Close_time</f>
        <v>45563.496527777774</v>
      </c>
      <c r="D10" s="168"/>
      <c r="E10" s="31" t="str">
        <f>IF(ISBLANK(Control_3 Establishment_2),"",Control_3 Establishment_2)</f>
        <v/>
      </c>
      <c r="F10" s="95" t="str">
        <f>IF(ISBLANK('Control Entry'!J18),"",'Control Entry'!J18)</f>
        <v/>
      </c>
      <c r="G10" s="96"/>
      <c r="H10" s="26" t="s">
        <v>26</v>
      </c>
      <c r="J10" s="14"/>
      <c r="K10" s="14"/>
      <c r="L10" s="158"/>
      <c r="M10" s="158"/>
      <c r="N10" s="158"/>
      <c r="O10" s="158"/>
      <c r="P10" s="158"/>
      <c r="Q10" s="158"/>
      <c r="R10" s="158"/>
      <c r="S10" s="158"/>
      <c r="T10" s="158"/>
      <c r="U10" s="158"/>
    </row>
    <row r="11" spans="1:22" ht="36" customHeight="1" thickBot="1" x14ac:dyDescent="0.45">
      <c r="A11" s="32"/>
      <c r="B11" s="33">
        <f>Control_3 Open_time</f>
        <v>45563.395833333328</v>
      </c>
      <c r="C11" s="33">
        <f>Control_3 Close_time</f>
        <v>45563.496527777774</v>
      </c>
      <c r="D11" s="169"/>
      <c r="E11" s="35" t="str">
        <f>IF(ISBLANK(Control_3 Establishment_3),"",Control_3 Establishment_3)</f>
        <v/>
      </c>
      <c r="F11" s="100" t="str">
        <f>IF(ISBLANK('Control Entry'!K18),"",'Control Entry'!K18)</f>
        <v>____________________</v>
      </c>
      <c r="G11" s="99"/>
      <c r="H11" s="26" t="s">
        <v>26</v>
      </c>
      <c r="J11" s="14" t="s">
        <v>33</v>
      </c>
      <c r="K11" s="14"/>
      <c r="L11" s="158"/>
      <c r="M11" s="158"/>
      <c r="N11" s="158"/>
      <c r="O11" s="17"/>
      <c r="P11" s="17" t="s">
        <v>34</v>
      </c>
      <c r="Q11" s="17"/>
      <c r="R11" s="17"/>
      <c r="S11" s="145"/>
      <c r="T11" s="145"/>
      <c r="U11" s="145"/>
    </row>
    <row r="12" spans="1:22" ht="36" customHeight="1" thickBot="1" x14ac:dyDescent="0.45">
      <c r="A12" s="28"/>
      <c r="B12" s="29">
        <f>Control_4 Open_time</f>
        <v>45563.429166666661</v>
      </c>
      <c r="C12" s="29">
        <f>Control_4 Close_time</f>
        <v>45563.576388888883</v>
      </c>
      <c r="D12" s="36"/>
      <c r="E12" s="31" t="str">
        <f>IF(ISBLANK(Control_4 Establishment_1),"",Control_4 Establishment_1)</f>
        <v>Information</v>
      </c>
      <c r="F12" s="95" t="str">
        <f>IF(ISBLANK('Control Entry'!I19),"",'Control Entry'!I19)</f>
        <v>The Riparian Restoration began in</v>
      </c>
      <c r="G12" s="96"/>
      <c r="H12" s="26" t="s">
        <v>26</v>
      </c>
      <c r="J12" s="14" t="s">
        <v>35</v>
      </c>
      <c r="K12" s="14"/>
      <c r="L12" s="158"/>
      <c r="M12" s="158"/>
      <c r="N12" s="158"/>
      <c r="O12" s="17"/>
      <c r="P12" s="17" t="s">
        <v>36</v>
      </c>
      <c r="Q12" s="17"/>
      <c r="R12" s="17"/>
      <c r="S12" s="145"/>
      <c r="T12" s="145"/>
      <c r="U12" s="145"/>
    </row>
    <row r="13" spans="1:22" ht="36" customHeight="1" thickBot="1" x14ac:dyDescent="0.45">
      <c r="A13" s="37">
        <f>IF(ISBLANK(Distance Control_4),"",Control_4 Distance)</f>
        <v>54.1</v>
      </c>
      <c r="B13" s="38">
        <f>Control_4 Open_time</f>
        <v>45563.429166666661</v>
      </c>
      <c r="C13" s="38">
        <f>Control_4 Close_time</f>
        <v>45563.576388888883</v>
      </c>
      <c r="D13" s="39" t="str">
        <f>IF(ISBLANK(Locale Control_4),"",Locale Control_4)</f>
        <v>SAYWELL PARK</v>
      </c>
      <c r="E13" s="31" t="str">
        <f>IF(ISBLANK(Control_4 Establishment_2),"",Control_4 Establishment_2)</f>
        <v/>
      </c>
      <c r="F13" s="95" t="str">
        <f>IF(ISBLANK('Control Entry'!J19),"",'Control Entry'!J19)</f>
        <v/>
      </c>
      <c r="G13" s="96"/>
      <c r="H13" s="26" t="s">
        <v>26</v>
      </c>
      <c r="J13" s="14" t="s">
        <v>37</v>
      </c>
      <c r="L13" s="166"/>
      <c r="M13" s="166"/>
      <c r="N13" s="166"/>
      <c r="O13" s="18"/>
      <c r="P13" s="17" t="s">
        <v>38</v>
      </c>
      <c r="Q13" s="17"/>
      <c r="R13" s="146"/>
      <c r="S13" s="146"/>
      <c r="T13" s="146"/>
      <c r="U13" s="146"/>
    </row>
    <row r="14" spans="1:22" ht="36" customHeight="1" thickBot="1" x14ac:dyDescent="0.4">
      <c r="A14" s="32"/>
      <c r="B14" s="33">
        <f>Control_4 Open_time</f>
        <v>45563.429166666661</v>
      </c>
      <c r="C14" s="33">
        <f>Control_4 Close_time</f>
        <v>45563.576388888883</v>
      </c>
      <c r="D14" s="34"/>
      <c r="E14" s="35" t="str">
        <f>IF(ISBLANK(Control_4 Establishment_3),"",Control_4 Establishment_3)</f>
        <v/>
      </c>
      <c r="F14" s="100" t="str">
        <f>IF(ISBLANK('Control Entry'!K19),"",'Control Entry'!K19)</f>
        <v>20____</v>
      </c>
      <c r="G14" s="99"/>
      <c r="H14" s="26" t="s">
        <v>26</v>
      </c>
    </row>
    <row r="15" spans="1:22" ht="36" customHeight="1" x14ac:dyDescent="0.35">
      <c r="A15" s="28"/>
      <c r="B15" s="29">
        <f>Control_5 Open_time</f>
        <v>45563.477083333331</v>
      </c>
      <c r="C15" s="29">
        <f>Control_5 Close_time</f>
        <v>45563.690277777772</v>
      </c>
      <c r="D15" s="36"/>
      <c r="E15" s="31" t="str">
        <f>IF(ISBLANK(Control_5 Establishment_1),"",Control_5 Establishment_1)</f>
        <v>Information</v>
      </c>
      <c r="F15" s="95" t="str">
        <f>IF(ISBLANK('Control Entry'!I20),"",'Control Entry'!I20)</f>
        <v>Number of Windows you can see on church from where you are standing</v>
      </c>
      <c r="G15" s="96"/>
      <c r="H15" s="26" t="s">
        <v>26</v>
      </c>
      <c r="J15" s="14"/>
      <c r="L15" s="160" t="s">
        <v>55</v>
      </c>
      <c r="M15" s="160"/>
      <c r="N15" s="160"/>
      <c r="O15" s="160"/>
      <c r="P15" s="160"/>
      <c r="Q15" s="160"/>
      <c r="R15" s="160"/>
      <c r="S15" s="160"/>
      <c r="T15" s="160"/>
      <c r="U15" s="160"/>
    </row>
    <row r="16" spans="1:22" ht="36" customHeight="1" thickBot="1" x14ac:dyDescent="0.35">
      <c r="A16" s="37">
        <f>IF(ISBLANK(Distance Control_5),"",Control_5 Distance)</f>
        <v>88.4</v>
      </c>
      <c r="B16" s="38">
        <f>Control_5 Open_time</f>
        <v>45563.477083333331</v>
      </c>
      <c r="C16" s="38">
        <f>Control_5 Close_time</f>
        <v>45563.690277777772</v>
      </c>
      <c r="D16" s="39" t="str">
        <f>IF(ISBLANK(Locale Control_5),"",Locale Control_5)</f>
        <v>ST. ANN'S CHURCH</v>
      </c>
      <c r="E16" s="31" t="str">
        <f>IF(ISBLANK(Control_5 Establishment_2),"",Control_5 Establishment_2)</f>
        <v/>
      </c>
      <c r="F16" s="95" t="str">
        <f>IF(ISBLANK('Control Entry'!J20),"",'Control Entry'!J20)</f>
        <v/>
      </c>
      <c r="G16" s="96"/>
      <c r="H16" s="26" t="s">
        <v>26</v>
      </c>
      <c r="L16" s="164"/>
      <c r="M16" s="164"/>
      <c r="N16" s="164"/>
      <c r="O16" s="164"/>
      <c r="P16" s="164"/>
      <c r="Q16" s="164"/>
      <c r="R16" s="164"/>
      <c r="S16" s="164"/>
      <c r="T16" s="164"/>
      <c r="U16" s="164"/>
    </row>
    <row r="17" spans="1:22" ht="36" customHeight="1" thickBot="1" x14ac:dyDescent="0.4">
      <c r="A17" s="32"/>
      <c r="B17" s="33">
        <f>Control_5 Open_time</f>
        <v>45563.477083333331</v>
      </c>
      <c r="C17" s="33">
        <f>Control_5 Close_time</f>
        <v>45563.690277777772</v>
      </c>
      <c r="D17" s="34"/>
      <c r="E17" s="35" t="str">
        <f>IF(ISBLANK(Control_5 Establishment_3),"",Control_5 Establishment_3)</f>
        <v/>
      </c>
      <c r="F17" s="100" t="str">
        <f>IF(ISBLANK('Control Entry'!K20),"",'Control Entry'!K20)</f>
        <v>_______</v>
      </c>
      <c r="G17" s="99"/>
      <c r="H17" s="26" t="s">
        <v>26</v>
      </c>
    </row>
    <row r="18" spans="1:22" ht="36" customHeight="1" x14ac:dyDescent="0.35">
      <c r="A18" s="28"/>
      <c r="B18" s="29">
        <f>Control_6 Open_time</f>
        <v>45563.504861111105</v>
      </c>
      <c r="C18" s="29">
        <f>Control_6 Close_time</f>
        <v>45563.756944444445</v>
      </c>
      <c r="D18" s="36"/>
      <c r="E18" s="31" t="str">
        <f>IF(ISBLANK(Control_6 Establishment_1),"",Control_6 Establishment_1)</f>
        <v>FINISH:  801 Delourme Rd, Mill Bay</v>
      </c>
      <c r="F18" s="95" t="str">
        <f>IF(ISBLANK('Control Entry'!I21),"",'Control Entry'!I21)</f>
        <v/>
      </c>
      <c r="G18" s="96"/>
      <c r="H18" s="26" t="s">
        <v>26</v>
      </c>
    </row>
    <row r="19" spans="1:22" ht="36" customHeight="1" x14ac:dyDescent="0.3">
      <c r="A19" s="37">
        <f>IF(ISBLANK(Distance Control_6),"",Control_6 Distance)</f>
        <v>108.4</v>
      </c>
      <c r="B19" s="38">
        <f>Control_6 Open_time</f>
        <v>45563.504861111105</v>
      </c>
      <c r="C19" s="38">
        <f>Control_6 Close_time</f>
        <v>45563.756944444445</v>
      </c>
      <c r="D19" s="39" t="str">
        <f>IF(ISBLANK(Locale Control_6),"",Locale Control_6)</f>
        <v xml:space="preserve">RUSTICANA'S </v>
      </c>
      <c r="E19" s="31" t="str">
        <f>IF(ISBLANK(Control_6 Establishment_2),"",Control_6 Establishment_2)</f>
        <v/>
      </c>
      <c r="F19" s="95" t="str">
        <f>IF(ISBLANK('Control Entry'!J21),"",'Control Entry'!J21)</f>
        <v/>
      </c>
      <c r="G19" s="96"/>
      <c r="H19" s="26" t="s">
        <v>26</v>
      </c>
    </row>
    <row r="20" spans="1:22" ht="36" customHeight="1" thickBot="1" x14ac:dyDescent="0.4">
      <c r="A20" s="32"/>
      <c r="B20" s="33">
        <f>Control_6 Open_time</f>
        <v>45563.504861111105</v>
      </c>
      <c r="C20" s="33">
        <f>Control_6 Close_time</f>
        <v>45563.756944444445</v>
      </c>
      <c r="D20" s="34"/>
      <c r="E20" s="35" t="str">
        <f>IF(ISBLANK(Control_6 Establishment_3),"",Control_6 Establishment_3)</f>
        <v/>
      </c>
      <c r="F20" s="100" t="str">
        <f>IF(ISBLANK('Control Entry'!K21),"",'Control Entry'!K21)</f>
        <v/>
      </c>
      <c r="G20" s="99"/>
      <c r="H20" s="26" t="s">
        <v>26</v>
      </c>
      <c r="J20" s="58" t="s">
        <v>41</v>
      </c>
      <c r="K20" s="58"/>
      <c r="L20" s="157">
        <f>IF(ISBLANK('Control Entry'!B13),"",'Control Entry'!B13)</f>
        <v>45563</v>
      </c>
      <c r="M20" s="157"/>
      <c r="N20" s="157"/>
      <c r="P20" s="17" t="s">
        <v>0</v>
      </c>
      <c r="Q20" s="17"/>
      <c r="S20" s="159">
        <f>IF(ISBLANK('Control Entry'!B14),"",'Control Entry'!B14)</f>
        <v>0.35416666666666669</v>
      </c>
      <c r="T20" s="159"/>
      <c r="U20" s="159"/>
    </row>
    <row r="21" spans="1:22" ht="36" customHeight="1" x14ac:dyDescent="0.35">
      <c r="A21" s="28"/>
      <c r="B21" s="29" t="str">
        <f>Control_7 Open_time</f>
        <v/>
      </c>
      <c r="C21" s="29" t="str">
        <f>Control_7 Close_time</f>
        <v/>
      </c>
      <c r="D21" s="36"/>
      <c r="E21" s="31" t="str">
        <f>IF(ISBLANK(Control_7 Establishment_1),"",Control_7 Establishment_1)</f>
        <v/>
      </c>
      <c r="F21" s="95" t="str">
        <f>IF(ISBLANK('Control Entry'!I22),"",'Control Entry'!I22)</f>
        <v/>
      </c>
      <c r="G21" s="96"/>
      <c r="H21" s="26" t="s">
        <v>26</v>
      </c>
      <c r="J21" s="58"/>
      <c r="K21" s="58"/>
      <c r="L21" s="56"/>
      <c r="M21" s="56"/>
      <c r="N21" s="56"/>
      <c r="P21" s="17"/>
      <c r="Q21" s="17"/>
      <c r="R21" s="21"/>
      <c r="S21" s="59"/>
      <c r="T21" s="59"/>
      <c r="U21" s="59"/>
      <c r="V21" s="27"/>
    </row>
    <row r="22" spans="1:22" ht="36" customHeight="1" thickBot="1" x14ac:dyDescent="0.4">
      <c r="A22" s="37" t="str">
        <f>IF(ISBLANK(Distance Control_7),"",Control_7 Distance)</f>
        <v/>
      </c>
      <c r="B22" s="38" t="str">
        <f>Control_7 Open_time</f>
        <v/>
      </c>
      <c r="C22" s="38" t="str">
        <f>Control_7 Close_time</f>
        <v/>
      </c>
      <c r="D22" s="39" t="str">
        <f>IF(ISBLANK(Locale Control_7),"",Locale Control_7)</f>
        <v/>
      </c>
      <c r="E22" s="31" t="str">
        <f>IF(ISBLANK(Control_7 Establishment_2),"",Control_7 Establishment_2)</f>
        <v/>
      </c>
      <c r="F22" s="95" t="str">
        <f>IF(ISBLANK('Control Entry'!J22),"",'Control Entry'!J22)</f>
        <v/>
      </c>
      <c r="G22" s="96"/>
      <c r="H22" s="26" t="s">
        <v>26</v>
      </c>
      <c r="J22" s="57" t="s">
        <v>42</v>
      </c>
      <c r="K22" s="57"/>
      <c r="L22" s="165"/>
      <c r="M22" s="165"/>
      <c r="N22" s="165"/>
      <c r="O22" s="18"/>
      <c r="P22" s="17" t="s">
        <v>1</v>
      </c>
      <c r="Q22" s="17"/>
      <c r="R22" s="18"/>
      <c r="S22" s="162"/>
      <c r="T22" s="162"/>
      <c r="U22" s="162"/>
    </row>
    <row r="23" spans="1:22" ht="36" customHeight="1" thickBot="1" x14ac:dyDescent="0.4">
      <c r="A23" s="32"/>
      <c r="B23" s="33" t="str">
        <f>Control_7 Open_time</f>
        <v/>
      </c>
      <c r="C23" s="33" t="str">
        <f>Control_7 Close_time</f>
        <v/>
      </c>
      <c r="D23" s="34"/>
      <c r="E23" s="35" t="str">
        <f>IF(ISBLANK(Control_7 Establishment_3),"",Control_7 Establishment_3)</f>
        <v/>
      </c>
      <c r="F23" s="100" t="str">
        <f>IF(ISBLANK('Control Entry'!K22),"",'Control Entry'!K22)</f>
        <v/>
      </c>
      <c r="G23" s="99"/>
      <c r="H23" s="26" t="s">
        <v>26</v>
      </c>
      <c r="J23" s="57"/>
      <c r="K23" s="57"/>
      <c r="L23" s="56"/>
      <c r="M23" s="56"/>
      <c r="N23" s="56"/>
      <c r="O23" s="21"/>
      <c r="P23" s="55"/>
      <c r="Q23" s="55"/>
      <c r="R23" s="21"/>
      <c r="S23" s="21"/>
      <c r="T23" s="21"/>
      <c r="U23" s="21"/>
      <c r="V23" s="27"/>
    </row>
    <row r="24" spans="1:22" ht="36" customHeight="1" thickBot="1" x14ac:dyDescent="0.4">
      <c r="A24" s="28"/>
      <c r="B24" s="29" t="str">
        <f>Control_8 Open_time</f>
        <v/>
      </c>
      <c r="C24" s="29" t="str">
        <f>Control_8 Close_time</f>
        <v/>
      </c>
      <c r="D24" s="36"/>
      <c r="E24" s="31" t="str">
        <f>IF(ISBLANK(Control_8 Establishment_1),"",Control_8 Establishment_1)</f>
        <v/>
      </c>
      <c r="F24" s="95" t="str">
        <f>IF(ISBLANK('Control Entry'!I23),"",'Control Entry'!I23)</f>
        <v/>
      </c>
      <c r="G24" s="96"/>
      <c r="H24" s="26" t="s">
        <v>26</v>
      </c>
      <c r="J24" s="162"/>
      <c r="K24" s="162"/>
      <c r="L24" s="162"/>
      <c r="M24" s="162"/>
      <c r="N24" s="162"/>
      <c r="O24" s="18"/>
      <c r="P24" s="17" t="s">
        <v>2</v>
      </c>
      <c r="Q24" s="17"/>
      <c r="R24" s="18"/>
      <c r="S24" s="162"/>
      <c r="T24" s="162"/>
      <c r="U24" s="162"/>
    </row>
    <row r="25" spans="1:22" ht="36" customHeight="1" x14ac:dyDescent="0.3">
      <c r="A25" s="37" t="str">
        <f>IF(ISBLANK(Distance Control_8),"",Control_8 Distance)</f>
        <v/>
      </c>
      <c r="B25" s="38" t="str">
        <f>Control_8 Open_time</f>
        <v/>
      </c>
      <c r="C25" s="38" t="str">
        <f>Control_8 Close_time</f>
        <v/>
      </c>
      <c r="D25" s="39" t="str">
        <f>IF(ISBLANK(Locale Control_8),"",Locale Control_8)</f>
        <v/>
      </c>
      <c r="E25" s="31" t="str">
        <f>IF(ISBLANK(Control_8 Establishment_2),"",Control_8 Establishment_2)</f>
        <v/>
      </c>
      <c r="F25" s="95" t="str">
        <f>IF(ISBLANK('Control Entry'!J23),"",'Control Entry'!J23)</f>
        <v/>
      </c>
      <c r="G25" s="96"/>
      <c r="H25" s="26" t="s">
        <v>26</v>
      </c>
      <c r="J25" s="171" t="s">
        <v>17</v>
      </c>
      <c r="K25" s="171"/>
      <c r="L25" s="171"/>
      <c r="M25" s="171"/>
      <c r="N25" s="171"/>
      <c r="O25" s="50"/>
      <c r="P25" s="137"/>
      <c r="Q25" s="137"/>
      <c r="R25" s="50"/>
      <c r="S25" s="135"/>
      <c r="T25" s="135"/>
      <c r="U25" s="135"/>
      <c r="V25" s="135"/>
    </row>
    <row r="26" spans="1:22" ht="36" customHeight="1" thickBot="1" x14ac:dyDescent="0.4">
      <c r="A26" s="32"/>
      <c r="B26" s="33" t="str">
        <f>Control_8 Open_time</f>
        <v/>
      </c>
      <c r="C26" s="33" t="str">
        <f>Control_8 Close_time</f>
        <v/>
      </c>
      <c r="D26" s="34"/>
      <c r="E26" s="35" t="str">
        <f>IF(ISBLANK(Control_8 Establishment_3),"",Control_8 Establishment_3)</f>
        <v/>
      </c>
      <c r="F26" s="100" t="str">
        <f>IF(ISBLANK('Control Entry'!K23),"",'Control Entry'!K23)</f>
        <v/>
      </c>
      <c r="G26" s="99"/>
      <c r="H26" s="26" t="s">
        <v>26</v>
      </c>
    </row>
    <row r="27" spans="1:22" ht="36" customHeight="1" x14ac:dyDescent="0.35">
      <c r="A27" s="28"/>
      <c r="B27" s="29" t="str">
        <f>Control_9 Open_time</f>
        <v/>
      </c>
      <c r="C27" s="29" t="str">
        <f>Control_9 Close_time</f>
        <v/>
      </c>
      <c r="D27" s="36"/>
      <c r="E27" s="31" t="str">
        <f>IF(ISBLANK(Control_9 Establishment_1),"",Control_9 Establishment_1)</f>
        <v/>
      </c>
      <c r="F27" s="95" t="str">
        <f>IF(ISBLANK('Control Entry'!I24),"",'Control Entry'!I24)</f>
        <v/>
      </c>
      <c r="G27" s="96"/>
      <c r="H27" s="26" t="s">
        <v>26</v>
      </c>
      <c r="K27" s="144" t="s">
        <v>53</v>
      </c>
      <c r="L27" s="137"/>
      <c r="M27" s="49" t="s">
        <v>54</v>
      </c>
      <c r="N27" s="137" t="s">
        <v>46</v>
      </c>
      <c r="O27" s="137"/>
      <c r="P27" s="137" t="s">
        <v>47</v>
      </c>
      <c r="Q27" s="137"/>
      <c r="R27" s="50" t="s">
        <v>48</v>
      </c>
      <c r="S27" s="135" t="s">
        <v>49</v>
      </c>
      <c r="T27" s="135"/>
      <c r="U27" s="135" t="s">
        <v>50</v>
      </c>
      <c r="V27" s="135"/>
    </row>
    <row r="28" spans="1:22" ht="36" customHeight="1" x14ac:dyDescent="0.3">
      <c r="A28" s="37" t="str">
        <f>IF(ISBLANK(Distance Control_9),"",Control_9 Distance)</f>
        <v/>
      </c>
      <c r="B28" s="38" t="str">
        <f>Control_9 Open_time</f>
        <v/>
      </c>
      <c r="C28" s="38" t="str">
        <f>Control_9 Close_time</f>
        <v/>
      </c>
      <c r="D28" s="39" t="str">
        <f>IF(ISBLANK(Locale Control_9),"",Locale Control_9)</f>
        <v/>
      </c>
      <c r="E28" s="31" t="str">
        <f>IF(ISBLANK(Control_9 Establishment_2),"",Control_9 Establishment_2)</f>
        <v/>
      </c>
      <c r="F28" s="95" t="str">
        <f>IF(ISBLANK('Control Entry'!J24),"",'Control Entry'!J24)</f>
        <v/>
      </c>
      <c r="G28" s="96"/>
      <c r="H28" s="26" t="s">
        <v>26</v>
      </c>
    </row>
    <row r="29" spans="1:22" ht="36" customHeight="1" thickBot="1" x14ac:dyDescent="0.4">
      <c r="A29" s="32"/>
      <c r="B29" s="33" t="str">
        <f>Control_9 Open_time</f>
        <v/>
      </c>
      <c r="C29" s="33" t="str">
        <f>Control_9 Close_time</f>
        <v/>
      </c>
      <c r="D29" s="34"/>
      <c r="E29" s="35" t="str">
        <f>IF(ISBLANK(Control_9 Establishment_3),"",Control_9 Establishment_3)</f>
        <v/>
      </c>
      <c r="F29" s="100" t="str">
        <f>IF(ISBLANK('Control Entry'!K24),"",'Control Entry'!K24)</f>
        <v/>
      </c>
      <c r="G29" s="99"/>
      <c r="H29" s="26" t="s">
        <v>26</v>
      </c>
      <c r="M29" s="136" t="s">
        <v>39</v>
      </c>
      <c r="N29" s="136"/>
      <c r="O29" s="136"/>
      <c r="P29" s="136"/>
      <c r="Q29" s="136"/>
      <c r="R29" s="136"/>
      <c r="S29" s="136"/>
      <c r="T29" s="136"/>
      <c r="U29" s="53"/>
    </row>
    <row r="30" spans="1:22" ht="36" customHeight="1" x14ac:dyDescent="0.35">
      <c r="A30" s="28"/>
      <c r="B30" s="29" t="str">
        <f>Control_10 Open_time</f>
        <v/>
      </c>
      <c r="C30" s="29" t="str">
        <f>Control_10 Close_time</f>
        <v/>
      </c>
      <c r="D30" s="36"/>
      <c r="E30" s="31" t="str">
        <f>IF(ISBLANK(Control_10 Establishment_1),"",Control_10 Establishment_1)</f>
        <v/>
      </c>
      <c r="F30" s="95" t="str">
        <f>IF(ISBLANK('Control Entry'!I25),"",'Control Entry'!I25)</f>
        <v/>
      </c>
      <c r="G30" s="96"/>
      <c r="H30" s="26" t="s">
        <v>26</v>
      </c>
      <c r="M30" s="15"/>
      <c r="N30" s="19"/>
      <c r="O30" s="19"/>
      <c r="P30" s="20"/>
      <c r="Q30" s="102"/>
      <c r="R30" s="19"/>
      <c r="S30" s="19"/>
      <c r="T30" s="20"/>
      <c r="U30" s="21"/>
    </row>
    <row r="31" spans="1:22" ht="36" customHeight="1" x14ac:dyDescent="0.3">
      <c r="A31" s="37" t="str">
        <f>IF(ISBLANK(Distance Control_10),"",Control_10 Distance)</f>
        <v/>
      </c>
      <c r="B31" s="38" t="str">
        <f>Control_10 Open_time</f>
        <v/>
      </c>
      <c r="C31" s="38" t="str">
        <f>Control_10 Close_time</f>
        <v/>
      </c>
      <c r="D31" s="39" t="str">
        <f>IF(ISBLANK(Locale Control_10),"",Locale Control_10)</f>
        <v/>
      </c>
      <c r="E31" s="31" t="str">
        <f>IF(ISBLANK(Control_10 Establishment_2),"",Control_10 Establishment_2)</f>
        <v/>
      </c>
      <c r="F31" s="95" t="str">
        <f>IF(ISBLANK('Control Entry'!J25),"",'Control Entry'!J25)</f>
        <v/>
      </c>
      <c r="G31" s="96"/>
      <c r="H31" s="26" t="s">
        <v>26</v>
      </c>
      <c r="M31" s="16"/>
      <c r="N31" s="21"/>
      <c r="O31" s="21"/>
      <c r="P31" s="22"/>
      <c r="Q31" s="103"/>
      <c r="R31" s="21"/>
      <c r="S31" s="21"/>
      <c r="T31" s="22"/>
      <c r="U31" s="21"/>
    </row>
    <row r="32" spans="1:22" ht="36" customHeight="1" thickBot="1" x14ac:dyDescent="0.4">
      <c r="A32" s="32"/>
      <c r="B32" s="33" t="str">
        <f>Control_10 Open_time</f>
        <v/>
      </c>
      <c r="C32" s="33" t="str">
        <f>Control_10 Close_time</f>
        <v/>
      </c>
      <c r="D32" s="34"/>
      <c r="E32" s="35" t="str">
        <f>IF(ISBLANK(Control_10 Establishment_3),"",Control_10 Establishment_3)</f>
        <v/>
      </c>
      <c r="F32" s="100" t="str">
        <f>IF(ISBLANK('Control Entry'!K25),"",'Control Entry'!K25)</f>
        <v/>
      </c>
      <c r="G32" s="99"/>
      <c r="H32" s="26" t="s">
        <v>26</v>
      </c>
      <c r="M32" s="150" t="s">
        <v>78</v>
      </c>
      <c r="N32" s="151"/>
      <c r="O32" s="151"/>
      <c r="P32" s="152"/>
      <c r="Q32" s="153">
        <f>'Control Entry'!B3</f>
        <v>44990</v>
      </c>
      <c r="R32" s="154"/>
      <c r="S32" s="154"/>
      <c r="T32" s="155"/>
      <c r="U32" s="21"/>
    </row>
    <row r="33" spans="1:22" ht="36" customHeight="1" x14ac:dyDescent="0.35">
      <c r="A33" s="143" t="s">
        <v>40</v>
      </c>
      <c r="B33" s="143"/>
      <c r="C33" s="143"/>
      <c r="D33" s="143"/>
      <c r="E33" s="143"/>
      <c r="F33" s="143"/>
      <c r="G33" s="143"/>
      <c r="H33" s="40"/>
      <c r="I33" s="40"/>
      <c r="M33" s="138" t="s">
        <v>81</v>
      </c>
      <c r="N33" s="139"/>
      <c r="O33" s="139"/>
      <c r="P33" s="139"/>
      <c r="Q33" s="140">
        <f>'Control Entry'!B4</f>
        <v>44992</v>
      </c>
      <c r="R33" s="141"/>
      <c r="S33" s="141"/>
      <c r="T33" s="141"/>
      <c r="U33" s="91"/>
      <c r="V33" s="48"/>
    </row>
    <row r="34" spans="1:22" ht="36" customHeight="1" x14ac:dyDescent="0.35">
      <c r="A34"/>
      <c r="O34" s="46"/>
      <c r="P34" s="46"/>
      <c r="Q34" s="46"/>
      <c r="R34" s="45"/>
    </row>
    <row r="35" spans="1:22" ht="36" customHeight="1" x14ac:dyDescent="0.25">
      <c r="A35"/>
      <c r="N35" s="136"/>
      <c r="O35" s="136"/>
      <c r="P35" s="136"/>
      <c r="Q35" s="136"/>
      <c r="R35" s="136"/>
      <c r="S35" s="136"/>
      <c r="T35" s="136"/>
      <c r="U35" s="136"/>
    </row>
    <row r="36" spans="1:22" ht="36" customHeight="1" x14ac:dyDescent="0.25">
      <c r="A36"/>
      <c r="N36" s="27"/>
      <c r="O36" s="21"/>
      <c r="P36" s="21"/>
      <c r="Q36" s="21"/>
      <c r="R36" s="21"/>
      <c r="S36" s="21"/>
      <c r="T36" s="21"/>
      <c r="U36" s="21"/>
    </row>
    <row r="37" spans="1:22" ht="36" customHeight="1" x14ac:dyDescent="0.25">
      <c r="A37"/>
      <c r="N37" s="27"/>
      <c r="O37" s="21"/>
      <c r="P37" s="21"/>
      <c r="Q37" s="21"/>
      <c r="R37" s="21"/>
      <c r="S37" s="21"/>
      <c r="T37" s="21"/>
      <c r="U37" s="21"/>
    </row>
    <row r="38" spans="1:22" ht="36" customHeight="1" x14ac:dyDescent="0.35">
      <c r="A38"/>
      <c r="N38" s="54"/>
      <c r="O38" s="21"/>
      <c r="P38" s="21"/>
      <c r="Q38" s="21"/>
      <c r="R38" s="21"/>
      <c r="S38" s="21"/>
      <c r="T38" s="21"/>
      <c r="U38" s="21"/>
    </row>
    <row r="39" spans="1:22" ht="36" customHeight="1" x14ac:dyDescent="0.25">
      <c r="A39"/>
    </row>
    <row r="40" spans="1:22" ht="36" customHeight="1" x14ac:dyDescent="0.25">
      <c r="A40"/>
    </row>
  </sheetData>
  <sheetProtection formatCells="0" selectLockedCells="1"/>
  <mergeCells count="43">
    <mergeCell ref="D9:D11"/>
    <mergeCell ref="N5:O5"/>
    <mergeCell ref="K27:L27"/>
    <mergeCell ref="J25:N25"/>
    <mergeCell ref="O3:R3"/>
    <mergeCell ref="E3:E5"/>
    <mergeCell ref="S20:U20"/>
    <mergeCell ref="L15:U15"/>
    <mergeCell ref="L6:U6"/>
    <mergeCell ref="S24:U24"/>
    <mergeCell ref="J24:N24"/>
    <mergeCell ref="L9:U9"/>
    <mergeCell ref="L10:U10"/>
    <mergeCell ref="L16:U16"/>
    <mergeCell ref="L22:N22"/>
    <mergeCell ref="S22:U22"/>
    <mergeCell ref="L13:N13"/>
    <mergeCell ref="S11:U11"/>
    <mergeCell ref="A1:G1"/>
    <mergeCell ref="A33:G33"/>
    <mergeCell ref="M4:T4"/>
    <mergeCell ref="P25:Q25"/>
    <mergeCell ref="S25:T25"/>
    <mergeCell ref="S12:U12"/>
    <mergeCell ref="R13:U13"/>
    <mergeCell ref="R5:U5"/>
    <mergeCell ref="K2:U2"/>
    <mergeCell ref="L8:Q8"/>
    <mergeCell ref="M32:P32"/>
    <mergeCell ref="Q32:T32"/>
    <mergeCell ref="T8:U8"/>
    <mergeCell ref="L20:N20"/>
    <mergeCell ref="L11:N11"/>
    <mergeCell ref="L12:N12"/>
    <mergeCell ref="U25:V25"/>
    <mergeCell ref="N35:U35"/>
    <mergeCell ref="M29:T29"/>
    <mergeCell ref="N27:O27"/>
    <mergeCell ref="P27:Q27"/>
    <mergeCell ref="S27:T27"/>
    <mergeCell ref="U27:V27"/>
    <mergeCell ref="M33:P33"/>
    <mergeCell ref="Q33:T33"/>
  </mergeCells>
  <phoneticPr fontId="16" type="noConversion"/>
  <pageMargins left="0.48532608695652174" right="0.2" top="0.3490942028985507" bottom="0.2" header="0.51" footer="0.51"/>
  <pageSetup scale="46" orientation="landscape" horizontalDpi="1200" verticalDpi="1200" r:id="rId1"/>
  <headerFooter>
    <oddFooter>&amp;C_x000D_&amp;1#&amp;"Calibri"&amp;6&amp;K626469 Public</oddFooter>
  </headerFooter>
  <drawing r:id="rId2"/>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X40"/>
  <sheetViews>
    <sheetView showGridLines="0" zoomScale="92" zoomScaleNormal="92" zoomScalePageLayoutView="92" workbookViewId="0">
      <selection sqref="A1:T35"/>
    </sheetView>
  </sheetViews>
  <sheetFormatPr defaultColWidth="8.77734375" defaultRowHeight="13.2" x14ac:dyDescent="0.25"/>
  <cols>
    <col min="1" max="1" width="3.44140625" customWidth="1"/>
    <col min="2" max="2" width="8.44140625" style="1" customWidth="1"/>
    <col min="3" max="8" width="11.6640625" customWidth="1"/>
    <col min="9" max="9" width="18" customWidth="1"/>
    <col min="10" max="10" width="23.77734375" customWidth="1"/>
    <col min="11" max="11" width="42" customWidth="1"/>
    <col min="12" max="12" width="13.44140625" customWidth="1"/>
    <col min="13" max="13" width="8" style="27" customWidth="1"/>
    <col min="16" max="16" width="8.77734375" customWidth="1"/>
    <col min="17" max="17" width="9" customWidth="1"/>
  </cols>
  <sheetData>
    <row r="1" spans="2:24" ht="21" thickBot="1" x14ac:dyDescent="0.3">
      <c r="B1" s="142" t="s">
        <v>70</v>
      </c>
      <c r="C1" s="142"/>
      <c r="D1" s="142"/>
      <c r="E1" s="142"/>
      <c r="F1" s="142"/>
      <c r="G1" s="142"/>
      <c r="H1" s="142"/>
      <c r="I1" s="142"/>
      <c r="J1" s="142"/>
      <c r="K1" s="142"/>
      <c r="L1" s="142"/>
      <c r="M1" s="26"/>
      <c r="O1" s="176" t="s">
        <v>52</v>
      </c>
      <c r="P1" s="176"/>
      <c r="Q1" s="176"/>
      <c r="R1" s="176"/>
      <c r="S1" s="176"/>
      <c r="T1" s="176"/>
      <c r="U1" s="113"/>
      <c r="V1" s="113"/>
      <c r="W1" s="113"/>
      <c r="X1" s="113"/>
    </row>
    <row r="2" spans="2:24" ht="33.75" customHeight="1" thickBot="1" x14ac:dyDescent="0.35">
      <c r="C2" s="179" t="s">
        <v>87</v>
      </c>
      <c r="D2" s="180"/>
      <c r="E2" s="181" t="s">
        <v>88</v>
      </c>
      <c r="F2" s="182"/>
      <c r="G2" s="179" t="s">
        <v>89</v>
      </c>
      <c r="H2" s="180"/>
      <c r="M2" s="26"/>
      <c r="N2" s="185"/>
      <c r="O2" s="185"/>
      <c r="P2" s="185"/>
      <c r="Q2" s="185"/>
      <c r="R2" s="185"/>
      <c r="S2" s="185"/>
    </row>
    <row r="3" spans="2:24" ht="36" customHeight="1" thickBot="1" x14ac:dyDescent="0.75">
      <c r="B3" s="73" t="s">
        <v>27</v>
      </c>
      <c r="C3" s="9" t="s">
        <v>3</v>
      </c>
      <c r="D3" s="9" t="s">
        <v>4</v>
      </c>
      <c r="E3" s="9" t="s">
        <v>3</v>
      </c>
      <c r="F3" s="9" t="s">
        <v>4</v>
      </c>
      <c r="G3" s="9" t="s">
        <v>3</v>
      </c>
      <c r="H3" s="9" t="s">
        <v>4</v>
      </c>
      <c r="I3" s="9" t="s">
        <v>22</v>
      </c>
      <c r="J3" s="9" t="s">
        <v>28</v>
      </c>
      <c r="K3" s="9" t="s">
        <v>56</v>
      </c>
      <c r="L3" s="73" t="s">
        <v>29</v>
      </c>
      <c r="M3" s="26"/>
      <c r="Q3" s="84" t="str">
        <f>IF('Control Entry'!D29=0,"","#2")</f>
        <v/>
      </c>
      <c r="S3" s="41"/>
    </row>
    <row r="4" spans="2:24" ht="36" customHeight="1" x14ac:dyDescent="0.35">
      <c r="B4" s="28"/>
      <c r="C4" s="29">
        <v>44996.333333333336</v>
      </c>
      <c r="D4" s="29">
        <v>44996.375</v>
      </c>
      <c r="E4" s="29">
        <v>44996.333333333336</v>
      </c>
      <c r="F4" s="29">
        <v>44996.375</v>
      </c>
      <c r="G4" s="29">
        <v>44996.333333333336</v>
      </c>
      <c r="H4" s="29">
        <v>44996.375</v>
      </c>
      <c r="I4" s="30"/>
      <c r="J4" s="31" t="s">
        <v>105</v>
      </c>
      <c r="K4" s="95" t="str">
        <f>IF(ISBLANK('Control Entry'!I29),"",'Control Entry'!I29)</f>
        <v/>
      </c>
      <c r="L4" s="96"/>
      <c r="M4" s="26"/>
      <c r="N4" s="144"/>
      <c r="O4" s="144"/>
      <c r="P4" s="144"/>
      <c r="Q4" s="144"/>
      <c r="R4" s="144"/>
      <c r="S4" s="42"/>
    </row>
    <row r="5" spans="2:24" ht="36" customHeight="1" x14ac:dyDescent="0.3">
      <c r="B5" s="37">
        <v>0</v>
      </c>
      <c r="C5" s="38">
        <v>44996.333333333336</v>
      </c>
      <c r="D5" s="38">
        <v>44996.375</v>
      </c>
      <c r="E5" s="38">
        <v>44996.333333333336</v>
      </c>
      <c r="F5" s="38"/>
      <c r="G5" s="38">
        <v>44996.333333333336</v>
      </c>
      <c r="H5" s="38">
        <v>44996.333333333336</v>
      </c>
      <c r="I5" s="39" t="s">
        <v>99</v>
      </c>
      <c r="J5" s="31" t="s">
        <v>106</v>
      </c>
      <c r="K5" s="95" t="str">
        <f>IF(ISBLANK('Control Entry'!J29),"",'Control Entry'!J29)</f>
        <v/>
      </c>
      <c r="L5" s="96"/>
      <c r="M5" s="26"/>
      <c r="N5" s="60"/>
      <c r="O5" s="61"/>
      <c r="P5" s="147">
        <f>IF(ISBLANK('Control Entry'!$B11),"",'Control Entry'!$B11)</f>
        <v>45563</v>
      </c>
      <c r="Q5" s="147"/>
      <c r="R5" s="147"/>
      <c r="S5" s="147"/>
      <c r="T5" s="43"/>
    </row>
    <row r="6" spans="2:24" ht="36" customHeight="1" thickBot="1" x14ac:dyDescent="0.45">
      <c r="B6" s="32"/>
      <c r="C6" s="33">
        <v>44996.333333333336</v>
      </c>
      <c r="D6" s="33">
        <v>44996.375</v>
      </c>
      <c r="E6" s="33">
        <v>44996.333333333336</v>
      </c>
      <c r="F6" s="33">
        <v>44996.375</v>
      </c>
      <c r="G6" s="33">
        <v>44996.333333333336</v>
      </c>
      <c r="H6" s="33">
        <v>44996.375</v>
      </c>
      <c r="I6" s="34"/>
      <c r="J6" s="35" t="s">
        <v>107</v>
      </c>
      <c r="K6" s="100" t="str">
        <f>IF(ISBLANK('Control Entry'!K29),"",'Control Entry'!K29)</f>
        <v/>
      </c>
      <c r="L6" s="99"/>
      <c r="M6" s="26"/>
      <c r="N6" s="161"/>
      <c r="O6" s="161"/>
      <c r="P6" s="161"/>
      <c r="Q6" s="161"/>
      <c r="R6" s="161"/>
      <c r="S6" s="161"/>
    </row>
    <row r="7" spans="2:24" ht="36" customHeight="1" x14ac:dyDescent="0.55000000000000004">
      <c r="B7" s="28"/>
      <c r="C7" s="29">
        <f>Control_2 Open_time</f>
        <v>45563.373611111107</v>
      </c>
      <c r="D7" s="29">
        <f>Control_2 Close_time</f>
        <v>45563.442361111105</v>
      </c>
      <c r="E7" s="29">
        <v>44996.338888888895</v>
      </c>
      <c r="F7" s="29">
        <v>44996.384027777778</v>
      </c>
      <c r="G7" s="29">
        <v>44996.338888888895</v>
      </c>
      <c r="H7" s="29">
        <v>44996.384027777778</v>
      </c>
      <c r="I7" s="36"/>
      <c r="J7" s="31" t="s">
        <v>110</v>
      </c>
      <c r="K7" s="121" t="str">
        <f>IF(ISBLANK('Control Entry'!I30),"",'Control Entry'!I30)</f>
        <v/>
      </c>
      <c r="L7" s="122"/>
      <c r="M7" s="26"/>
      <c r="O7" s="186" t="s">
        <v>86</v>
      </c>
      <c r="P7" s="186"/>
      <c r="Q7" s="186"/>
      <c r="R7" s="186"/>
      <c r="S7" s="186"/>
    </row>
    <row r="8" spans="2:24" ht="36" customHeight="1" x14ac:dyDescent="0.3">
      <c r="B8" s="37">
        <v>7.9</v>
      </c>
      <c r="C8" s="38">
        <f>Control_2 Open_time</f>
        <v>45563.373611111107</v>
      </c>
      <c r="D8" s="38">
        <f>Control_2 Close_time</f>
        <v>45563.442361111105</v>
      </c>
      <c r="E8" s="38"/>
      <c r="F8" s="38"/>
      <c r="G8" s="38"/>
      <c r="H8" s="38">
        <v>0.35902777777777778</v>
      </c>
      <c r="I8" s="39" t="s">
        <v>98</v>
      </c>
      <c r="J8" s="31" t="s">
        <v>111</v>
      </c>
      <c r="K8" s="121" t="str">
        <f>IF(ISBLANK('Control Entry'!J30),"",'Control Entry'!J30)</f>
        <v/>
      </c>
      <c r="L8" s="122"/>
      <c r="M8" s="26"/>
      <c r="O8" s="187"/>
      <c r="P8" s="187"/>
      <c r="Q8" s="187"/>
      <c r="R8" s="187"/>
      <c r="S8" s="187"/>
    </row>
    <row r="9" spans="2:24" ht="36" customHeight="1" thickBot="1" x14ac:dyDescent="0.4">
      <c r="B9" s="32"/>
      <c r="C9" s="33">
        <f>Control_2 Open_time</f>
        <v>45563.373611111107</v>
      </c>
      <c r="D9" s="33">
        <f>Control_2 Close_time</f>
        <v>45563.442361111105</v>
      </c>
      <c r="E9" s="33">
        <v>44996.338888888895</v>
      </c>
      <c r="F9" s="33">
        <v>44996.384027777778</v>
      </c>
      <c r="G9" s="33">
        <v>44996.338888888895</v>
      </c>
      <c r="H9" s="33">
        <v>44996.384027777778</v>
      </c>
      <c r="I9" s="34"/>
      <c r="J9" s="35" t="s">
        <v>112</v>
      </c>
      <c r="K9" s="123" t="str">
        <f>IF(ISBLANK('Control Entry'!K30),"",'Control Entry'!K30)</f>
        <v/>
      </c>
      <c r="L9" s="124"/>
      <c r="M9" s="26"/>
      <c r="O9" s="178" t="s">
        <v>108</v>
      </c>
      <c r="P9" s="178"/>
      <c r="Q9" s="178"/>
      <c r="R9" s="178"/>
      <c r="S9" s="178"/>
    </row>
    <row r="10" spans="2:24" ht="36" customHeight="1" x14ac:dyDescent="0.35">
      <c r="B10" s="28"/>
      <c r="C10" s="29">
        <f>Control_3 Open_time</f>
        <v>45563.395833333328</v>
      </c>
      <c r="D10" s="29">
        <f>Control_3 Close_time</f>
        <v>45563.496527777774</v>
      </c>
      <c r="E10" s="29">
        <v>44996.400694444448</v>
      </c>
      <c r="F10" s="29">
        <v>44996.488888888889</v>
      </c>
      <c r="G10" s="29">
        <v>44996.400694444448</v>
      </c>
      <c r="H10" s="29">
        <v>44996.488888888889</v>
      </c>
      <c r="I10" s="36"/>
      <c r="J10" s="31" t="s">
        <v>110</v>
      </c>
      <c r="K10" s="121" t="str">
        <f>IF(ISBLANK('Control Entry'!I31),"",'Control Entry'!I31)</f>
        <v/>
      </c>
      <c r="L10" s="122"/>
      <c r="M10" s="26"/>
      <c r="O10" s="183" t="s">
        <v>97</v>
      </c>
      <c r="P10" s="183"/>
      <c r="Q10" s="183"/>
      <c r="R10" s="183"/>
      <c r="S10" s="183"/>
    </row>
    <row r="11" spans="2:24" ht="36" customHeight="1" x14ac:dyDescent="0.3">
      <c r="B11" s="37">
        <v>57.2</v>
      </c>
      <c r="C11" s="38">
        <f>Control_3 Open_time</f>
        <v>45563.395833333328</v>
      </c>
      <c r="D11" s="38">
        <f>Control_3 Close_time</f>
        <v>45563.496527777774</v>
      </c>
      <c r="E11" s="38"/>
      <c r="F11" s="38"/>
      <c r="G11" s="38"/>
      <c r="H11" s="38">
        <v>0.51597222222222217</v>
      </c>
      <c r="I11" s="39" t="s">
        <v>102</v>
      </c>
      <c r="J11" s="31" t="s">
        <v>103</v>
      </c>
      <c r="K11" s="121" t="str">
        <f>IF(ISBLANK('Control Entry'!J31),"",'Control Entry'!J31)</f>
        <v/>
      </c>
      <c r="L11" s="122"/>
      <c r="M11" s="26"/>
      <c r="O11" s="183"/>
      <c r="P11" s="183"/>
      <c r="Q11" s="183"/>
      <c r="R11" s="183"/>
      <c r="S11" s="183"/>
    </row>
    <row r="12" spans="2:24" ht="36" customHeight="1" thickBot="1" x14ac:dyDescent="0.4">
      <c r="B12" s="32"/>
      <c r="C12" s="33">
        <f>Control_3 Open_time</f>
        <v>45563.395833333328</v>
      </c>
      <c r="D12" s="33">
        <f>Control_3 Close_time</f>
        <v>45563.496527777774</v>
      </c>
      <c r="E12" s="33">
        <v>44996.400694444448</v>
      </c>
      <c r="F12" s="33">
        <v>44996.488888888889</v>
      </c>
      <c r="G12" s="33">
        <v>44996.400694444448</v>
      </c>
      <c r="H12" s="33">
        <v>44996.488888888889</v>
      </c>
      <c r="I12" s="34"/>
      <c r="J12" s="35" t="s">
        <v>104</v>
      </c>
      <c r="K12" s="123" t="str">
        <f>IF(ISBLANK('Control Entry'!K31),"",'Control Entry'!K31)</f>
        <v/>
      </c>
      <c r="L12" s="124"/>
      <c r="M12" s="26"/>
      <c r="N12" s="188"/>
      <c r="O12" s="188"/>
      <c r="P12" s="188"/>
      <c r="Q12" s="188"/>
      <c r="R12" s="188"/>
      <c r="S12" s="188"/>
    </row>
    <row r="13" spans="2:24" ht="36" customHeight="1" x14ac:dyDescent="0.35">
      <c r="B13" s="28"/>
      <c r="C13" s="29">
        <f>Control_4 Open_time</f>
        <v>45563.429166666661</v>
      </c>
      <c r="D13" s="29">
        <f>Control_4 Close_time</f>
        <v>45563.576388888883</v>
      </c>
      <c r="E13" s="29">
        <v>44996.457638888889</v>
      </c>
      <c r="F13" s="29">
        <v>44996.625</v>
      </c>
      <c r="G13" s="29">
        <v>44996.457638888889</v>
      </c>
      <c r="H13" s="29">
        <v>44996.625</v>
      </c>
      <c r="I13" s="36"/>
      <c r="J13" s="31" t="s">
        <v>105</v>
      </c>
      <c r="K13" s="95" t="str">
        <f>IF(ISBLANK('Control Entry'!I32),"",'Control Entry'!I32)</f>
        <v/>
      </c>
      <c r="L13" s="96"/>
      <c r="M13" s="26"/>
      <c r="N13" s="188" t="s">
        <v>90</v>
      </c>
      <c r="O13" s="188"/>
      <c r="P13" s="188"/>
      <c r="Q13" s="188"/>
      <c r="R13" s="188"/>
      <c r="S13" s="188"/>
    </row>
    <row r="14" spans="2:24" ht="36" customHeight="1" x14ac:dyDescent="0.35">
      <c r="B14" s="37">
        <v>102</v>
      </c>
      <c r="C14" s="38">
        <f>Control_4 Open_time</f>
        <v>45563.429166666661</v>
      </c>
      <c r="D14" s="38">
        <f>Control_4 Close_time</f>
        <v>45563.576388888883</v>
      </c>
      <c r="E14" s="38">
        <v>0.47430555555555554</v>
      </c>
      <c r="F14" s="38">
        <v>0.63680555555555551</v>
      </c>
      <c r="G14" s="38"/>
      <c r="H14" s="38">
        <v>0.67083333333333339</v>
      </c>
      <c r="I14" s="39" t="s">
        <v>99</v>
      </c>
      <c r="J14" s="31" t="s">
        <v>106</v>
      </c>
      <c r="K14" s="95" t="str">
        <f>IF(ISBLANK('Control Entry'!J32),"",'Control Entry'!J32)</f>
        <v/>
      </c>
      <c r="L14" s="96"/>
      <c r="M14" s="26"/>
      <c r="N14" s="115" t="s">
        <v>91</v>
      </c>
      <c r="O14" s="115"/>
      <c r="P14" s="115"/>
      <c r="Q14" s="115"/>
      <c r="R14" s="115"/>
      <c r="S14" s="115"/>
    </row>
    <row r="15" spans="2:24" ht="36" customHeight="1" thickBot="1" x14ac:dyDescent="0.4">
      <c r="B15" s="32"/>
      <c r="C15" s="33">
        <f>Control_4 Open_time</f>
        <v>45563.429166666661</v>
      </c>
      <c r="D15" s="33">
        <f>Control_4 Close_time</f>
        <v>45563.576388888883</v>
      </c>
      <c r="E15" s="33">
        <v>44996.457638888889</v>
      </c>
      <c r="F15" s="33">
        <v>44996.625</v>
      </c>
      <c r="G15" s="33">
        <v>44996.457638888889</v>
      </c>
      <c r="H15" s="33">
        <v>44996.625</v>
      </c>
      <c r="I15" s="34"/>
      <c r="J15" s="35" t="s">
        <v>107</v>
      </c>
      <c r="K15" s="100" t="str">
        <f>IF(ISBLANK('Control Entry'!K32),"",'Control Entry'!K32)</f>
        <v/>
      </c>
      <c r="L15" s="99"/>
      <c r="M15" s="26"/>
      <c r="N15" s="160"/>
      <c r="O15" s="160"/>
      <c r="P15" s="160"/>
      <c r="Q15" s="160"/>
      <c r="R15" s="160"/>
      <c r="S15" s="160"/>
    </row>
    <row r="16" spans="2:24" ht="36" customHeight="1" thickBot="1" x14ac:dyDescent="0.4">
      <c r="B16" s="28"/>
      <c r="C16" s="29"/>
      <c r="D16" s="29"/>
      <c r="E16" s="29"/>
      <c r="F16" s="29"/>
      <c r="G16" s="29"/>
      <c r="H16" s="29"/>
      <c r="I16" s="36"/>
      <c r="J16" s="31" t="str">
        <f>IF(ISBLANK('Control Entry'!F33),"",'Control Entry'!F33)</f>
        <v/>
      </c>
      <c r="K16" s="95" t="str">
        <f>IF(ISBLANK('Control Entry'!I33),"",'Control Entry'!I33)</f>
        <v/>
      </c>
      <c r="L16" s="96"/>
      <c r="M16" s="26"/>
      <c r="N16" s="164"/>
      <c r="O16" s="164"/>
      <c r="P16" s="164"/>
      <c r="Q16" s="164"/>
      <c r="R16" s="164"/>
      <c r="S16" s="164"/>
    </row>
    <row r="17" spans="2:20" ht="36" customHeight="1" x14ac:dyDescent="0.3">
      <c r="B17" s="37" t="str">
        <f>IF(ISBLANK('Control Entry'!D33),"",'Control Entry'!D33)</f>
        <v/>
      </c>
      <c r="C17" s="38"/>
      <c r="D17" s="38"/>
      <c r="E17" s="38"/>
      <c r="F17" s="38"/>
      <c r="G17" s="38"/>
      <c r="H17" s="38"/>
      <c r="I17" s="39" t="str">
        <f>IF(ISBLANK('Control Entry'!E33),"",'Control Entry'!E33)</f>
        <v/>
      </c>
      <c r="J17" s="31" t="str">
        <f>IF(ISBLANK('Control Entry'!G33),"",'Control Entry'!G33)</f>
        <v/>
      </c>
      <c r="K17" s="95" t="str">
        <f>IF(ISBLANK('Control Entry'!J33),"",'Control Entry'!J33)</f>
        <v/>
      </c>
      <c r="L17" s="96"/>
      <c r="M17" s="26"/>
    </row>
    <row r="18" spans="2:20" ht="36" customHeight="1" thickBot="1" x14ac:dyDescent="0.4">
      <c r="B18" s="32"/>
      <c r="C18" s="33"/>
      <c r="D18" s="33"/>
      <c r="E18" s="33"/>
      <c r="F18" s="33"/>
      <c r="G18" s="33"/>
      <c r="H18" s="33"/>
      <c r="I18" s="34"/>
      <c r="J18" s="35" t="str">
        <f>IF(ISBLANK('Control Entry'!H33),"",'Control Entry'!H33)</f>
        <v/>
      </c>
      <c r="K18" s="100" t="str">
        <f>IF(ISBLANK('Control Entry'!K33),"",'Control Entry'!K33)</f>
        <v/>
      </c>
      <c r="L18" s="99"/>
      <c r="M18" s="26"/>
    </row>
    <row r="19" spans="2:20" ht="36" customHeight="1" thickBot="1" x14ac:dyDescent="0.4">
      <c r="B19" s="28"/>
      <c r="C19" s="29"/>
      <c r="D19" s="29"/>
      <c r="E19" s="29"/>
      <c r="F19" s="29"/>
      <c r="G19" s="29"/>
      <c r="H19" s="29"/>
      <c r="I19" s="36"/>
      <c r="J19" s="31" t="str">
        <f>IF(ISBLANK('Control Entry'!F34),"",'Control Entry'!F34)</f>
        <v/>
      </c>
      <c r="K19" s="95" t="str">
        <f>IF(ISBLANK('Control Entry'!I34),"",'Control Entry'!I34)</f>
        <v/>
      </c>
      <c r="L19" s="96"/>
      <c r="M19" s="26"/>
      <c r="N19" s="17" t="s">
        <v>92</v>
      </c>
      <c r="O19" s="17"/>
      <c r="Q19" s="159"/>
      <c r="R19" s="159"/>
      <c r="S19" s="159"/>
    </row>
    <row r="20" spans="2:20" ht="36" customHeight="1" x14ac:dyDescent="0.4">
      <c r="B20" s="37" t="str">
        <f>IF(ISBLANK('Control Entry'!D34),"",'Control Entry'!D34)</f>
        <v/>
      </c>
      <c r="C20" s="38"/>
      <c r="D20" s="38"/>
      <c r="E20" s="38"/>
      <c r="F20" s="38"/>
      <c r="G20" s="38"/>
      <c r="H20" s="38"/>
      <c r="I20" s="39" t="str">
        <f>IF(ISBLANK('Control Entry'!E34),"",'Control Entry'!E34)</f>
        <v/>
      </c>
      <c r="J20" s="31" t="str">
        <f>IF(ISBLANK('Control Entry'!G34),"",'Control Entry'!G34)</f>
        <v/>
      </c>
      <c r="K20" s="95" t="str">
        <f>IF(ISBLANK('Control Entry'!J34),"",'Control Entry'!J34)</f>
        <v/>
      </c>
      <c r="L20" s="96"/>
      <c r="M20" s="26"/>
      <c r="N20" s="184"/>
      <c r="O20" s="184"/>
      <c r="P20" s="184"/>
      <c r="Q20" s="184"/>
      <c r="R20" s="184"/>
      <c r="S20" s="184"/>
    </row>
    <row r="21" spans="2:20" ht="36" customHeight="1" thickBot="1" x14ac:dyDescent="0.4">
      <c r="B21" s="32"/>
      <c r="C21" s="33"/>
      <c r="D21" s="33"/>
      <c r="E21" s="33"/>
      <c r="F21" s="33"/>
      <c r="G21" s="33"/>
      <c r="H21" s="33"/>
      <c r="I21" s="34"/>
      <c r="J21" s="35" t="str">
        <f>IF(ISBLANK('Control Entry'!H34),"",'Control Entry'!H34)</f>
        <v/>
      </c>
      <c r="K21" s="100" t="str">
        <f>IF(ISBLANK('Control Entry'!K34),"",'Control Entry'!K34)</f>
        <v/>
      </c>
      <c r="L21" s="99"/>
      <c r="M21" s="26"/>
      <c r="N21" s="17" t="s">
        <v>0</v>
      </c>
      <c r="O21" s="17"/>
      <c r="Q21" s="159"/>
      <c r="R21" s="159"/>
      <c r="S21" s="159"/>
      <c r="T21" s="27"/>
    </row>
    <row r="22" spans="2:20" ht="36" customHeight="1" x14ac:dyDescent="0.4">
      <c r="B22" s="28"/>
      <c r="C22" s="29"/>
      <c r="D22" s="29"/>
      <c r="E22" s="29"/>
      <c r="F22" s="29"/>
      <c r="G22" s="29"/>
      <c r="H22" s="29"/>
      <c r="I22" s="36"/>
      <c r="J22" s="31" t="str">
        <f>IF(ISBLANK('Control Entry'!F35),"",'Control Entry'!F35)</f>
        <v/>
      </c>
      <c r="K22" s="95" t="str">
        <f>IF(ISBLANK('Control Entry'!I35),"",'Control Entry'!I35)</f>
        <v/>
      </c>
      <c r="L22" s="96"/>
      <c r="M22" s="26"/>
      <c r="N22" s="184"/>
      <c r="O22" s="184"/>
      <c r="P22" s="184"/>
      <c r="Q22" s="184"/>
      <c r="R22" s="184"/>
      <c r="S22" s="184"/>
    </row>
    <row r="23" spans="2:20" ht="36" customHeight="1" thickBot="1" x14ac:dyDescent="0.4">
      <c r="B23" s="37" t="str">
        <f>IF(ISBLANK('Control Entry'!D35),"",'Control Entry'!D35)</f>
        <v/>
      </c>
      <c r="C23" s="38"/>
      <c r="D23" s="38"/>
      <c r="E23" s="38"/>
      <c r="F23" s="38"/>
      <c r="G23" s="38"/>
      <c r="H23" s="38"/>
      <c r="I23" s="39" t="str">
        <f>IF(ISBLANK('Control Entry'!E35),"",'Control Entry'!E35)</f>
        <v/>
      </c>
      <c r="J23" s="31" t="str">
        <f>IF(ISBLANK('Control Entry'!G35),"",'Control Entry'!G35)</f>
        <v/>
      </c>
      <c r="K23" s="95" t="str">
        <f>IF(ISBLANK('Control Entry'!J35),"",'Control Entry'!J35)</f>
        <v/>
      </c>
      <c r="L23" s="96"/>
      <c r="M23" s="26"/>
      <c r="N23" s="17" t="s">
        <v>1</v>
      </c>
      <c r="O23" s="17"/>
      <c r="P23" s="18"/>
      <c r="Q23" s="162"/>
      <c r="R23" s="162"/>
      <c r="S23" s="162"/>
      <c r="T23" s="27"/>
    </row>
    <row r="24" spans="2:20" ht="36" customHeight="1" thickBot="1" x14ac:dyDescent="0.4">
      <c r="B24" s="32"/>
      <c r="C24" s="33"/>
      <c r="D24" s="33"/>
      <c r="E24" s="33"/>
      <c r="F24" s="33"/>
      <c r="G24" s="33"/>
      <c r="H24" s="33"/>
      <c r="I24" s="34"/>
      <c r="J24" s="35" t="str">
        <f>IF(ISBLANK('Control Entry'!H35),"",'Control Entry'!H35)</f>
        <v/>
      </c>
      <c r="K24" s="100" t="str">
        <f>IF(ISBLANK('Control Entry'!K35),"",'Control Entry'!K35)</f>
        <v/>
      </c>
      <c r="L24" s="99"/>
      <c r="M24" s="26"/>
      <c r="N24" s="55"/>
      <c r="O24" s="55"/>
      <c r="P24" s="21"/>
      <c r="Q24" s="21"/>
      <c r="R24" s="21"/>
      <c r="S24" s="21"/>
    </row>
    <row r="25" spans="2:20" ht="36" customHeight="1" thickBot="1" x14ac:dyDescent="0.4">
      <c r="B25" s="28"/>
      <c r="C25" s="29"/>
      <c r="D25" s="29"/>
      <c r="E25" s="29"/>
      <c r="F25" s="29"/>
      <c r="G25" s="29"/>
      <c r="H25" s="29"/>
      <c r="I25" s="36"/>
      <c r="J25" s="31" t="str">
        <f>IF(ISBLANK('Control Entry'!F36),"",'Control Entry'!F36)</f>
        <v/>
      </c>
      <c r="K25" s="95" t="str">
        <f>IF(ISBLANK('Control Entry'!I36),"",'Control Entry'!I36)</f>
        <v/>
      </c>
      <c r="L25" s="96"/>
      <c r="M25" s="26"/>
      <c r="N25" s="17" t="s">
        <v>2</v>
      </c>
      <c r="O25" s="17"/>
      <c r="P25" s="18"/>
      <c r="Q25" s="162"/>
      <c r="R25" s="162"/>
      <c r="S25" s="162"/>
      <c r="T25" s="112"/>
    </row>
    <row r="26" spans="2:20" ht="36" customHeight="1" x14ac:dyDescent="0.3">
      <c r="B26" s="37" t="str">
        <f>IF(ISBLANK('Control Entry'!D36),"",'Control Entry'!D36)</f>
        <v/>
      </c>
      <c r="C26" s="38"/>
      <c r="D26" s="38"/>
      <c r="E26" s="38"/>
      <c r="F26" s="38"/>
      <c r="G26" s="38"/>
      <c r="H26" s="38"/>
      <c r="I26" s="39" t="str">
        <f>IF(ISBLANK('Control Entry'!E36),"",'Control Entry'!E36)</f>
        <v/>
      </c>
      <c r="J26" s="31" t="str">
        <f>IF(ISBLANK('Control Entry'!G36),"",'Control Entry'!G36)</f>
        <v/>
      </c>
      <c r="K26" s="95" t="str">
        <f>IF(ISBLANK('Control Entry'!J36),"",'Control Entry'!J36)</f>
        <v/>
      </c>
      <c r="L26" s="96"/>
      <c r="M26" s="26"/>
    </row>
    <row r="27" spans="2:20" ht="36" customHeight="1" thickBot="1" x14ac:dyDescent="0.4">
      <c r="B27" s="32"/>
      <c r="C27" s="33"/>
      <c r="D27" s="33"/>
      <c r="E27" s="33"/>
      <c r="F27" s="33"/>
      <c r="G27" s="33"/>
      <c r="H27" s="33"/>
      <c r="I27" s="34"/>
      <c r="J27" s="35" t="str">
        <f>IF(ISBLANK('Control Entry'!H36),"",'Control Entry'!H36)</f>
        <v/>
      </c>
      <c r="K27" s="100" t="str">
        <f>IF(ISBLANK('Control Entry'!K36),"",'Control Entry'!K36)</f>
        <v/>
      </c>
      <c r="L27" s="99"/>
      <c r="M27" s="26"/>
      <c r="N27" s="14" t="s">
        <v>109</v>
      </c>
      <c r="T27" s="114"/>
    </row>
    <row r="28" spans="2:20" ht="36" customHeight="1" x14ac:dyDescent="0.35">
      <c r="B28" s="28"/>
      <c r="C28" s="29"/>
      <c r="D28" s="29"/>
      <c r="E28" s="29"/>
      <c r="F28" s="29"/>
      <c r="G28" s="29"/>
      <c r="H28" s="29"/>
      <c r="I28" s="36"/>
      <c r="J28" s="31" t="str">
        <f>IF(ISBLANK('Control Entry'!F37),"",'Control Entry'!F37)</f>
        <v/>
      </c>
      <c r="K28" s="95" t="str">
        <f>IF(ISBLANK('Control Entry'!I37),"",'Control Entry'!I37)</f>
        <v/>
      </c>
      <c r="L28" s="96"/>
      <c r="M28" s="26"/>
      <c r="T28" s="114"/>
    </row>
    <row r="29" spans="2:20" ht="36" customHeight="1" thickBot="1" x14ac:dyDescent="0.35">
      <c r="B29" s="37" t="str">
        <f>IF(ISBLANK('Control Entry'!D37),"",'Control Entry'!D37)</f>
        <v/>
      </c>
      <c r="C29" s="38"/>
      <c r="D29" s="38"/>
      <c r="E29" s="38"/>
      <c r="F29" s="38"/>
      <c r="G29" s="38"/>
      <c r="H29" s="38"/>
      <c r="I29" s="39" t="str">
        <f>IF(ISBLANK('Control Entry'!E37),"",'Control Entry'!E37)</f>
        <v/>
      </c>
      <c r="J29" s="31" t="str">
        <f>IF(ISBLANK('Control Entry'!G37),"",'Control Entry'!G37)</f>
        <v/>
      </c>
      <c r="K29" s="95" t="str">
        <f>IF(ISBLANK('Control Entry'!J37),"",'Control Entry'!J37)</f>
        <v/>
      </c>
      <c r="L29" s="96"/>
      <c r="M29" s="26"/>
      <c r="N29" s="177" t="s">
        <v>93</v>
      </c>
      <c r="O29" s="177"/>
      <c r="P29" s="177"/>
      <c r="Q29" s="177"/>
      <c r="R29" s="177"/>
      <c r="S29" s="177"/>
      <c r="T29" s="114"/>
    </row>
    <row r="30" spans="2:20" ht="36" customHeight="1" thickBot="1" x14ac:dyDescent="0.4">
      <c r="B30" s="32"/>
      <c r="C30" s="33"/>
      <c r="D30" s="33"/>
      <c r="E30" s="33"/>
      <c r="F30" s="33"/>
      <c r="G30" s="33"/>
      <c r="H30" s="33"/>
      <c r="I30" s="34"/>
      <c r="J30" s="35" t="str">
        <f>IF(ISBLANK('Control Entry'!H37),"",'Control Entry'!H37)</f>
        <v/>
      </c>
      <c r="K30" s="100" t="str">
        <f>IF(ISBLANK('Control Entry'!K37),"",'Control Entry'!K37)</f>
        <v/>
      </c>
      <c r="L30" s="99"/>
      <c r="M30" s="26"/>
      <c r="T30" s="114"/>
    </row>
    <row r="31" spans="2:20" ht="36" customHeight="1" x14ac:dyDescent="0.35">
      <c r="B31" s="28"/>
      <c r="C31" s="29"/>
      <c r="D31" s="29"/>
      <c r="E31" s="29"/>
      <c r="F31" s="29"/>
      <c r="G31" s="29"/>
      <c r="H31" s="29"/>
      <c r="I31" s="36"/>
      <c r="J31" s="31" t="str">
        <f>IF(ISBLANK('Control Entry'!F38),"",'Control Entry'!F38)</f>
        <v/>
      </c>
      <c r="K31" s="95" t="str">
        <f>IF(ISBLANK('Control Entry'!I38),"",'Control Entry'!I38)</f>
        <v/>
      </c>
      <c r="L31" s="96"/>
      <c r="M31" s="26"/>
      <c r="T31" s="114"/>
    </row>
    <row r="32" spans="2:20" ht="36" customHeight="1" x14ac:dyDescent="0.3">
      <c r="B32" s="37" t="str">
        <f>IF(ISBLANK('Control Entry'!D38),"",'Control Entry'!D38)</f>
        <v/>
      </c>
      <c r="C32" s="38"/>
      <c r="D32" s="38"/>
      <c r="E32" s="38"/>
      <c r="F32" s="38"/>
      <c r="G32" s="38"/>
      <c r="H32" s="38"/>
      <c r="I32" s="39" t="str">
        <f>IF(ISBLANK('Control Entry'!E38),"",'Control Entry'!E38)</f>
        <v/>
      </c>
      <c r="J32" s="31" t="str">
        <f>IF(ISBLANK('Control Entry'!G38),"",'Control Entry'!G38)</f>
        <v/>
      </c>
      <c r="K32" s="95" t="str">
        <f>IF(ISBLANK('Control Entry'!J38),"",'Control Entry'!J38)</f>
        <v/>
      </c>
      <c r="L32" s="96"/>
      <c r="M32" s="26"/>
      <c r="T32" s="114"/>
    </row>
    <row r="33" spans="2:20" ht="36" customHeight="1" thickBot="1" x14ac:dyDescent="0.4">
      <c r="B33" s="32"/>
      <c r="C33" s="33"/>
      <c r="D33" s="33"/>
      <c r="E33" s="33"/>
      <c r="F33" s="33"/>
      <c r="G33" s="33"/>
      <c r="H33" s="33"/>
      <c r="I33" s="34"/>
      <c r="J33" s="35" t="str">
        <f>IF(ISBLANK('Control Entry'!H38),"",'Control Entry'!H38)</f>
        <v/>
      </c>
      <c r="K33" s="100" t="str">
        <f>IF(ISBLANK('Control Entry'!K38),"",'Control Entry'!K38)</f>
        <v/>
      </c>
      <c r="L33" s="99"/>
      <c r="M33" s="40"/>
      <c r="N33" s="111"/>
      <c r="O33" s="111"/>
      <c r="P33" s="111"/>
      <c r="Q33" s="111"/>
      <c r="R33" s="111"/>
      <c r="S33" s="111"/>
      <c r="T33" s="114"/>
    </row>
    <row r="34" spans="2:20" ht="36" customHeight="1" x14ac:dyDescent="0.35">
      <c r="B34" s="143" t="s">
        <v>40</v>
      </c>
      <c r="C34" s="143"/>
      <c r="D34" s="143"/>
      <c r="E34" s="143"/>
      <c r="F34" s="143"/>
      <c r="G34" s="143"/>
      <c r="H34" s="143"/>
      <c r="I34" s="143"/>
      <c r="J34" s="143"/>
      <c r="K34" s="143"/>
      <c r="L34" s="143"/>
      <c r="N34" s="46"/>
      <c r="O34" s="46"/>
      <c r="P34" s="45"/>
    </row>
    <row r="35" spans="2:20" ht="36" customHeight="1" x14ac:dyDescent="0.25">
      <c r="B35"/>
      <c r="N35" s="136"/>
      <c r="O35" s="136"/>
      <c r="P35" s="136"/>
      <c r="Q35" s="136"/>
      <c r="R35" s="136"/>
      <c r="S35" s="136"/>
    </row>
    <row r="36" spans="2:20" ht="36" customHeight="1" x14ac:dyDescent="0.25">
      <c r="B36"/>
      <c r="N36" s="21"/>
      <c r="O36" s="21"/>
      <c r="P36" s="21"/>
      <c r="Q36" s="21"/>
      <c r="R36" s="21"/>
      <c r="S36" s="21"/>
    </row>
    <row r="37" spans="2:20" ht="36" customHeight="1" x14ac:dyDescent="0.25">
      <c r="B37"/>
      <c r="N37" s="21"/>
      <c r="O37" s="21"/>
      <c r="P37" s="21"/>
      <c r="Q37" s="21"/>
      <c r="R37" s="21"/>
      <c r="S37" s="21"/>
    </row>
    <row r="38" spans="2:20" ht="36" customHeight="1" x14ac:dyDescent="0.25">
      <c r="B38"/>
      <c r="N38" s="21"/>
      <c r="O38" s="21"/>
      <c r="P38" s="21"/>
      <c r="Q38" s="21"/>
      <c r="R38" s="21"/>
      <c r="S38" s="21"/>
    </row>
    <row r="39" spans="2:20" ht="36" customHeight="1" x14ac:dyDescent="0.25">
      <c r="B39"/>
    </row>
    <row r="40" spans="2:20" ht="36" customHeight="1" x14ac:dyDescent="0.25">
      <c r="B40"/>
    </row>
  </sheetData>
  <sheetProtection formatCells="0" selectLockedCells="1"/>
  <mergeCells count="26">
    <mergeCell ref="N35:S35"/>
    <mergeCell ref="N15:S15"/>
    <mergeCell ref="Q21:S21"/>
    <mergeCell ref="N22:S22"/>
    <mergeCell ref="B1:L1"/>
    <mergeCell ref="N2:S2"/>
    <mergeCell ref="N4:R4"/>
    <mergeCell ref="P5:S5"/>
    <mergeCell ref="N6:S6"/>
    <mergeCell ref="O7:S7"/>
    <mergeCell ref="O8:S8"/>
    <mergeCell ref="N16:S16"/>
    <mergeCell ref="N12:S12"/>
    <mergeCell ref="N13:S13"/>
    <mergeCell ref="Q19:S19"/>
    <mergeCell ref="N20:S20"/>
    <mergeCell ref="B34:L34"/>
    <mergeCell ref="Q23:S23"/>
    <mergeCell ref="Q25:S25"/>
    <mergeCell ref="O1:T1"/>
    <mergeCell ref="N29:S29"/>
    <mergeCell ref="O9:S9"/>
    <mergeCell ref="C2:D2"/>
    <mergeCell ref="E2:F2"/>
    <mergeCell ref="G2:H2"/>
    <mergeCell ref="O10:S11"/>
  </mergeCells>
  <phoneticPr fontId="16" type="noConversion"/>
  <conditionalFormatting sqref="N23:S25">
    <cfRule type="expression" dxfId="13" priority="2">
      <formula>$Q$3="#2"</formula>
    </cfRule>
  </conditionalFormatting>
  <conditionalFormatting sqref="N22:S22">
    <cfRule type="expression" dxfId="12" priority="3">
      <formula>$Q$3&lt;&gt;"#2"</formula>
    </cfRule>
  </conditionalFormatting>
  <conditionalFormatting sqref="N20:S20">
    <cfRule type="expression" dxfId="11" priority="1">
      <formula>$Q$3&lt;&gt;"#2"</formula>
    </cfRule>
  </conditionalFormatting>
  <printOptions horizontalCentered="1" verticalCentered="1"/>
  <pageMargins left="0.2" right="0.2" top="0.2" bottom="0.2" header="0.51" footer="0.51"/>
  <pageSetup scale="45" orientation="landscape" horizontalDpi="4294967292" verticalDpi="4294967292"/>
  <headerFooter>
    <oddFooter>&amp;C_x000D_&amp;1#&amp;"Calibri"&amp;6&amp;K626469 Public</oddFooter>
  </headerFooter>
  <drawing r:id="rId1"/>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40"/>
  <sheetViews>
    <sheetView showGridLines="0" topLeftCell="F1" zoomScale="92" zoomScaleNormal="92" zoomScalePageLayoutView="92" workbookViewId="0">
      <selection activeCell="F3" sqref="F3"/>
    </sheetView>
  </sheetViews>
  <sheetFormatPr defaultColWidth="8.77734375" defaultRowHeight="13.2" x14ac:dyDescent="0.25"/>
  <cols>
    <col min="1" max="1" width="8.44140625" style="1" customWidth="1"/>
    <col min="2" max="3" width="11.6640625" customWidth="1"/>
    <col min="4" max="4" width="18" customWidth="1"/>
    <col min="5" max="5" width="23.77734375" customWidth="1"/>
    <col min="6" max="6" width="42" customWidth="1"/>
    <col min="7" max="7" width="13.44140625" customWidth="1"/>
    <col min="8" max="8" width="8" style="27" customWidth="1"/>
    <col min="9" max="9" width="12" customWidth="1"/>
    <col min="12" max="14" width="9" customWidth="1"/>
    <col min="18" max="18" width="8.77734375" customWidth="1"/>
    <col min="19" max="19" width="9" customWidth="1"/>
  </cols>
  <sheetData>
    <row r="1" spans="1:22" ht="21" thickBot="1" x14ac:dyDescent="0.3">
      <c r="A1" s="142" t="s">
        <v>70</v>
      </c>
      <c r="B1" s="142"/>
      <c r="C1" s="142"/>
      <c r="D1" s="142"/>
      <c r="E1" s="142"/>
      <c r="F1" s="142"/>
      <c r="G1" s="142"/>
      <c r="H1" s="26" t="s">
        <v>26</v>
      </c>
    </row>
    <row r="2" spans="1:22" ht="33.75" customHeight="1" thickBot="1" x14ac:dyDescent="0.35">
      <c r="A2" s="73" t="s">
        <v>27</v>
      </c>
      <c r="B2" s="9" t="s">
        <v>3</v>
      </c>
      <c r="C2" s="9" t="s">
        <v>4</v>
      </c>
      <c r="D2" s="9" t="s">
        <v>22</v>
      </c>
      <c r="E2" s="9" t="s">
        <v>28</v>
      </c>
      <c r="F2" s="9" t="s">
        <v>56</v>
      </c>
      <c r="G2" s="73" t="s">
        <v>29</v>
      </c>
      <c r="H2" s="26" t="s">
        <v>26</v>
      </c>
      <c r="K2" s="148" t="s">
        <v>52</v>
      </c>
      <c r="L2" s="148"/>
      <c r="M2" s="148"/>
      <c r="N2" s="148"/>
      <c r="O2" s="148"/>
      <c r="P2" s="148"/>
      <c r="Q2" s="148"/>
      <c r="R2" s="148"/>
      <c r="S2" s="148"/>
      <c r="T2" s="148"/>
      <c r="U2" s="148"/>
    </row>
    <row r="3" spans="1:22" ht="36" customHeight="1" x14ac:dyDescent="0.7">
      <c r="A3" s="28"/>
      <c r="B3" s="29" t="str">
        <f>'Control Entry'!N42</f>
        <v/>
      </c>
      <c r="C3" s="29" t="str">
        <f>'Control Entry'!O42</f>
        <v/>
      </c>
      <c r="D3" s="30"/>
      <c r="E3" s="31" t="str">
        <f>IF(ISBLANK('Control Entry'!F42),"",'Control Entry'!F42)</f>
        <v/>
      </c>
      <c r="F3" s="95" t="str">
        <f>IF(ISBLANK('Control Entry'!I42),"",'Control Entry'!I42)</f>
        <v/>
      </c>
      <c r="G3" s="96"/>
      <c r="H3" s="26" t="s">
        <v>26</v>
      </c>
      <c r="K3" s="13"/>
      <c r="O3" s="172" t="s">
        <v>69</v>
      </c>
      <c r="P3" s="172"/>
      <c r="Q3" s="172"/>
      <c r="R3" s="172"/>
      <c r="S3" s="84" t="str">
        <f>IF('Control Entry'!D42&lt;&gt;0,"#3",IF(AND('Control Entry'!D42=0,'Control Entry'!D55&lt;&gt;0),"#1",""))</f>
        <v/>
      </c>
      <c r="T3" s="85"/>
      <c r="U3" s="41"/>
    </row>
    <row r="4" spans="1:22" ht="36" customHeight="1" x14ac:dyDescent="0.3">
      <c r="A4" s="37" t="str">
        <f>IF(ISBLANK('Control Entry'!D42),"",'Control Entry'!D42)</f>
        <v/>
      </c>
      <c r="B4" s="38" t="str">
        <f>'Control Entry'!N42</f>
        <v/>
      </c>
      <c r="C4" s="38" t="str">
        <f>'Control Entry'!O42</f>
        <v/>
      </c>
      <c r="D4" s="39" t="str">
        <f>IF(ISBLANK('Control Entry'!E42),"",'Control Entry'!E42)</f>
        <v/>
      </c>
      <c r="E4" s="31" t="str">
        <f>IF(ISBLANK('Control Entry'!G42),"",'Control Entry'!G42)</f>
        <v/>
      </c>
      <c r="F4" s="95" t="str">
        <f>IF(ISBLANK('Control Entry'!J42),"",'Control Entry'!J42)</f>
        <v/>
      </c>
      <c r="G4" s="96"/>
      <c r="H4" s="26" t="s">
        <v>26</v>
      </c>
      <c r="K4" s="13"/>
      <c r="M4" s="144" t="str">
        <f>IF(ISBLANK(brevet),"",brevet&amp;" km Randonnée")</f>
        <v>100 km Randonnée</v>
      </c>
      <c r="N4" s="144"/>
      <c r="O4" s="144"/>
      <c r="P4" s="144"/>
      <c r="Q4" s="144"/>
      <c r="R4" s="144"/>
      <c r="S4" s="144"/>
      <c r="T4" s="144"/>
      <c r="U4" s="42"/>
    </row>
    <row r="5" spans="1:22" ht="36" customHeight="1" thickBot="1" x14ac:dyDescent="0.4">
      <c r="A5" s="32"/>
      <c r="B5" s="33" t="str">
        <f>'Control Entry'!N42</f>
        <v/>
      </c>
      <c r="C5" s="33" t="str">
        <f>'Control Entry'!O42</f>
        <v/>
      </c>
      <c r="D5" s="34"/>
      <c r="E5" s="35" t="str">
        <f>IF(ISBLANK('Control Entry'!H42),"",'Control Entry'!H42)</f>
        <v/>
      </c>
      <c r="F5" s="100" t="str">
        <f>IF(ISBLANK('Control Entry'!K42),"",'Control Entry'!K42)</f>
        <v/>
      </c>
      <c r="G5" s="99"/>
      <c r="H5" s="26" t="s">
        <v>26</v>
      </c>
      <c r="K5" s="13"/>
      <c r="M5" s="14"/>
      <c r="N5" s="170" t="s">
        <v>44</v>
      </c>
      <c r="O5" s="170"/>
      <c r="P5" s="60">
        <f>IF(ISBLANK(Brevet_Number),"",Brevet_Number)</f>
        <v>5426</v>
      </c>
      <c r="Q5" s="61"/>
      <c r="R5" s="147">
        <f>IF(ISBLANK('Control Entry'!$B11),"",'Control Entry'!$B11)</f>
        <v>45563</v>
      </c>
      <c r="S5" s="147"/>
      <c r="T5" s="147"/>
      <c r="U5" s="147"/>
      <c r="V5" s="43"/>
    </row>
    <row r="6" spans="1:22" ht="36" customHeight="1" x14ac:dyDescent="0.4">
      <c r="A6" s="28"/>
      <c r="B6" s="29" t="str">
        <f>'Control Entry'!N43</f>
        <v/>
      </c>
      <c r="C6" s="29" t="str">
        <f>'Control Entry'!O43</f>
        <v/>
      </c>
      <c r="D6" s="36"/>
      <c r="E6" s="31" t="str">
        <f>IF(ISBLANK('Control Entry'!F43),"",'Control Entry'!F43)</f>
        <v/>
      </c>
      <c r="F6" s="95" t="str">
        <f>IF(ISBLANK('Control Entry'!I43),"",'Control Entry'!I43)</f>
        <v/>
      </c>
      <c r="G6" s="96"/>
      <c r="H6" s="26" t="s">
        <v>26</v>
      </c>
      <c r="K6" s="13"/>
      <c r="L6" s="161" t="str">
        <f>IF(ISBLANK(Brevet_Description),"",Brevet_Description)</f>
        <v>100km Permanent - Cowichan Gravel</v>
      </c>
      <c r="M6" s="161"/>
      <c r="N6" s="161"/>
      <c r="O6" s="161"/>
      <c r="P6" s="161"/>
      <c r="Q6" s="161"/>
      <c r="R6" s="161"/>
      <c r="S6" s="161"/>
      <c r="T6" s="161"/>
      <c r="U6" s="161"/>
    </row>
    <row r="7" spans="1:22" ht="36" customHeight="1" x14ac:dyDescent="0.3">
      <c r="A7" s="37" t="str">
        <f>IF(ISBLANK('Control Entry'!D43),"",'Control Entry'!D43)</f>
        <v/>
      </c>
      <c r="B7" s="38" t="str">
        <f>'Control Entry'!N43</f>
        <v/>
      </c>
      <c r="C7" s="38" t="str">
        <f>'Control Entry'!O43</f>
        <v/>
      </c>
      <c r="D7" s="39" t="str">
        <f>IF(ISBLANK('Control Entry'!E43),"",'Control Entry'!E43)</f>
        <v/>
      </c>
      <c r="E7" s="31" t="str">
        <f>IF(ISBLANK('Control Entry'!G43),"",'Control Entry'!G43)</f>
        <v/>
      </c>
      <c r="F7" s="95" t="str">
        <f>IF(ISBLANK('Control Entry'!J43),"",'Control Entry'!J43)</f>
        <v/>
      </c>
      <c r="G7" s="96"/>
      <c r="H7" s="26" t="s">
        <v>26</v>
      </c>
    </row>
    <row r="8" spans="1:22" ht="36" customHeight="1" thickBot="1" x14ac:dyDescent="0.4">
      <c r="A8" s="32"/>
      <c r="B8" s="33" t="str">
        <f>'Control Entry'!N43</f>
        <v/>
      </c>
      <c r="C8" s="33" t="str">
        <f>'Control Entry'!O43</f>
        <v/>
      </c>
      <c r="D8" s="34"/>
      <c r="E8" s="35" t="str">
        <f>IF(ISBLANK('Control Entry'!H43),"",'Control Entry'!H43)</f>
        <v/>
      </c>
      <c r="F8" s="100" t="str">
        <f>IF(ISBLANK('Control Entry'!K43),"",'Control Entry'!K43)</f>
        <v/>
      </c>
      <c r="G8" s="99"/>
      <c r="H8" s="26" t="s">
        <v>26</v>
      </c>
      <c r="J8" s="14" t="s">
        <v>31</v>
      </c>
      <c r="L8" s="149"/>
      <c r="M8" s="149"/>
      <c r="N8" s="149"/>
      <c r="O8" s="149"/>
      <c r="P8" s="149"/>
      <c r="Q8" s="149"/>
      <c r="R8" s="27"/>
      <c r="S8" s="44" t="s">
        <v>43</v>
      </c>
      <c r="T8" s="156"/>
      <c r="U8" s="156"/>
    </row>
    <row r="9" spans="1:22" ht="36" customHeight="1" thickBot="1" x14ac:dyDescent="0.5">
      <c r="A9" s="28"/>
      <c r="B9" s="29" t="str">
        <f>'Control Entry'!N44</f>
        <v/>
      </c>
      <c r="C9" s="29" t="str">
        <f>'Control Entry'!O44</f>
        <v/>
      </c>
      <c r="D9" s="36"/>
      <c r="E9" s="31" t="str">
        <f>IF(ISBLANK('Control Entry'!F44),"",'Control Entry'!F44)</f>
        <v/>
      </c>
      <c r="F9" s="95" t="str">
        <f>IF(ISBLANK('Control Entry'!I44),"",'Control Entry'!I44)</f>
        <v/>
      </c>
      <c r="G9" s="96"/>
      <c r="H9" s="26" t="s">
        <v>26</v>
      </c>
      <c r="J9" s="14" t="s">
        <v>32</v>
      </c>
      <c r="K9" s="14"/>
      <c r="L9" s="163" t="s">
        <v>51</v>
      </c>
      <c r="M9" s="163"/>
      <c r="N9" s="163"/>
      <c r="O9" s="163"/>
      <c r="P9" s="163"/>
      <c r="Q9" s="163"/>
      <c r="R9" s="163"/>
      <c r="S9" s="163"/>
      <c r="T9" s="163"/>
      <c r="U9" s="163"/>
    </row>
    <row r="10" spans="1:22" ht="36" customHeight="1" thickBot="1" x14ac:dyDescent="0.45">
      <c r="A10" s="37" t="str">
        <f>IF(ISBLANK('Control Entry'!D44),"",'Control Entry'!D44)</f>
        <v/>
      </c>
      <c r="B10" s="38" t="str">
        <f>'Control Entry'!N44</f>
        <v/>
      </c>
      <c r="C10" s="38" t="str">
        <f>'Control Entry'!O44</f>
        <v/>
      </c>
      <c r="D10" s="39" t="str">
        <f>IF(ISBLANK('Control Entry'!E44),"",'Control Entry'!E44)</f>
        <v/>
      </c>
      <c r="E10" s="31" t="str">
        <f>IF(ISBLANK('Control Entry'!G44),"",'Control Entry'!G44)</f>
        <v/>
      </c>
      <c r="F10" s="95" t="str">
        <f>IF(ISBLANK('Control Entry'!J44),"",'Control Entry'!J44)</f>
        <v/>
      </c>
      <c r="G10" s="96"/>
      <c r="H10" s="26" t="s">
        <v>26</v>
      </c>
      <c r="J10" s="14"/>
      <c r="K10" s="14"/>
      <c r="L10" s="158"/>
      <c r="M10" s="158"/>
      <c r="N10" s="158"/>
      <c r="O10" s="158"/>
      <c r="P10" s="158"/>
      <c r="Q10" s="158"/>
      <c r="R10" s="158"/>
      <c r="S10" s="158"/>
      <c r="T10" s="158"/>
      <c r="U10" s="158"/>
    </row>
    <row r="11" spans="1:22" ht="36" customHeight="1" thickBot="1" x14ac:dyDescent="0.45">
      <c r="A11" s="32"/>
      <c r="B11" s="33" t="str">
        <f>'Control Entry'!N44</f>
        <v/>
      </c>
      <c r="C11" s="33" t="str">
        <f>'Control Entry'!O44</f>
        <v/>
      </c>
      <c r="D11" s="34"/>
      <c r="E11" s="35" t="str">
        <f>IF(ISBLANK('Control Entry'!H44),"",'Control Entry'!H44)</f>
        <v/>
      </c>
      <c r="F11" s="100" t="str">
        <f>IF(ISBLANK('Control Entry'!K44),"",'Control Entry'!K44)</f>
        <v/>
      </c>
      <c r="G11" s="99"/>
      <c r="H11" s="26" t="s">
        <v>26</v>
      </c>
      <c r="J11" s="14" t="s">
        <v>33</v>
      </c>
      <c r="K11" s="14"/>
      <c r="L11" s="158"/>
      <c r="M11" s="158"/>
      <c r="N11" s="158"/>
      <c r="O11" s="17"/>
      <c r="P11" s="17" t="s">
        <v>34</v>
      </c>
      <c r="Q11" s="17"/>
      <c r="R11" s="17"/>
      <c r="S11" s="145"/>
      <c r="T11" s="145"/>
      <c r="U11" s="145"/>
    </row>
    <row r="12" spans="1:22" ht="36" customHeight="1" thickBot="1" x14ac:dyDescent="0.45">
      <c r="A12" s="28"/>
      <c r="B12" s="29" t="str">
        <f>'Control Entry'!N45</f>
        <v/>
      </c>
      <c r="C12" s="29" t="str">
        <f>'Control Entry'!O45</f>
        <v/>
      </c>
      <c r="D12" s="36"/>
      <c r="E12" s="31" t="str">
        <f>IF(ISBLANK('Control Entry'!F45),"",'Control Entry'!F45)</f>
        <v/>
      </c>
      <c r="F12" s="95" t="str">
        <f>IF(ISBLANK('Control Entry'!I45),"",'Control Entry'!I45)</f>
        <v/>
      </c>
      <c r="G12" s="96"/>
      <c r="H12" s="26" t="s">
        <v>26</v>
      </c>
      <c r="J12" s="14" t="s">
        <v>35</v>
      </c>
      <c r="K12" s="14"/>
      <c r="L12" s="158"/>
      <c r="M12" s="158"/>
      <c r="N12" s="158"/>
      <c r="O12" s="17"/>
      <c r="P12" s="17" t="s">
        <v>36</v>
      </c>
      <c r="Q12" s="17"/>
      <c r="R12" s="17"/>
      <c r="S12" s="145"/>
      <c r="T12" s="145"/>
      <c r="U12" s="145"/>
    </row>
    <row r="13" spans="1:22" ht="36" customHeight="1" thickBot="1" x14ac:dyDescent="0.45">
      <c r="A13" s="37" t="str">
        <f>IF(ISBLANK('Control Entry'!D45),"",'Control Entry'!D45)</f>
        <v/>
      </c>
      <c r="B13" s="38" t="str">
        <f>'Control Entry'!N45</f>
        <v/>
      </c>
      <c r="C13" s="38" t="str">
        <f>'Control Entry'!O45</f>
        <v/>
      </c>
      <c r="D13" s="39" t="str">
        <f>IF(ISBLANK('Control Entry'!E45),"",'Control Entry'!E45)</f>
        <v/>
      </c>
      <c r="E13" s="31" t="str">
        <f>IF(ISBLANK('Control Entry'!G45),"",'Control Entry'!G45)</f>
        <v/>
      </c>
      <c r="F13" s="95" t="str">
        <f>IF(ISBLANK('Control Entry'!J45),"",'Control Entry'!J45)</f>
        <v/>
      </c>
      <c r="G13" s="96"/>
      <c r="H13" s="26" t="s">
        <v>26</v>
      </c>
      <c r="J13" s="14" t="s">
        <v>37</v>
      </c>
      <c r="L13" s="166"/>
      <c r="M13" s="166"/>
      <c r="N13" s="166"/>
      <c r="O13" s="18"/>
      <c r="P13" s="17" t="s">
        <v>38</v>
      </c>
      <c r="Q13" s="17"/>
      <c r="R13" s="146"/>
      <c r="S13" s="146"/>
      <c r="T13" s="146"/>
      <c r="U13" s="146"/>
    </row>
    <row r="14" spans="1:22" ht="36" customHeight="1" thickBot="1" x14ac:dyDescent="0.4">
      <c r="A14" s="32"/>
      <c r="B14" s="33" t="str">
        <f>'Control Entry'!N45</f>
        <v/>
      </c>
      <c r="C14" s="33" t="str">
        <f>'Control Entry'!O45</f>
        <v/>
      </c>
      <c r="D14" s="34"/>
      <c r="E14" s="35" t="str">
        <f>IF(ISBLANK('Control Entry'!H45),"",'Control Entry'!H45)</f>
        <v/>
      </c>
      <c r="F14" s="100" t="str">
        <f>IF(ISBLANK('Control Entry'!K45),"",'Control Entry'!K45)</f>
        <v/>
      </c>
      <c r="G14" s="99"/>
      <c r="H14" s="26" t="s">
        <v>26</v>
      </c>
    </row>
    <row r="15" spans="1:22" ht="36" customHeight="1" x14ac:dyDescent="0.35">
      <c r="A15" s="28"/>
      <c r="B15" s="29" t="str">
        <f>'Control Entry'!N46</f>
        <v/>
      </c>
      <c r="C15" s="29" t="str">
        <f>'Control Entry'!O46</f>
        <v/>
      </c>
      <c r="D15" s="36"/>
      <c r="E15" s="31" t="str">
        <f>IF(ISBLANK('Control Entry'!F46),"",'Control Entry'!F46)</f>
        <v/>
      </c>
      <c r="F15" s="95" t="str">
        <f>IF(ISBLANK('Control Entry'!I46),"",'Control Entry'!I46)</f>
        <v/>
      </c>
      <c r="G15" s="96"/>
      <c r="H15" s="26" t="s">
        <v>26</v>
      </c>
      <c r="J15" s="14"/>
      <c r="L15" s="160" t="s">
        <v>55</v>
      </c>
      <c r="M15" s="160"/>
      <c r="N15" s="160"/>
      <c r="O15" s="160"/>
      <c r="P15" s="160"/>
      <c r="Q15" s="160"/>
      <c r="R15" s="160"/>
      <c r="S15" s="160"/>
      <c r="T15" s="160"/>
      <c r="U15" s="160"/>
    </row>
    <row r="16" spans="1:22" ht="36" customHeight="1" thickBot="1" x14ac:dyDescent="0.35">
      <c r="A16" s="37" t="str">
        <f>IF(ISBLANK('Control Entry'!D46),"",'Control Entry'!D46)</f>
        <v/>
      </c>
      <c r="B16" s="38" t="str">
        <f>'Control Entry'!N46</f>
        <v/>
      </c>
      <c r="C16" s="38" t="str">
        <f>'Control Entry'!O46</f>
        <v/>
      </c>
      <c r="D16" s="39" t="str">
        <f>IF(ISBLANK('Control Entry'!E46),"",'Control Entry'!E46)</f>
        <v/>
      </c>
      <c r="E16" s="31" t="str">
        <f>IF(ISBLANK('Control Entry'!G46),"",'Control Entry'!G46)</f>
        <v/>
      </c>
      <c r="F16" s="95" t="str">
        <f>IF(ISBLANK('Control Entry'!J46),"",'Control Entry'!J46)</f>
        <v/>
      </c>
      <c r="G16" s="96"/>
      <c r="H16" s="26" t="s">
        <v>26</v>
      </c>
      <c r="L16" s="189"/>
      <c r="M16" s="189"/>
      <c r="N16" s="189"/>
      <c r="O16" s="189"/>
      <c r="P16" s="189"/>
      <c r="Q16" s="189"/>
      <c r="R16" s="189"/>
      <c r="S16" s="189"/>
      <c r="T16" s="189"/>
      <c r="U16" s="189"/>
    </row>
    <row r="17" spans="1:22" ht="36" customHeight="1" thickBot="1" x14ac:dyDescent="0.4">
      <c r="A17" s="32"/>
      <c r="B17" s="33" t="str">
        <f>'Control Entry'!N46</f>
        <v/>
      </c>
      <c r="C17" s="33" t="str">
        <f>'Control Entry'!O46</f>
        <v/>
      </c>
      <c r="D17" s="34"/>
      <c r="E17" s="35" t="str">
        <f>IF(ISBLANK('Control Entry'!H46),"",'Control Entry'!H46)</f>
        <v/>
      </c>
      <c r="F17" s="100" t="str">
        <f>IF(ISBLANK('Control Entry'!K46),"",'Control Entry'!K46)</f>
        <v/>
      </c>
      <c r="G17" s="99"/>
      <c r="H17" s="26" t="s">
        <v>26</v>
      </c>
    </row>
    <row r="18" spans="1:22" ht="36" customHeight="1" x14ac:dyDescent="0.35">
      <c r="A18" s="28"/>
      <c r="B18" s="29" t="str">
        <f>'Control Entry'!N47</f>
        <v/>
      </c>
      <c r="C18" s="29" t="str">
        <f>'Control Entry'!O47</f>
        <v/>
      </c>
      <c r="D18" s="36"/>
      <c r="E18" s="31" t="str">
        <f>IF(ISBLANK('Control Entry'!F47),"",'Control Entry'!F47)</f>
        <v/>
      </c>
      <c r="F18" s="95" t="str">
        <f>IF(ISBLANK('Control Entry'!I47),"",'Control Entry'!I47)</f>
        <v/>
      </c>
      <c r="G18" s="96"/>
      <c r="H18" s="26" t="s">
        <v>26</v>
      </c>
    </row>
    <row r="19" spans="1:22" ht="36" customHeight="1" x14ac:dyDescent="0.3">
      <c r="A19" s="37" t="str">
        <f>IF(ISBLANK('Control Entry'!D47),"",'Control Entry'!D47)</f>
        <v/>
      </c>
      <c r="B19" s="38" t="str">
        <f>'Control Entry'!N47</f>
        <v/>
      </c>
      <c r="C19" s="38" t="str">
        <f>'Control Entry'!O47</f>
        <v/>
      </c>
      <c r="D19" s="39" t="str">
        <f>IF(ISBLANK('Control Entry'!E47),"",'Control Entry'!E47)</f>
        <v/>
      </c>
      <c r="E19" s="31" t="str">
        <f>IF(ISBLANK('Control Entry'!G47),"",'Control Entry'!G47)</f>
        <v/>
      </c>
      <c r="F19" s="95" t="str">
        <f>IF(ISBLANK('Control Entry'!J47),"",'Control Entry'!J47)</f>
        <v/>
      </c>
      <c r="G19" s="96"/>
      <c r="H19" s="26" t="s">
        <v>26</v>
      </c>
    </row>
    <row r="20" spans="1:22" ht="36" customHeight="1" thickBot="1" x14ac:dyDescent="0.4">
      <c r="A20" s="32"/>
      <c r="B20" s="33" t="str">
        <f>'Control Entry'!N47</f>
        <v/>
      </c>
      <c r="C20" s="33" t="str">
        <f>'Control Entry'!O47</f>
        <v/>
      </c>
      <c r="D20" s="34"/>
      <c r="E20" s="35" t="str">
        <f>IF(ISBLANK('Control Entry'!H47),"",'Control Entry'!H47)</f>
        <v/>
      </c>
      <c r="F20" s="100" t="str">
        <f>IF(ISBLANK('Control Entry'!K47),"",'Control Entry'!K47)</f>
        <v/>
      </c>
      <c r="G20" s="99"/>
      <c r="H20" s="26" t="s">
        <v>26</v>
      </c>
      <c r="J20" s="58" t="s">
        <v>41</v>
      </c>
      <c r="K20" s="58"/>
      <c r="L20" s="190">
        <f>IF(ISBLANK('Control Entry'!B13),"",'Control Entry'!B13)</f>
        <v>45563</v>
      </c>
      <c r="M20" s="190"/>
      <c r="N20" s="190"/>
      <c r="P20" s="17" t="s">
        <v>0</v>
      </c>
      <c r="Q20" s="17"/>
      <c r="S20" s="159">
        <f>IF(ISBLANK('Control Entry'!B14),"",'Control Entry'!B14)</f>
        <v>0.35416666666666669</v>
      </c>
      <c r="T20" s="159"/>
      <c r="U20" s="159"/>
    </row>
    <row r="21" spans="1:22" ht="36" customHeight="1" x14ac:dyDescent="0.4">
      <c r="A21" s="28"/>
      <c r="B21" s="29" t="str">
        <f>'Control Entry'!N48</f>
        <v/>
      </c>
      <c r="C21" s="29" t="str">
        <f>'Control Entry'!O48</f>
        <v/>
      </c>
      <c r="D21" s="36"/>
      <c r="E21" s="31" t="str">
        <f>IF(ISBLANK('Control Entry'!F48),"",'Control Entry'!F48)</f>
        <v/>
      </c>
      <c r="F21" s="95" t="str">
        <f>IF(ISBLANK('Control Entry'!I48),"",'Control Entry'!I48)</f>
        <v/>
      </c>
      <c r="G21" s="96"/>
      <c r="H21" s="26" t="s">
        <v>26</v>
      </c>
      <c r="J21" s="184" t="s">
        <v>85</v>
      </c>
      <c r="K21" s="184"/>
      <c r="L21" s="184"/>
      <c r="M21" s="184"/>
      <c r="N21" s="184"/>
      <c r="O21" s="184"/>
      <c r="P21" s="184"/>
      <c r="Q21" s="184"/>
      <c r="R21" s="184"/>
      <c r="S21" s="184"/>
      <c r="T21" s="184"/>
      <c r="U21" s="184"/>
      <c r="V21" s="27"/>
    </row>
    <row r="22" spans="1:22" ht="36" customHeight="1" thickBot="1" x14ac:dyDescent="0.4">
      <c r="A22" s="37" t="str">
        <f>IF(ISBLANK('Control Entry'!D48),"",'Control Entry'!D48)</f>
        <v/>
      </c>
      <c r="B22" s="38" t="str">
        <f>'Control Entry'!N48</f>
        <v/>
      </c>
      <c r="C22" s="38" t="str">
        <f>'Control Entry'!O48</f>
        <v/>
      </c>
      <c r="D22" s="39" t="str">
        <f>IF(ISBLANK('Control Entry'!E48),"",'Control Entry'!E48)</f>
        <v/>
      </c>
      <c r="E22" s="31" t="str">
        <f>IF(ISBLANK('Control Entry'!G48),"",'Control Entry'!G48)</f>
        <v/>
      </c>
      <c r="F22" s="95" t="str">
        <f>IF(ISBLANK('Control Entry'!J48),"",'Control Entry'!J48)</f>
        <v/>
      </c>
      <c r="G22" s="96"/>
      <c r="H22" s="26" t="s">
        <v>26</v>
      </c>
      <c r="J22" s="80" t="s">
        <v>42</v>
      </c>
      <c r="K22" s="80"/>
      <c r="L22" s="101"/>
      <c r="M22" s="101"/>
      <c r="N22" s="101"/>
      <c r="O22" s="18"/>
      <c r="P22" s="17" t="s">
        <v>1</v>
      </c>
      <c r="Q22" s="17"/>
      <c r="R22" s="18"/>
      <c r="S22" s="162"/>
      <c r="T22" s="162"/>
      <c r="U22" s="162"/>
    </row>
    <row r="23" spans="1:22" ht="36" customHeight="1" thickBot="1" x14ac:dyDescent="0.4">
      <c r="A23" s="32"/>
      <c r="B23" s="33" t="str">
        <f>'Control Entry'!N48</f>
        <v/>
      </c>
      <c r="C23" s="33" t="str">
        <f>'Control Entry'!O48</f>
        <v/>
      </c>
      <c r="D23" s="34"/>
      <c r="E23" s="35" t="str">
        <f>IF(ISBLANK('Control Entry'!H48),"",'Control Entry'!H48)</f>
        <v/>
      </c>
      <c r="F23" s="100" t="str">
        <f>IF(ISBLANK('Control Entry'!K48),"",'Control Entry'!K48)</f>
        <v/>
      </c>
      <c r="G23" s="99"/>
      <c r="H23" s="26" t="s">
        <v>26</v>
      </c>
      <c r="J23" s="80"/>
      <c r="K23" s="80"/>
      <c r="L23" s="56"/>
      <c r="M23" s="56"/>
      <c r="N23" s="56"/>
      <c r="O23" s="21"/>
      <c r="P23" s="55"/>
      <c r="Q23" s="55"/>
      <c r="R23" s="21"/>
      <c r="S23" s="21"/>
      <c r="T23" s="21"/>
      <c r="U23" s="21"/>
      <c r="V23" s="27"/>
    </row>
    <row r="24" spans="1:22" ht="36" customHeight="1" thickBot="1" x14ac:dyDescent="0.4">
      <c r="A24" s="28"/>
      <c r="B24" s="29" t="str">
        <f>'Control Entry'!N49</f>
        <v/>
      </c>
      <c r="C24" s="29" t="str">
        <f>'Control Entry'!O49</f>
        <v/>
      </c>
      <c r="D24" s="36"/>
      <c r="E24" s="31" t="str">
        <f>IF(ISBLANK('Control Entry'!F49),"",'Control Entry'!F49)</f>
        <v/>
      </c>
      <c r="F24" s="95" t="str">
        <f>IF(ISBLANK('Control Entry'!I49),"",'Control Entry'!I49)</f>
        <v/>
      </c>
      <c r="G24" s="96"/>
      <c r="H24" s="26" t="s">
        <v>26</v>
      </c>
      <c r="J24" s="162"/>
      <c r="K24" s="162"/>
      <c r="L24" s="162"/>
      <c r="M24" s="162"/>
      <c r="N24" s="162"/>
      <c r="O24" s="18"/>
      <c r="P24" s="17" t="s">
        <v>2</v>
      </c>
      <c r="Q24" s="17"/>
      <c r="R24" s="18"/>
      <c r="S24" s="162"/>
      <c r="T24" s="162"/>
      <c r="U24" s="162"/>
    </row>
    <row r="25" spans="1:22" ht="36" customHeight="1" x14ac:dyDescent="0.3">
      <c r="A25" s="37" t="str">
        <f>IF(ISBLANK('Control Entry'!D49),"",'Control Entry'!D49)</f>
        <v/>
      </c>
      <c r="B25" s="38" t="str">
        <f>'Control Entry'!N49</f>
        <v/>
      </c>
      <c r="C25" s="38" t="str">
        <f>'Control Entry'!O49</f>
        <v/>
      </c>
      <c r="D25" s="39" t="str">
        <f>IF(ISBLANK('Control Entry'!E49),"",'Control Entry'!E49)</f>
        <v/>
      </c>
      <c r="E25" s="31" t="str">
        <f>IF(ISBLANK('Control Entry'!G49),"",'Control Entry'!G49)</f>
        <v/>
      </c>
      <c r="F25" s="95" t="str">
        <f>IF(ISBLANK('Control Entry'!J49),"",'Control Entry'!J49)</f>
        <v/>
      </c>
      <c r="G25" s="96"/>
      <c r="H25" s="26" t="s">
        <v>26</v>
      </c>
      <c r="J25" s="171" t="s">
        <v>17</v>
      </c>
      <c r="K25" s="171"/>
      <c r="L25" s="171"/>
      <c r="M25" s="171"/>
      <c r="N25" s="171"/>
      <c r="O25" s="50"/>
      <c r="P25" s="137"/>
      <c r="Q25" s="137"/>
      <c r="R25" s="50"/>
      <c r="S25" s="135"/>
      <c r="T25" s="135"/>
      <c r="U25" s="135"/>
      <c r="V25" s="135"/>
    </row>
    <row r="26" spans="1:22" ht="36" customHeight="1" thickBot="1" x14ac:dyDescent="0.4">
      <c r="A26" s="32"/>
      <c r="B26" s="33" t="str">
        <f>'Control Entry'!N49</f>
        <v/>
      </c>
      <c r="C26" s="33" t="str">
        <f>'Control Entry'!O49</f>
        <v/>
      </c>
      <c r="D26" s="34"/>
      <c r="E26" s="35" t="str">
        <f>IF(ISBLANK('Control Entry'!H49),"",'Control Entry'!H49)</f>
        <v/>
      </c>
      <c r="F26" s="100" t="str">
        <f>IF(ISBLANK('Control Entry'!K49),"",'Control Entry'!K49)</f>
        <v/>
      </c>
      <c r="G26" s="99"/>
      <c r="H26" s="26" t="s">
        <v>26</v>
      </c>
    </row>
    <row r="27" spans="1:22" ht="36" customHeight="1" x14ac:dyDescent="0.35">
      <c r="A27" s="28"/>
      <c r="B27" s="29" t="str">
        <f>'Control Entry'!N50</f>
        <v/>
      </c>
      <c r="C27" s="29" t="str">
        <f>'Control Entry'!O50</f>
        <v/>
      </c>
      <c r="D27" s="36"/>
      <c r="E27" s="31" t="str">
        <f>IF(ISBLANK('Control Entry'!F50),"",'Control Entry'!F50)</f>
        <v/>
      </c>
      <c r="F27" s="95" t="str">
        <f>IF(ISBLANK('Control Entry'!I50),"",'Control Entry'!I50)</f>
        <v/>
      </c>
      <c r="G27" s="96"/>
      <c r="H27" s="26" t="s">
        <v>26</v>
      </c>
      <c r="K27" s="144" t="s">
        <v>53</v>
      </c>
      <c r="L27" s="137"/>
      <c r="M27" s="49" t="s">
        <v>54</v>
      </c>
      <c r="N27" s="137" t="s">
        <v>46</v>
      </c>
      <c r="O27" s="137"/>
      <c r="P27" s="137" t="s">
        <v>47</v>
      </c>
      <c r="Q27" s="137"/>
      <c r="R27" s="50" t="s">
        <v>48</v>
      </c>
      <c r="S27" s="135" t="s">
        <v>49</v>
      </c>
      <c r="T27" s="135"/>
      <c r="U27" s="135" t="s">
        <v>50</v>
      </c>
      <c r="V27" s="135"/>
    </row>
    <row r="28" spans="1:22" ht="36" customHeight="1" x14ac:dyDescent="0.3">
      <c r="A28" s="37" t="str">
        <f>IF(ISBLANK('Control Entry'!D50),"",'Control Entry'!D50)</f>
        <v/>
      </c>
      <c r="B28" s="38" t="str">
        <f>'Control Entry'!N50</f>
        <v/>
      </c>
      <c r="C28" s="38" t="str">
        <f>'Control Entry'!O50</f>
        <v/>
      </c>
      <c r="D28" s="39" t="str">
        <f>IF(ISBLANK('Control Entry'!E50),"",'Control Entry'!E50)</f>
        <v/>
      </c>
      <c r="E28" s="31" t="str">
        <f>IF(ISBLANK('Control Entry'!G50),"",'Control Entry'!G50)</f>
        <v/>
      </c>
      <c r="F28" s="95" t="str">
        <f>IF(ISBLANK('Control Entry'!J50),"",'Control Entry'!J50)</f>
        <v/>
      </c>
      <c r="G28" s="96"/>
      <c r="H28" s="26" t="s">
        <v>26</v>
      </c>
    </row>
    <row r="29" spans="1:22" ht="36" customHeight="1" thickBot="1" x14ac:dyDescent="0.4">
      <c r="A29" s="32"/>
      <c r="B29" s="33" t="str">
        <f>'Control Entry'!N50</f>
        <v/>
      </c>
      <c r="C29" s="33" t="str">
        <f>'Control Entry'!O50</f>
        <v/>
      </c>
      <c r="D29" s="34"/>
      <c r="E29" s="35" t="str">
        <f>IF(ISBLANK('Control Entry'!H50),"",'Control Entry'!H50)</f>
        <v/>
      </c>
      <c r="F29" s="100" t="str">
        <f>IF(ISBLANK('Control Entry'!K50),"",'Control Entry'!K50)</f>
        <v/>
      </c>
      <c r="G29" s="99"/>
      <c r="H29" s="26" t="s">
        <v>26</v>
      </c>
      <c r="M29" s="136" t="s">
        <v>39</v>
      </c>
      <c r="N29" s="136"/>
      <c r="O29" s="136"/>
      <c r="P29" s="136"/>
      <c r="Q29" s="136"/>
      <c r="R29" s="136"/>
      <c r="S29" s="136"/>
      <c r="T29" s="136"/>
      <c r="U29" s="53"/>
    </row>
    <row r="30" spans="1:22" ht="36" customHeight="1" x14ac:dyDescent="0.35">
      <c r="A30" s="28"/>
      <c r="B30" s="29" t="str">
        <f>'Control Entry'!N51</f>
        <v/>
      </c>
      <c r="C30" s="29" t="str">
        <f>'Control Entry'!O51</f>
        <v/>
      </c>
      <c r="D30" s="36"/>
      <c r="E30" s="31" t="str">
        <f>IF(ISBLANK('Control Entry'!F51),"",'Control Entry'!F51)</f>
        <v/>
      </c>
      <c r="F30" s="95" t="str">
        <f>IF(ISBLANK('Control Entry'!I51),"",'Control Entry'!I51)</f>
        <v/>
      </c>
      <c r="G30" s="96"/>
      <c r="H30" s="26" t="s">
        <v>26</v>
      </c>
      <c r="M30" s="15"/>
      <c r="N30" s="19"/>
      <c r="O30" s="19"/>
      <c r="P30" s="20"/>
      <c r="Q30" s="102"/>
      <c r="R30" s="19"/>
      <c r="S30" s="19"/>
      <c r="T30" s="20"/>
      <c r="U30" s="21"/>
    </row>
    <row r="31" spans="1:22" ht="36" customHeight="1" x14ac:dyDescent="0.3">
      <c r="A31" s="37" t="str">
        <f>IF(ISBLANK('Control Entry'!D51),"",'Control Entry'!D51)</f>
        <v/>
      </c>
      <c r="B31" s="38" t="str">
        <f>'Control Entry'!N51</f>
        <v/>
      </c>
      <c r="C31" s="38" t="str">
        <f>'Control Entry'!O51</f>
        <v/>
      </c>
      <c r="D31" s="39" t="str">
        <f>IF(ISBLANK('Control Entry'!E51),"",'Control Entry'!E51)</f>
        <v/>
      </c>
      <c r="E31" s="31" t="str">
        <f>IF(ISBLANK('Control Entry'!G51),"",'Control Entry'!G51)</f>
        <v/>
      </c>
      <c r="F31" s="95" t="str">
        <f>IF(ISBLANK('Control Entry'!J51),"",'Control Entry'!J51)</f>
        <v/>
      </c>
      <c r="G31" s="96"/>
      <c r="H31" s="26" t="s">
        <v>26</v>
      </c>
      <c r="M31" s="16"/>
      <c r="N31" s="21"/>
      <c r="O31" s="21"/>
      <c r="P31" s="22"/>
      <c r="Q31" s="103"/>
      <c r="R31" s="21"/>
      <c r="S31" s="21"/>
      <c r="T31" s="22"/>
      <c r="U31" s="21"/>
    </row>
    <row r="32" spans="1:22" ht="36" customHeight="1" thickBot="1" x14ac:dyDescent="0.4">
      <c r="A32" s="32"/>
      <c r="B32" s="33" t="str">
        <f>'Control Entry'!N51</f>
        <v/>
      </c>
      <c r="C32" s="33" t="str">
        <f>'Control Entry'!O51</f>
        <v/>
      </c>
      <c r="D32" s="34"/>
      <c r="E32" s="35" t="str">
        <f>IF(ISBLANK('Control Entry'!H51),"",'Control Entry'!H51)</f>
        <v/>
      </c>
      <c r="F32" s="100" t="str">
        <f>IF(ISBLANK('Control Entry'!K51),"",'Control Entry'!K51)</f>
        <v/>
      </c>
      <c r="G32" s="99"/>
      <c r="H32" s="26" t="s">
        <v>26</v>
      </c>
      <c r="M32" s="150" t="s">
        <v>78</v>
      </c>
      <c r="N32" s="151"/>
      <c r="O32" s="151"/>
      <c r="P32" s="152"/>
      <c r="Q32" s="153">
        <f>'Control Entry'!B3</f>
        <v>44990</v>
      </c>
      <c r="R32" s="154"/>
      <c r="S32" s="154"/>
      <c r="T32" s="155"/>
      <c r="U32" s="21"/>
    </row>
    <row r="33" spans="1:22" ht="36" customHeight="1" x14ac:dyDescent="0.35">
      <c r="A33" s="143" t="s">
        <v>40</v>
      </c>
      <c r="B33" s="143"/>
      <c r="C33" s="143"/>
      <c r="D33" s="143"/>
      <c r="E33" s="143"/>
      <c r="F33" s="143"/>
      <c r="G33" s="143"/>
      <c r="H33" s="40"/>
      <c r="I33" s="40"/>
      <c r="M33" s="138" t="s">
        <v>81</v>
      </c>
      <c r="N33" s="139"/>
      <c r="O33" s="139"/>
      <c r="P33" s="139"/>
      <c r="Q33" s="140">
        <f>'Control Entry'!B4</f>
        <v>44992</v>
      </c>
      <c r="R33" s="141"/>
      <c r="S33" s="141"/>
      <c r="T33" s="141"/>
      <c r="U33" s="90"/>
      <c r="V33" s="56"/>
    </row>
    <row r="34" spans="1:22" ht="36" customHeight="1" x14ac:dyDescent="0.35">
      <c r="A34"/>
      <c r="O34" s="46"/>
      <c r="P34" s="46"/>
      <c r="Q34" s="46"/>
      <c r="R34" s="45"/>
    </row>
    <row r="35" spans="1:22" ht="36" customHeight="1" x14ac:dyDescent="0.25">
      <c r="A35"/>
      <c r="N35" s="136"/>
      <c r="O35" s="136"/>
      <c r="P35" s="136"/>
      <c r="Q35" s="136"/>
      <c r="R35" s="136"/>
      <c r="S35" s="136"/>
      <c r="T35" s="136"/>
      <c r="U35" s="136"/>
    </row>
    <row r="36" spans="1:22" ht="36" customHeight="1" x14ac:dyDescent="0.25">
      <c r="A36"/>
      <c r="N36" s="27"/>
      <c r="O36" s="21"/>
      <c r="P36" s="21"/>
      <c r="Q36" s="21"/>
      <c r="R36" s="21"/>
      <c r="S36" s="21"/>
      <c r="T36" s="21"/>
      <c r="U36" s="21"/>
    </row>
    <row r="37" spans="1:22" ht="36" customHeight="1" x14ac:dyDescent="0.25">
      <c r="A37"/>
      <c r="N37" s="27"/>
      <c r="O37" s="21"/>
      <c r="P37" s="21"/>
      <c r="Q37" s="21"/>
      <c r="R37" s="21"/>
      <c r="S37" s="21"/>
      <c r="T37" s="21"/>
      <c r="U37" s="21"/>
    </row>
    <row r="38" spans="1:22" ht="36" customHeight="1" x14ac:dyDescent="0.35">
      <c r="A38"/>
      <c r="N38" s="54"/>
      <c r="O38" s="21"/>
      <c r="P38" s="21"/>
      <c r="Q38" s="21"/>
      <c r="R38" s="21"/>
      <c r="S38" s="21"/>
      <c r="T38" s="21"/>
      <c r="U38" s="21"/>
    </row>
    <row r="39" spans="1:22" ht="36" customHeight="1" x14ac:dyDescent="0.25">
      <c r="A39"/>
    </row>
    <row r="40" spans="1:22" ht="36" customHeight="1" x14ac:dyDescent="0.25">
      <c r="A40"/>
    </row>
  </sheetData>
  <sheetProtection algorithmName="SHA-512" hashValue="n04OlOPypxKiXZHfTF7SZ14P8gX/OWk/qktZJUCZqh+6Nv8BjLLr9UXJBNwuWtsY5jnC73Xiuu+JFtcLWZMoiA==" saltValue="FabpdyB7wrMR7nA5d9noMA==" spinCount="100000" sheet="1" objects="1" scenarios="1" formatCells="0" selectLockedCells="1"/>
  <mergeCells count="41">
    <mergeCell ref="S22:U22"/>
    <mergeCell ref="J24:N24"/>
    <mergeCell ref="S24:U24"/>
    <mergeCell ref="S11:U11"/>
    <mergeCell ref="L12:N12"/>
    <mergeCell ref="S12:U12"/>
    <mergeCell ref="L13:N13"/>
    <mergeCell ref="R13:U13"/>
    <mergeCell ref="J21:U21"/>
    <mergeCell ref="M33:P33"/>
    <mergeCell ref="Q33:T33"/>
    <mergeCell ref="L20:N20"/>
    <mergeCell ref="A33:G33"/>
    <mergeCell ref="N35:U35"/>
    <mergeCell ref="U27:V27"/>
    <mergeCell ref="M29:T29"/>
    <mergeCell ref="K27:L27"/>
    <mergeCell ref="N27:O27"/>
    <mergeCell ref="P27:Q27"/>
    <mergeCell ref="S27:T27"/>
    <mergeCell ref="J25:N25"/>
    <mergeCell ref="P25:Q25"/>
    <mergeCell ref="S25:T25"/>
    <mergeCell ref="U25:V25"/>
    <mergeCell ref="M32:P32"/>
    <mergeCell ref="Q32:T32"/>
    <mergeCell ref="A1:G1"/>
    <mergeCell ref="K2:U2"/>
    <mergeCell ref="M4:T4"/>
    <mergeCell ref="N5:O5"/>
    <mergeCell ref="R5:U5"/>
    <mergeCell ref="O3:R3"/>
    <mergeCell ref="L6:U6"/>
    <mergeCell ref="L8:Q8"/>
    <mergeCell ref="T8:U8"/>
    <mergeCell ref="L15:U15"/>
    <mergeCell ref="S20:U20"/>
    <mergeCell ref="L9:U9"/>
    <mergeCell ref="L10:U10"/>
    <mergeCell ref="L11:N11"/>
    <mergeCell ref="L16:U16"/>
  </mergeCells>
  <conditionalFormatting sqref="P22:U24">
    <cfRule type="expression" dxfId="10" priority="4">
      <formula>$S$3="#3"</formula>
    </cfRule>
  </conditionalFormatting>
  <conditionalFormatting sqref="J22:N22">
    <cfRule type="expression" dxfId="9" priority="3">
      <formula>$S$3="#3"</formula>
    </cfRule>
  </conditionalFormatting>
  <conditionalFormatting sqref="K27:V27">
    <cfRule type="expression" dxfId="8" priority="2">
      <formula>$S$3="#3"</formula>
    </cfRule>
  </conditionalFormatting>
  <conditionalFormatting sqref="J21:U21">
    <cfRule type="expression" dxfId="7" priority="1">
      <formula>$S$3&lt;&gt;"#3"</formula>
    </cfRule>
  </conditionalFormatting>
  <printOptions horizontalCentered="1" verticalCentered="1"/>
  <pageMargins left="0.2" right="0.2" top="0.2" bottom="0.2" header="0.51" footer="0.51"/>
  <pageSetup scale="44" orientation="landscape" horizontalDpi="4294967292" verticalDpi="4294967292"/>
  <headerFooter>
    <oddFooter>&amp;C_x000D_&amp;1#&amp;"Calibri"&amp;6&amp;K626469 Public</oddFooter>
  </headerFooter>
  <ignoredErrors>
    <ignoredError sqref="L20" unlockedFormula="1"/>
  </ignoredErrors>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40"/>
  <sheetViews>
    <sheetView showGridLines="0" topLeftCell="A9" zoomScale="92" zoomScaleNormal="92" zoomScalePageLayoutView="92" workbookViewId="0">
      <selection activeCell="L8" sqref="L8:Q8"/>
    </sheetView>
  </sheetViews>
  <sheetFormatPr defaultColWidth="8.77734375" defaultRowHeight="13.2" x14ac:dyDescent="0.25"/>
  <cols>
    <col min="1" max="1" width="8.44140625" style="1" customWidth="1"/>
    <col min="2" max="3" width="11.6640625" customWidth="1"/>
    <col min="4" max="4" width="18" customWidth="1"/>
    <col min="5" max="5" width="23.77734375" customWidth="1"/>
    <col min="6" max="6" width="42" customWidth="1"/>
    <col min="7" max="7" width="13.44140625" customWidth="1"/>
    <col min="8" max="8" width="8" style="27" customWidth="1"/>
    <col min="9" max="9" width="12" customWidth="1"/>
    <col min="12" max="14" width="9" customWidth="1"/>
    <col min="18" max="18" width="8.77734375" customWidth="1"/>
    <col min="19" max="19" width="9" customWidth="1"/>
  </cols>
  <sheetData>
    <row r="1" spans="1:22" ht="21" thickBot="1" x14ac:dyDescent="0.3">
      <c r="A1" s="142" t="s">
        <v>70</v>
      </c>
      <c r="B1" s="142"/>
      <c r="C1" s="142"/>
      <c r="D1" s="142"/>
      <c r="E1" s="142"/>
      <c r="F1" s="142"/>
      <c r="G1" s="142"/>
      <c r="H1" s="26" t="s">
        <v>26</v>
      </c>
    </row>
    <row r="2" spans="1:22" ht="33.75" customHeight="1" thickBot="1" x14ac:dyDescent="0.35">
      <c r="A2" s="73" t="s">
        <v>27</v>
      </c>
      <c r="B2" s="9" t="s">
        <v>3</v>
      </c>
      <c r="C2" s="9" t="s">
        <v>4</v>
      </c>
      <c r="D2" s="9" t="s">
        <v>22</v>
      </c>
      <c r="E2" s="9" t="s">
        <v>28</v>
      </c>
      <c r="F2" s="9" t="s">
        <v>56</v>
      </c>
      <c r="G2" s="73" t="s">
        <v>29</v>
      </c>
      <c r="H2" s="26" t="s">
        <v>26</v>
      </c>
      <c r="K2" s="148" t="s">
        <v>52</v>
      </c>
      <c r="L2" s="148"/>
      <c r="M2" s="148"/>
      <c r="N2" s="148"/>
      <c r="O2" s="148"/>
      <c r="P2" s="148"/>
      <c r="Q2" s="148"/>
      <c r="R2" s="148"/>
      <c r="S2" s="148"/>
      <c r="T2" s="148"/>
      <c r="U2" s="148"/>
    </row>
    <row r="3" spans="1:22" ht="36" customHeight="1" x14ac:dyDescent="0.7">
      <c r="A3" s="28"/>
      <c r="B3" s="29" t="str">
        <f>'Control Entry'!N55</f>
        <v/>
      </c>
      <c r="C3" s="29" t="str">
        <f>'Control Entry'!O55</f>
        <v/>
      </c>
      <c r="D3" s="30"/>
      <c r="E3" s="31" t="str">
        <f>IF(ISBLANK('Control Entry'!F55),"",'Control Entry'!F55)</f>
        <v/>
      </c>
      <c r="F3" s="95" t="str">
        <f>IF(ISBLANK('Control Entry'!I55),"",'Control Entry'!I55)</f>
        <v/>
      </c>
      <c r="G3" s="96"/>
      <c r="H3" s="26" t="s">
        <v>26</v>
      </c>
      <c r="K3" s="13"/>
      <c r="O3" s="172" t="s">
        <v>69</v>
      </c>
      <c r="P3" s="172"/>
      <c r="Q3" s="172"/>
      <c r="R3" s="172"/>
      <c r="S3" s="84" t="str">
        <f>IF(AND('Control Entry'!D42=0,'Control Entry'!D55&lt;&gt;0),"#2",IF('Control Entry'!D55=0,"","#4"))</f>
        <v/>
      </c>
      <c r="T3" s="85"/>
      <c r="U3" s="41"/>
    </row>
    <row r="4" spans="1:22" ht="36" customHeight="1" x14ac:dyDescent="0.3">
      <c r="A4" s="37" t="str">
        <f>IF(ISBLANK('Control Entry'!D55),"",'Control Entry'!D55)</f>
        <v/>
      </c>
      <c r="B4" s="38" t="str">
        <f>'Control Entry'!N55</f>
        <v/>
      </c>
      <c r="C4" s="38" t="str">
        <f>'Control Entry'!O55</f>
        <v/>
      </c>
      <c r="D4" s="39" t="str">
        <f>IF(ISBLANK('Control Entry'!E55),"",'Control Entry'!E55)</f>
        <v/>
      </c>
      <c r="E4" s="31" t="str">
        <f>IF(ISBLANK('Control Entry'!G55),"",'Control Entry'!G55)</f>
        <v/>
      </c>
      <c r="F4" s="95" t="str">
        <f>IF(ISBLANK('Control Entry'!J55),"",'Control Entry'!J55)</f>
        <v/>
      </c>
      <c r="G4" s="96"/>
      <c r="H4" s="26" t="s">
        <v>26</v>
      </c>
      <c r="K4" s="13"/>
      <c r="M4" s="144" t="str">
        <f>IF(ISBLANK(brevet),"",brevet&amp;" km Randonnée")</f>
        <v>100 km Randonnée</v>
      </c>
      <c r="N4" s="144"/>
      <c r="O4" s="144"/>
      <c r="P4" s="144"/>
      <c r="Q4" s="144"/>
      <c r="R4" s="144"/>
      <c r="S4" s="144"/>
      <c r="T4" s="144"/>
      <c r="U4" s="42"/>
    </row>
    <row r="5" spans="1:22" ht="36" customHeight="1" thickBot="1" x14ac:dyDescent="0.4">
      <c r="A5" s="32"/>
      <c r="B5" s="33" t="str">
        <f>'Control Entry'!N55</f>
        <v/>
      </c>
      <c r="C5" s="33" t="str">
        <f>'Control Entry'!O55</f>
        <v/>
      </c>
      <c r="D5" s="34"/>
      <c r="E5" s="35" t="str">
        <f>IF(ISBLANK('Control Entry'!H55),"",'Control Entry'!H55)</f>
        <v/>
      </c>
      <c r="F5" s="100" t="str">
        <f>IF(ISBLANK('Control Entry'!K55),"",'Control Entry'!K55)</f>
        <v/>
      </c>
      <c r="G5" s="99"/>
      <c r="H5" s="26" t="s">
        <v>26</v>
      </c>
      <c r="K5" s="13"/>
      <c r="M5" s="14"/>
      <c r="N5" s="170" t="s">
        <v>44</v>
      </c>
      <c r="O5" s="170"/>
      <c r="P5" s="60">
        <f>IF(ISBLANK(Brevet_Number),"",Brevet_Number)</f>
        <v>5426</v>
      </c>
      <c r="Q5" s="61"/>
      <c r="R5" s="147">
        <f>IF(ISBLANK('Control Entry'!$B11),"",'Control Entry'!$B11)</f>
        <v>45563</v>
      </c>
      <c r="S5" s="147"/>
      <c r="T5" s="147"/>
      <c r="U5" s="147"/>
      <c r="V5" s="43"/>
    </row>
    <row r="6" spans="1:22" ht="36" customHeight="1" x14ac:dyDescent="0.4">
      <c r="A6" s="28"/>
      <c r="B6" s="29" t="str">
        <f>'Control Entry'!N56</f>
        <v/>
      </c>
      <c r="C6" s="29" t="str">
        <f>'Control Entry'!O56</f>
        <v/>
      </c>
      <c r="D6" s="36"/>
      <c r="E6" s="31" t="str">
        <f>IF(ISBLANK('Control Entry'!F56),"",'Control Entry'!F56)</f>
        <v/>
      </c>
      <c r="F6" s="95" t="str">
        <f>IF(ISBLANK('Control Entry'!I56),"",'Control Entry'!I56)</f>
        <v/>
      </c>
      <c r="G6" s="96"/>
      <c r="H6" s="26" t="s">
        <v>26</v>
      </c>
      <c r="K6" s="13"/>
      <c r="L6" s="161" t="str">
        <f>IF(ISBLANK(Brevet_Description),"",Brevet_Description)</f>
        <v>100km Permanent - Cowichan Gravel</v>
      </c>
      <c r="M6" s="161"/>
      <c r="N6" s="161"/>
      <c r="O6" s="161"/>
      <c r="P6" s="161"/>
      <c r="Q6" s="161"/>
      <c r="R6" s="161"/>
      <c r="S6" s="161"/>
      <c r="T6" s="161"/>
      <c r="U6" s="161"/>
    </row>
    <row r="7" spans="1:22" ht="36" customHeight="1" x14ac:dyDescent="0.3">
      <c r="A7" s="37" t="str">
        <f>IF(ISBLANK('Control Entry'!D56),"",'Control Entry'!D56)</f>
        <v/>
      </c>
      <c r="B7" s="38" t="str">
        <f>'Control Entry'!N56</f>
        <v/>
      </c>
      <c r="C7" s="38" t="str">
        <f>'Control Entry'!O56</f>
        <v/>
      </c>
      <c r="D7" s="39" t="str">
        <f>IF(ISBLANK('Control Entry'!E56),"",'Control Entry'!E56)</f>
        <v/>
      </c>
      <c r="E7" s="31" t="str">
        <f>IF(ISBLANK('Control Entry'!G56),"",'Control Entry'!G56)</f>
        <v/>
      </c>
      <c r="F7" s="95" t="str">
        <f>IF(ISBLANK('Control Entry'!J56),"",'Control Entry'!J56)</f>
        <v/>
      </c>
      <c r="G7" s="96"/>
      <c r="H7" s="26" t="s">
        <v>26</v>
      </c>
    </row>
    <row r="8" spans="1:22" ht="36" customHeight="1" thickBot="1" x14ac:dyDescent="0.4">
      <c r="A8" s="32"/>
      <c r="B8" s="33" t="str">
        <f>'Control Entry'!N56</f>
        <v/>
      </c>
      <c r="C8" s="33" t="str">
        <f>'Control Entry'!O56</f>
        <v/>
      </c>
      <c r="D8" s="34"/>
      <c r="E8" s="35" t="str">
        <f>IF(ISBLANK('Control Entry'!H56),"",'Control Entry'!H56)</f>
        <v/>
      </c>
      <c r="F8" s="100" t="str">
        <f>IF(ISBLANK('Control Entry'!K56),"",'Control Entry'!K56)</f>
        <v/>
      </c>
      <c r="G8" s="99"/>
      <c r="H8" s="26" t="s">
        <v>26</v>
      </c>
      <c r="J8" s="14" t="s">
        <v>31</v>
      </c>
      <c r="L8" s="149"/>
      <c r="M8" s="149"/>
      <c r="N8" s="149"/>
      <c r="O8" s="149"/>
      <c r="P8" s="149"/>
      <c r="Q8" s="149"/>
      <c r="R8" s="27"/>
      <c r="S8" s="44" t="s">
        <v>43</v>
      </c>
      <c r="T8" s="156"/>
      <c r="U8" s="156"/>
    </row>
    <row r="9" spans="1:22" ht="36" customHeight="1" thickBot="1" x14ac:dyDescent="0.5">
      <c r="A9" s="28"/>
      <c r="B9" s="29" t="str">
        <f>'Control Entry'!N57</f>
        <v/>
      </c>
      <c r="C9" s="29" t="str">
        <f>'Control Entry'!O57</f>
        <v/>
      </c>
      <c r="D9" s="36"/>
      <c r="E9" s="31" t="str">
        <f>IF(ISBLANK('Control Entry'!F57),"",'Control Entry'!F57)</f>
        <v/>
      </c>
      <c r="F9" s="95" t="str">
        <f>IF(ISBLANK('Control Entry'!I57),"",'Control Entry'!I57)</f>
        <v/>
      </c>
      <c r="G9" s="96"/>
      <c r="H9" s="26" t="s">
        <v>26</v>
      </c>
      <c r="J9" s="14" t="s">
        <v>32</v>
      </c>
      <c r="K9" s="14"/>
      <c r="L9" s="163" t="s">
        <v>51</v>
      </c>
      <c r="M9" s="163"/>
      <c r="N9" s="163"/>
      <c r="O9" s="163"/>
      <c r="P9" s="163"/>
      <c r="Q9" s="163"/>
      <c r="R9" s="163"/>
      <c r="S9" s="163"/>
      <c r="T9" s="163"/>
      <c r="U9" s="163"/>
    </row>
    <row r="10" spans="1:22" ht="36" customHeight="1" thickBot="1" x14ac:dyDescent="0.45">
      <c r="A10" s="37" t="str">
        <f>IF(ISBLANK('Control Entry'!D57),"",'Control Entry'!D57)</f>
        <v/>
      </c>
      <c r="B10" s="38" t="str">
        <f>'Control Entry'!N57</f>
        <v/>
      </c>
      <c r="C10" s="38" t="str">
        <f>'Control Entry'!O57</f>
        <v/>
      </c>
      <c r="D10" s="39" t="str">
        <f>IF(ISBLANK('Control Entry'!E57),"",'Control Entry'!E57)</f>
        <v/>
      </c>
      <c r="E10" s="31" t="str">
        <f>IF(ISBLANK('Control Entry'!G57),"",'Control Entry'!G57)</f>
        <v/>
      </c>
      <c r="F10" s="95" t="str">
        <f>IF(ISBLANK('Control Entry'!J57),"",'Control Entry'!J57)</f>
        <v/>
      </c>
      <c r="G10" s="96"/>
      <c r="H10" s="26" t="s">
        <v>26</v>
      </c>
      <c r="J10" s="14"/>
      <c r="K10" s="14"/>
      <c r="L10" s="158"/>
      <c r="M10" s="158"/>
      <c r="N10" s="158"/>
      <c r="O10" s="158"/>
      <c r="P10" s="158"/>
      <c r="Q10" s="158"/>
      <c r="R10" s="158"/>
      <c r="S10" s="158"/>
      <c r="T10" s="158"/>
      <c r="U10" s="158"/>
    </row>
    <row r="11" spans="1:22" ht="36" customHeight="1" thickBot="1" x14ac:dyDescent="0.45">
      <c r="A11" s="32"/>
      <c r="B11" s="33" t="str">
        <f>'Control Entry'!N57</f>
        <v/>
      </c>
      <c r="C11" s="33" t="str">
        <f>'Control Entry'!O57</f>
        <v/>
      </c>
      <c r="D11" s="34"/>
      <c r="E11" s="35" t="str">
        <f>IF(ISBLANK('Control Entry'!H57),"",'Control Entry'!H57)</f>
        <v/>
      </c>
      <c r="F11" s="100" t="str">
        <f>IF(ISBLANK('Control Entry'!K57),"",'Control Entry'!K57)</f>
        <v/>
      </c>
      <c r="G11" s="99"/>
      <c r="H11" s="26" t="s">
        <v>26</v>
      </c>
      <c r="J11" s="14" t="s">
        <v>33</v>
      </c>
      <c r="K11" s="14"/>
      <c r="L11" s="158"/>
      <c r="M11" s="158"/>
      <c r="N11" s="158"/>
      <c r="O11" s="17"/>
      <c r="P11" s="17" t="s">
        <v>34</v>
      </c>
      <c r="Q11" s="17"/>
      <c r="R11" s="17"/>
      <c r="S11" s="145"/>
      <c r="T11" s="145"/>
      <c r="U11" s="145"/>
    </row>
    <row r="12" spans="1:22" ht="36" customHeight="1" thickBot="1" x14ac:dyDescent="0.45">
      <c r="A12" s="28"/>
      <c r="B12" s="29" t="str">
        <f>'Control Entry'!N58</f>
        <v/>
      </c>
      <c r="C12" s="29" t="str">
        <f>'Control Entry'!O58</f>
        <v/>
      </c>
      <c r="D12" s="36"/>
      <c r="E12" s="31" t="str">
        <f>IF(ISBLANK('Control Entry'!F58),"",'Control Entry'!F58)</f>
        <v/>
      </c>
      <c r="F12" s="95" t="str">
        <f>IF(ISBLANK('Control Entry'!I58),"",'Control Entry'!I58)</f>
        <v/>
      </c>
      <c r="G12" s="96"/>
      <c r="H12" s="26" t="s">
        <v>26</v>
      </c>
      <c r="J12" s="14" t="s">
        <v>35</v>
      </c>
      <c r="K12" s="14"/>
      <c r="L12" s="158"/>
      <c r="M12" s="158"/>
      <c r="N12" s="158"/>
      <c r="O12" s="17"/>
      <c r="P12" s="17" t="s">
        <v>36</v>
      </c>
      <c r="Q12" s="17"/>
      <c r="R12" s="17"/>
      <c r="S12" s="145"/>
      <c r="T12" s="145"/>
      <c r="U12" s="145"/>
    </row>
    <row r="13" spans="1:22" ht="36" customHeight="1" thickBot="1" x14ac:dyDescent="0.45">
      <c r="A13" s="37" t="str">
        <f>IF(ISBLANK('Control Entry'!D58),"",'Control Entry'!D58)</f>
        <v/>
      </c>
      <c r="B13" s="38" t="str">
        <f>'Control Entry'!N58</f>
        <v/>
      </c>
      <c r="C13" s="38" t="str">
        <f>'Control Entry'!O58</f>
        <v/>
      </c>
      <c r="D13" s="39" t="str">
        <f>IF(ISBLANK('Control Entry'!E58),"",'Control Entry'!E58)</f>
        <v/>
      </c>
      <c r="E13" s="31" t="str">
        <f>IF(ISBLANK('Control Entry'!G58),"",'Control Entry'!G58)</f>
        <v/>
      </c>
      <c r="F13" s="95" t="str">
        <f>IF(ISBLANK('Control Entry'!J58),"",'Control Entry'!J58)</f>
        <v/>
      </c>
      <c r="G13" s="96"/>
      <c r="H13" s="26" t="s">
        <v>26</v>
      </c>
      <c r="J13" s="14" t="s">
        <v>37</v>
      </c>
      <c r="L13" s="166"/>
      <c r="M13" s="166"/>
      <c r="N13" s="166"/>
      <c r="O13" s="18"/>
      <c r="P13" s="17" t="s">
        <v>38</v>
      </c>
      <c r="Q13" s="17"/>
      <c r="R13" s="146"/>
      <c r="S13" s="146"/>
      <c r="T13" s="146"/>
      <c r="U13" s="146"/>
    </row>
    <row r="14" spans="1:22" ht="36" customHeight="1" thickBot="1" x14ac:dyDescent="0.4">
      <c r="A14" s="32"/>
      <c r="B14" s="33" t="str">
        <f>'Control Entry'!N58</f>
        <v/>
      </c>
      <c r="C14" s="33" t="str">
        <f>'Control Entry'!O58</f>
        <v/>
      </c>
      <c r="D14" s="34"/>
      <c r="E14" s="35" t="str">
        <f>IF(ISBLANK('Control Entry'!H58),"",'Control Entry'!H58)</f>
        <v/>
      </c>
      <c r="F14" s="100" t="str">
        <f>IF(ISBLANK('Control Entry'!K58),"",'Control Entry'!K58)</f>
        <v/>
      </c>
      <c r="G14" s="99"/>
      <c r="H14" s="26" t="s">
        <v>26</v>
      </c>
    </row>
    <row r="15" spans="1:22" ht="36" customHeight="1" x14ac:dyDescent="0.35">
      <c r="A15" s="28"/>
      <c r="B15" s="29" t="str">
        <f>'Control Entry'!N59</f>
        <v/>
      </c>
      <c r="C15" s="29" t="str">
        <f>'Control Entry'!O59</f>
        <v/>
      </c>
      <c r="D15" s="36"/>
      <c r="E15" s="31" t="str">
        <f>IF(ISBLANK('Control Entry'!F59),"",'Control Entry'!F59)</f>
        <v/>
      </c>
      <c r="F15" s="95" t="str">
        <f>IF(ISBLANK('Control Entry'!I59),"",'Control Entry'!I59)</f>
        <v/>
      </c>
      <c r="G15" s="96"/>
      <c r="H15" s="26" t="s">
        <v>26</v>
      </c>
      <c r="J15" s="14"/>
      <c r="L15" s="160" t="s">
        <v>55</v>
      </c>
      <c r="M15" s="160"/>
      <c r="N15" s="160"/>
      <c r="O15" s="160"/>
      <c r="P15" s="160"/>
      <c r="Q15" s="160"/>
      <c r="R15" s="160"/>
      <c r="S15" s="160"/>
      <c r="T15" s="160"/>
      <c r="U15" s="160"/>
    </row>
    <row r="16" spans="1:22" ht="36" customHeight="1" thickBot="1" x14ac:dyDescent="0.35">
      <c r="A16" s="37" t="str">
        <f>IF(ISBLANK('Control Entry'!D59),"",'Control Entry'!D59)</f>
        <v/>
      </c>
      <c r="B16" s="38" t="str">
        <f>'Control Entry'!N59</f>
        <v/>
      </c>
      <c r="C16" s="38" t="str">
        <f>'Control Entry'!O59</f>
        <v/>
      </c>
      <c r="D16" s="39" t="str">
        <f>IF(ISBLANK('Control Entry'!E59),"",'Control Entry'!E59)</f>
        <v/>
      </c>
      <c r="E16" s="31" t="str">
        <f>IF(ISBLANK('Control Entry'!G59),"",'Control Entry'!G59)</f>
        <v/>
      </c>
      <c r="F16" s="95" t="str">
        <f>IF(ISBLANK('Control Entry'!J59),"",'Control Entry'!J59)</f>
        <v/>
      </c>
      <c r="G16" s="96"/>
      <c r="H16" s="26" t="s">
        <v>26</v>
      </c>
      <c r="L16" s="189"/>
      <c r="M16" s="189"/>
      <c r="N16" s="189"/>
      <c r="O16" s="189"/>
      <c r="P16" s="189"/>
      <c r="Q16" s="189"/>
      <c r="R16" s="189"/>
      <c r="S16" s="189"/>
      <c r="T16" s="189"/>
      <c r="U16" s="189"/>
    </row>
    <row r="17" spans="1:22" ht="36" customHeight="1" thickBot="1" x14ac:dyDescent="0.4">
      <c r="A17" s="32"/>
      <c r="B17" s="33" t="str">
        <f>'Control Entry'!N59</f>
        <v/>
      </c>
      <c r="C17" s="33" t="str">
        <f>'Control Entry'!O59</f>
        <v/>
      </c>
      <c r="D17" s="34"/>
      <c r="E17" s="35" t="str">
        <f>IF(ISBLANK('Control Entry'!H59),"",'Control Entry'!H59)</f>
        <v/>
      </c>
      <c r="F17" s="100" t="str">
        <f>IF(ISBLANK('Control Entry'!K59),"",'Control Entry'!K59)</f>
        <v/>
      </c>
      <c r="G17" s="99"/>
      <c r="H17" s="26" t="s">
        <v>26</v>
      </c>
    </row>
    <row r="18" spans="1:22" ht="36" customHeight="1" x14ac:dyDescent="0.35">
      <c r="A18" s="28"/>
      <c r="B18" s="29" t="str">
        <f>'Control Entry'!N60</f>
        <v/>
      </c>
      <c r="C18" s="29" t="str">
        <f>'Control Entry'!O60</f>
        <v/>
      </c>
      <c r="D18" s="36"/>
      <c r="E18" s="31" t="str">
        <f>IF(ISBLANK('Control Entry'!F60),"",'Control Entry'!F60)</f>
        <v/>
      </c>
      <c r="F18" s="95" t="str">
        <f>IF(ISBLANK('Control Entry'!I60),"",'Control Entry'!I60)</f>
        <v/>
      </c>
      <c r="G18" s="96"/>
      <c r="H18" s="26" t="s">
        <v>26</v>
      </c>
    </row>
    <row r="19" spans="1:22" ht="36" customHeight="1" x14ac:dyDescent="0.3">
      <c r="A19" s="37" t="str">
        <f>IF(ISBLANK('Control Entry'!D60),"",'Control Entry'!D60)</f>
        <v/>
      </c>
      <c r="B19" s="38" t="str">
        <f>'Control Entry'!N60</f>
        <v/>
      </c>
      <c r="C19" s="38" t="str">
        <f>'Control Entry'!O60</f>
        <v/>
      </c>
      <c r="D19" s="39" t="str">
        <f>IF(ISBLANK('Control Entry'!E60),"",'Control Entry'!E60)</f>
        <v/>
      </c>
      <c r="E19" s="31" t="str">
        <f>IF(ISBLANK('Control Entry'!G60),"",'Control Entry'!G60)</f>
        <v/>
      </c>
      <c r="F19" s="95" t="str">
        <f>IF(ISBLANK('Control Entry'!J60),"",'Control Entry'!J60)</f>
        <v/>
      </c>
      <c r="G19" s="96"/>
      <c r="H19" s="26" t="s">
        <v>26</v>
      </c>
    </row>
    <row r="20" spans="1:22" ht="36" customHeight="1" thickBot="1" x14ac:dyDescent="0.4">
      <c r="A20" s="32"/>
      <c r="B20" s="33" t="str">
        <f>'Control Entry'!N60</f>
        <v/>
      </c>
      <c r="C20" s="33" t="str">
        <f>'Control Entry'!O60</f>
        <v/>
      </c>
      <c r="D20" s="34"/>
      <c r="E20" s="35" t="str">
        <f>IF(ISBLANK('Control Entry'!H60),"",'Control Entry'!H60)</f>
        <v/>
      </c>
      <c r="F20" s="100" t="str">
        <f>IF(ISBLANK('Control Entry'!K60),"",'Control Entry'!K60)</f>
        <v/>
      </c>
      <c r="G20" s="99"/>
      <c r="H20" s="26" t="s">
        <v>26</v>
      </c>
      <c r="J20" s="58" t="s">
        <v>41</v>
      </c>
      <c r="K20" s="58"/>
      <c r="L20" s="190">
        <f>IF(ISBLANK('Control Entry'!B13),"",'Control Entry'!B13)</f>
        <v>45563</v>
      </c>
      <c r="M20" s="190"/>
      <c r="N20" s="190"/>
      <c r="P20" s="17" t="s">
        <v>0</v>
      </c>
      <c r="Q20" s="17"/>
      <c r="S20" s="159">
        <f>IF(ISBLANK('Control Entry'!B14),"",'Control Entry'!B14)</f>
        <v>0.35416666666666669</v>
      </c>
      <c r="T20" s="159"/>
      <c r="U20" s="159"/>
    </row>
    <row r="21" spans="1:22" ht="36" customHeight="1" x14ac:dyDescent="0.4">
      <c r="A21" s="28"/>
      <c r="B21" s="29" t="str">
        <f>'Control Entry'!N61</f>
        <v/>
      </c>
      <c r="C21" s="29" t="str">
        <f>'Control Entry'!O61</f>
        <v/>
      </c>
      <c r="D21" s="36"/>
      <c r="E21" s="31" t="str">
        <f>IF(ISBLANK('Control Entry'!F61),"",'Control Entry'!F61)</f>
        <v/>
      </c>
      <c r="F21" s="95" t="str">
        <f>IF(ISBLANK('Control Entry'!I61),"",'Control Entry'!I61)</f>
        <v/>
      </c>
      <c r="G21" s="96"/>
      <c r="H21" s="26" t="s">
        <v>26</v>
      </c>
      <c r="J21" s="184" t="s">
        <v>85</v>
      </c>
      <c r="K21" s="184"/>
      <c r="L21" s="184"/>
      <c r="M21" s="184"/>
      <c r="N21" s="184"/>
      <c r="O21" s="184"/>
      <c r="P21" s="184"/>
      <c r="Q21" s="184"/>
      <c r="R21" s="184"/>
      <c r="S21" s="184"/>
      <c r="T21" s="184"/>
      <c r="U21" s="184"/>
      <c r="V21" s="27"/>
    </row>
    <row r="22" spans="1:22" ht="36" customHeight="1" thickBot="1" x14ac:dyDescent="0.4">
      <c r="A22" s="37" t="str">
        <f>IF(ISBLANK('Control Entry'!D61),"",'Control Entry'!D61)</f>
        <v/>
      </c>
      <c r="B22" s="38" t="str">
        <f>'Control Entry'!N61</f>
        <v/>
      </c>
      <c r="C22" s="38" t="str">
        <f>'Control Entry'!O61</f>
        <v/>
      </c>
      <c r="D22" s="39" t="str">
        <f>IF(ISBLANK('Control Entry'!E61),"",'Control Entry'!E61)</f>
        <v/>
      </c>
      <c r="E22" s="31" t="str">
        <f>IF(ISBLANK('Control Entry'!G61),"",'Control Entry'!G61)</f>
        <v/>
      </c>
      <c r="F22" s="95" t="str">
        <f>IF(ISBLANK('Control Entry'!J61),"",'Control Entry'!J61)</f>
        <v/>
      </c>
      <c r="G22" s="96"/>
      <c r="H22" s="26" t="s">
        <v>26</v>
      </c>
      <c r="J22" s="17" t="s">
        <v>42</v>
      </c>
      <c r="K22" s="17"/>
      <c r="L22" s="18"/>
      <c r="M22" s="162"/>
      <c r="N22" s="162"/>
      <c r="O22" s="162"/>
      <c r="P22" s="17" t="s">
        <v>1</v>
      </c>
      <c r="Q22" s="17"/>
      <c r="R22" s="18"/>
      <c r="S22" s="162"/>
      <c r="T22" s="162"/>
      <c r="U22" s="162"/>
    </row>
    <row r="23" spans="1:22" ht="36" customHeight="1" thickBot="1" x14ac:dyDescent="0.4">
      <c r="A23" s="32"/>
      <c r="B23" s="33" t="str">
        <f>'Control Entry'!N61</f>
        <v/>
      </c>
      <c r="C23" s="33" t="str">
        <f>'Control Entry'!O61</f>
        <v/>
      </c>
      <c r="D23" s="34"/>
      <c r="E23" s="35" t="str">
        <f>IF(ISBLANK('Control Entry'!H61),"",'Control Entry'!H61)</f>
        <v/>
      </c>
      <c r="F23" s="100" t="str">
        <f>IF(ISBLANK('Control Entry'!K61),"",'Control Entry'!K61)</f>
        <v/>
      </c>
      <c r="G23" s="99"/>
      <c r="H23" s="26" t="s">
        <v>26</v>
      </c>
      <c r="J23" s="80"/>
      <c r="K23" s="80"/>
      <c r="L23" s="56"/>
      <c r="M23" s="56"/>
      <c r="N23" s="56"/>
      <c r="O23" s="21"/>
      <c r="P23" s="55"/>
      <c r="Q23" s="55"/>
      <c r="R23" s="21"/>
      <c r="S23" s="21"/>
      <c r="T23" s="21"/>
      <c r="U23" s="21"/>
      <c r="V23" s="27"/>
    </row>
    <row r="24" spans="1:22" ht="36" customHeight="1" thickBot="1" x14ac:dyDescent="0.4">
      <c r="A24" s="28"/>
      <c r="B24" s="29" t="str">
        <f>'Control Entry'!N62</f>
        <v/>
      </c>
      <c r="C24" s="29" t="str">
        <f>'Control Entry'!O62</f>
        <v/>
      </c>
      <c r="D24" s="36"/>
      <c r="E24" s="31" t="str">
        <f>IF(ISBLANK('Control Entry'!F62),"",'Control Entry'!F62)</f>
        <v/>
      </c>
      <c r="F24" s="95" t="str">
        <f>IF(ISBLANK('Control Entry'!I62),"",'Control Entry'!I62)</f>
        <v/>
      </c>
      <c r="G24" s="96"/>
      <c r="H24" s="26" t="s">
        <v>26</v>
      </c>
      <c r="J24" s="162"/>
      <c r="K24" s="162"/>
      <c r="L24" s="162"/>
      <c r="M24" s="162"/>
      <c r="N24" s="162"/>
      <c r="O24" s="18"/>
      <c r="P24" s="17" t="s">
        <v>2</v>
      </c>
      <c r="Q24" s="17"/>
      <c r="R24" s="18"/>
      <c r="S24" s="162"/>
      <c r="T24" s="162"/>
      <c r="U24" s="162"/>
    </row>
    <row r="25" spans="1:22" ht="36" customHeight="1" x14ac:dyDescent="0.3">
      <c r="A25" s="37" t="str">
        <f>IF(ISBLANK('Control Entry'!D62),"",'Control Entry'!D62)</f>
        <v/>
      </c>
      <c r="B25" s="38" t="str">
        <f>'Control Entry'!N62</f>
        <v/>
      </c>
      <c r="C25" s="38" t="str">
        <f>'Control Entry'!O62</f>
        <v/>
      </c>
      <c r="D25" s="39" t="str">
        <f>IF(ISBLANK('Control Entry'!E62),"",'Control Entry'!E62)</f>
        <v/>
      </c>
      <c r="E25" s="31" t="str">
        <f>IF(ISBLANK('Control Entry'!G62),"",'Control Entry'!G62)</f>
        <v/>
      </c>
      <c r="F25" s="95" t="str">
        <f>IF(ISBLANK('Control Entry'!J62),"",'Control Entry'!J62)</f>
        <v/>
      </c>
      <c r="G25" s="96"/>
      <c r="H25" s="26" t="s">
        <v>26</v>
      </c>
      <c r="J25" s="171" t="s">
        <v>17</v>
      </c>
      <c r="K25" s="171"/>
      <c r="L25" s="171"/>
      <c r="M25" s="171"/>
      <c r="N25" s="171"/>
      <c r="O25" s="50"/>
      <c r="P25" s="137"/>
      <c r="Q25" s="137"/>
      <c r="R25" s="50"/>
      <c r="S25" s="135"/>
      <c r="T25" s="135"/>
      <c r="U25" s="135"/>
      <c r="V25" s="135"/>
    </row>
    <row r="26" spans="1:22" ht="36" customHeight="1" thickBot="1" x14ac:dyDescent="0.4">
      <c r="A26" s="32"/>
      <c r="B26" s="33" t="str">
        <f>'Control Entry'!N62</f>
        <v/>
      </c>
      <c r="C26" s="33" t="str">
        <f>'Control Entry'!O62</f>
        <v/>
      </c>
      <c r="D26" s="34"/>
      <c r="E26" s="35" t="str">
        <f>IF(ISBLANK('Control Entry'!H62),"",'Control Entry'!H62)</f>
        <v/>
      </c>
      <c r="F26" s="100" t="str">
        <f>IF(ISBLANK('Control Entry'!K62),"",'Control Entry'!K62)</f>
        <v/>
      </c>
      <c r="G26" s="99"/>
      <c r="H26" s="26" t="s">
        <v>26</v>
      </c>
    </row>
    <row r="27" spans="1:22" ht="36" customHeight="1" x14ac:dyDescent="0.35">
      <c r="A27" s="28"/>
      <c r="B27" s="29" t="str">
        <f>'Control Entry'!N63</f>
        <v/>
      </c>
      <c r="C27" s="29" t="str">
        <f>'Control Entry'!O63</f>
        <v/>
      </c>
      <c r="D27" s="36"/>
      <c r="E27" s="31" t="str">
        <f>IF(ISBLANK('Control Entry'!F63),"",'Control Entry'!F63)</f>
        <v/>
      </c>
      <c r="F27" s="95" t="str">
        <f>IF(ISBLANK('Control Entry'!I63),"",'Control Entry'!I63)</f>
        <v/>
      </c>
      <c r="G27" s="96"/>
      <c r="H27" s="26" t="s">
        <v>26</v>
      </c>
      <c r="K27" s="144" t="s">
        <v>53</v>
      </c>
      <c r="L27" s="137"/>
      <c r="M27" s="49" t="s">
        <v>54</v>
      </c>
      <c r="N27" s="137" t="s">
        <v>46</v>
      </c>
      <c r="O27" s="137"/>
      <c r="P27" s="137" t="s">
        <v>47</v>
      </c>
      <c r="Q27" s="137"/>
      <c r="R27" s="50" t="s">
        <v>48</v>
      </c>
      <c r="S27" s="135" t="s">
        <v>49</v>
      </c>
      <c r="T27" s="135"/>
      <c r="U27" s="135" t="s">
        <v>50</v>
      </c>
      <c r="V27" s="135"/>
    </row>
    <row r="28" spans="1:22" ht="36" customHeight="1" x14ac:dyDescent="0.3">
      <c r="A28" s="37" t="str">
        <f>IF(ISBLANK('Control Entry'!D63),"",'Control Entry'!D63)</f>
        <v/>
      </c>
      <c r="B28" s="38" t="str">
        <f>'Control Entry'!N63</f>
        <v/>
      </c>
      <c r="C28" s="38" t="str">
        <f>'Control Entry'!O63</f>
        <v/>
      </c>
      <c r="D28" s="39" t="str">
        <f>IF(ISBLANK('Control Entry'!E63),"",'Control Entry'!E63)</f>
        <v/>
      </c>
      <c r="E28" s="31" t="str">
        <f>IF(ISBLANK('Control Entry'!G63),"",'Control Entry'!G63)</f>
        <v/>
      </c>
      <c r="F28" s="95" t="str">
        <f>IF(ISBLANK('Control Entry'!J63),"",'Control Entry'!J63)</f>
        <v/>
      </c>
      <c r="G28" s="96"/>
      <c r="H28" s="26" t="s">
        <v>26</v>
      </c>
    </row>
    <row r="29" spans="1:22" ht="36" customHeight="1" thickBot="1" x14ac:dyDescent="0.4">
      <c r="A29" s="32"/>
      <c r="B29" s="33" t="str">
        <f>'Control Entry'!N63</f>
        <v/>
      </c>
      <c r="C29" s="33" t="str">
        <f>'Control Entry'!O63</f>
        <v/>
      </c>
      <c r="D29" s="34"/>
      <c r="E29" s="35" t="str">
        <f>IF(ISBLANK('Control Entry'!H63),"",'Control Entry'!H63)</f>
        <v/>
      </c>
      <c r="F29" s="100" t="str">
        <f>IF(ISBLANK('Control Entry'!K63),"",'Control Entry'!K63)</f>
        <v/>
      </c>
      <c r="G29" s="99"/>
      <c r="H29" s="26" t="s">
        <v>26</v>
      </c>
      <c r="M29" s="136" t="s">
        <v>39</v>
      </c>
      <c r="N29" s="136"/>
      <c r="O29" s="136"/>
      <c r="P29" s="136"/>
      <c r="Q29" s="136"/>
      <c r="R29" s="136"/>
      <c r="S29" s="136"/>
      <c r="T29" s="136"/>
      <c r="U29" s="53"/>
    </row>
    <row r="30" spans="1:22" ht="36" customHeight="1" x14ac:dyDescent="0.35">
      <c r="A30" s="28"/>
      <c r="B30" s="29" t="str">
        <f>'Control Entry'!N64</f>
        <v/>
      </c>
      <c r="C30" s="29" t="str">
        <f>'Control Entry'!O64</f>
        <v/>
      </c>
      <c r="D30" s="36"/>
      <c r="E30" s="31" t="str">
        <f>IF(ISBLANK('Control Entry'!F64),"",'Control Entry'!F64)</f>
        <v/>
      </c>
      <c r="F30" s="95" t="str">
        <f>IF(ISBLANK('Control Entry'!I64),"",'Control Entry'!I64)</f>
        <v/>
      </c>
      <c r="G30" s="96"/>
      <c r="H30" s="26" t="s">
        <v>26</v>
      </c>
      <c r="M30" s="15"/>
      <c r="N30" s="19"/>
      <c r="O30" s="19"/>
      <c r="P30" s="20"/>
      <c r="Q30" s="102"/>
      <c r="R30" s="19"/>
      <c r="S30" s="19"/>
      <c r="T30" s="20"/>
      <c r="U30" s="21"/>
    </row>
    <row r="31" spans="1:22" ht="36" customHeight="1" x14ac:dyDescent="0.3">
      <c r="A31" s="37" t="str">
        <f>IF(ISBLANK('Control Entry'!D64),"",'Control Entry'!D64)</f>
        <v/>
      </c>
      <c r="B31" s="38" t="str">
        <f>'Control Entry'!N64</f>
        <v/>
      </c>
      <c r="C31" s="38" t="str">
        <f>'Control Entry'!O64</f>
        <v/>
      </c>
      <c r="D31" s="39" t="str">
        <f>IF(ISBLANK('Control Entry'!E64),"",'Control Entry'!E64)</f>
        <v/>
      </c>
      <c r="E31" s="31" t="str">
        <f>IF(ISBLANK('Control Entry'!G64),"",'Control Entry'!G64)</f>
        <v/>
      </c>
      <c r="F31" s="95" t="str">
        <f>IF(ISBLANK('Control Entry'!J64),"",'Control Entry'!J64)</f>
        <v/>
      </c>
      <c r="G31" s="96"/>
      <c r="H31" s="26" t="s">
        <v>26</v>
      </c>
      <c r="M31" s="16"/>
      <c r="N31" s="21"/>
      <c r="O31" s="21"/>
      <c r="P31" s="22"/>
      <c r="Q31" s="103"/>
      <c r="R31" s="21"/>
      <c r="S31" s="21"/>
      <c r="T31" s="22"/>
      <c r="U31" s="21"/>
    </row>
    <row r="32" spans="1:22" ht="36" customHeight="1" thickBot="1" x14ac:dyDescent="0.4">
      <c r="A32" s="32"/>
      <c r="B32" s="33" t="str">
        <f>'Control Entry'!N64</f>
        <v/>
      </c>
      <c r="C32" s="33" t="str">
        <f>'Control Entry'!O64</f>
        <v/>
      </c>
      <c r="D32" s="34"/>
      <c r="E32" s="35" t="str">
        <f>IF(ISBLANK('Control Entry'!H64),"",'Control Entry'!H64)</f>
        <v/>
      </c>
      <c r="F32" s="100" t="str">
        <f>IF(ISBLANK('Control Entry'!K64),"",'Control Entry'!K64)</f>
        <v/>
      </c>
      <c r="G32" s="99"/>
      <c r="H32" s="26" t="s">
        <v>26</v>
      </c>
      <c r="M32" s="150" t="s">
        <v>78</v>
      </c>
      <c r="N32" s="151"/>
      <c r="O32" s="151"/>
      <c r="P32" s="152"/>
      <c r="Q32" s="153">
        <f>'Control Entry'!B3</f>
        <v>44990</v>
      </c>
      <c r="R32" s="154"/>
      <c r="S32" s="154"/>
      <c r="T32" s="155"/>
      <c r="U32" s="21"/>
    </row>
    <row r="33" spans="1:22" ht="36" customHeight="1" x14ac:dyDescent="0.35">
      <c r="A33" s="143" t="s">
        <v>40</v>
      </c>
      <c r="B33" s="143"/>
      <c r="C33" s="143"/>
      <c r="D33" s="143"/>
      <c r="E33" s="143"/>
      <c r="F33" s="143"/>
      <c r="G33" s="143"/>
      <c r="H33" s="40"/>
      <c r="I33" s="40"/>
      <c r="M33" s="138" t="s">
        <v>81</v>
      </c>
      <c r="N33" s="139"/>
      <c r="O33" s="139"/>
      <c r="P33" s="139"/>
      <c r="Q33" s="140">
        <f>'Control Entry'!B4</f>
        <v>44992</v>
      </c>
      <c r="R33" s="141"/>
      <c r="S33" s="141"/>
      <c r="T33" s="141"/>
      <c r="U33" s="90"/>
      <c r="V33" s="56"/>
    </row>
    <row r="34" spans="1:22" ht="36" customHeight="1" x14ac:dyDescent="0.35">
      <c r="A34"/>
      <c r="O34" s="46"/>
      <c r="P34" s="46"/>
      <c r="Q34" s="46"/>
      <c r="R34" s="45"/>
    </row>
    <row r="35" spans="1:22" ht="36" customHeight="1" x14ac:dyDescent="0.25">
      <c r="A35"/>
      <c r="N35" s="136"/>
      <c r="O35" s="136"/>
      <c r="P35" s="136"/>
      <c r="Q35" s="136"/>
      <c r="R35" s="136"/>
      <c r="S35" s="136"/>
      <c r="T35" s="136"/>
      <c r="U35" s="136"/>
    </row>
    <row r="36" spans="1:22" ht="36" customHeight="1" x14ac:dyDescent="0.25">
      <c r="A36"/>
      <c r="N36" s="27"/>
      <c r="O36" s="21"/>
      <c r="P36" s="21"/>
      <c r="Q36" s="21"/>
      <c r="R36" s="21"/>
      <c r="S36" s="21"/>
      <c r="T36" s="21"/>
      <c r="U36" s="21"/>
    </row>
    <row r="37" spans="1:22" ht="36" customHeight="1" x14ac:dyDescent="0.25">
      <c r="A37"/>
      <c r="N37" s="27"/>
      <c r="O37" s="21"/>
      <c r="P37" s="21"/>
      <c r="Q37" s="21"/>
      <c r="R37" s="21"/>
      <c r="S37" s="21"/>
      <c r="T37" s="21"/>
      <c r="U37" s="21"/>
    </row>
    <row r="38" spans="1:22" ht="36" customHeight="1" x14ac:dyDescent="0.35">
      <c r="A38"/>
      <c r="N38" s="54"/>
      <c r="O38" s="21"/>
      <c r="P38" s="21"/>
      <c r="Q38" s="21"/>
      <c r="R38" s="21"/>
      <c r="S38" s="21"/>
      <c r="T38" s="21"/>
      <c r="U38" s="21"/>
    </row>
    <row r="39" spans="1:22" ht="36" customHeight="1" x14ac:dyDescent="0.25">
      <c r="A39"/>
    </row>
    <row r="40" spans="1:22" ht="36" customHeight="1" x14ac:dyDescent="0.25">
      <c r="A40"/>
    </row>
  </sheetData>
  <sheetProtection algorithmName="SHA-512" hashValue="m+5DxS5z0jGPz2enrJCRgFwjkf0y6S+KVRFuN1IjzuBtg7DxgRkCvJA9CD6YWcWRfvJNtgkjCl2dSguY7geJVQ==" saltValue="ged3XotTQX8HcL4AYG6aUg==" spinCount="100000" sheet="1" objects="1" scenarios="1" formatCells="0" selectLockedCells="1"/>
  <mergeCells count="42">
    <mergeCell ref="J21:U21"/>
    <mergeCell ref="L11:N11"/>
    <mergeCell ref="S11:U11"/>
    <mergeCell ref="A1:G1"/>
    <mergeCell ref="K2:U2"/>
    <mergeCell ref="O3:R3"/>
    <mergeCell ref="M4:T4"/>
    <mergeCell ref="N5:O5"/>
    <mergeCell ref="R5:U5"/>
    <mergeCell ref="L6:U6"/>
    <mergeCell ref="L8:Q8"/>
    <mergeCell ref="T8:U8"/>
    <mergeCell ref="L9:U9"/>
    <mergeCell ref="L10:U10"/>
    <mergeCell ref="J25:N25"/>
    <mergeCell ref="P25:Q25"/>
    <mergeCell ref="S25:T25"/>
    <mergeCell ref="U25:V25"/>
    <mergeCell ref="L12:N12"/>
    <mergeCell ref="S12:U12"/>
    <mergeCell ref="L13:N13"/>
    <mergeCell ref="R13:U13"/>
    <mergeCell ref="L15:U15"/>
    <mergeCell ref="L16:U16"/>
    <mergeCell ref="L20:N20"/>
    <mergeCell ref="S20:U20"/>
    <mergeCell ref="S22:U22"/>
    <mergeCell ref="J24:N24"/>
    <mergeCell ref="S24:U24"/>
    <mergeCell ref="M22:O22"/>
    <mergeCell ref="A33:G33"/>
    <mergeCell ref="M33:P33"/>
    <mergeCell ref="Q33:T33"/>
    <mergeCell ref="N35:U35"/>
    <mergeCell ref="K27:L27"/>
    <mergeCell ref="N27:O27"/>
    <mergeCell ref="P27:Q27"/>
    <mergeCell ref="S27:T27"/>
    <mergeCell ref="U27:V27"/>
    <mergeCell ref="M29:T29"/>
    <mergeCell ref="M32:P32"/>
    <mergeCell ref="Q32:T32"/>
  </mergeCells>
  <conditionalFormatting sqref="K27:V27">
    <cfRule type="expression" dxfId="6" priority="7">
      <formula>$S$3="#2"</formula>
    </cfRule>
    <cfRule type="expression" dxfId="5" priority="8">
      <formula>$S$3="#4"</formula>
    </cfRule>
  </conditionalFormatting>
  <conditionalFormatting sqref="P22:U24">
    <cfRule type="expression" dxfId="4" priority="5">
      <formula>$S$3="#2"</formula>
    </cfRule>
    <cfRule type="expression" dxfId="3" priority="6">
      <formula>$S$3="#4"</formula>
    </cfRule>
  </conditionalFormatting>
  <conditionalFormatting sqref="J22:O22">
    <cfRule type="expression" dxfId="2" priority="3">
      <formula>$S$3="#2"</formula>
    </cfRule>
    <cfRule type="expression" dxfId="1" priority="4">
      <formula>$S$3="#4"</formula>
    </cfRule>
  </conditionalFormatting>
  <conditionalFormatting sqref="J21:U21">
    <cfRule type="expression" dxfId="0" priority="2">
      <formula>AND($S$3&lt;&gt;"#2",$S$3&lt;&gt;"#4")</formula>
    </cfRule>
  </conditionalFormatting>
  <printOptions horizontalCentered="1" verticalCentered="1"/>
  <pageMargins left="0.2" right="0.2" top="0.2" bottom="0.2" header="0.51" footer="0.51"/>
  <pageSetup scale="44" orientation="landscape" horizontalDpi="4294967292" verticalDpi="4294967292"/>
  <headerFooter>
    <oddFooter>&amp;C_x000D_&amp;1#&amp;"Calibri"&amp;6&amp;K626469 Public</oddFooter>
  </headerFooter>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31</vt:i4>
      </vt:variant>
    </vt:vector>
  </HeadingPairs>
  <TitlesOfParts>
    <vt:vector size="36" baseType="lpstr">
      <vt:lpstr>Control Entry</vt:lpstr>
      <vt:lpstr>Control Card #1</vt:lpstr>
      <vt:lpstr>Control Card #2</vt:lpstr>
      <vt:lpstr>Control Card #3</vt:lpstr>
      <vt:lpstr>Control Card #4</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'Control Card #2'!Print_Area</vt:lpstr>
      <vt:lpstr>'Control Card #1'!Print_Titles</vt:lpstr>
      <vt:lpstr>'Control Card #2'!Print_Titles</vt:lpstr>
      <vt:lpstr>'Control Card #3'!Print_Titles</vt:lpstr>
      <vt:lpstr>'Control Card #4'!Print_Titles</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Markus Hirschbold</cp:lastModifiedBy>
  <cp:lastPrinted>2024-09-27T14:48:43Z</cp:lastPrinted>
  <dcterms:created xsi:type="dcterms:W3CDTF">1997-11-12T04:43:39Z</dcterms:created>
  <dcterms:modified xsi:type="dcterms:W3CDTF">2024-09-27T14:55:45Z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3507802-f8e4-4e38-829c-ac8ea9b241e4_Enabled">
    <vt:lpwstr>true</vt:lpwstr>
  </property>
  <property fmtid="{D5CDD505-2E9C-101B-9397-08002B2CF9AE}" pid="3" name="MSIP_Label_23507802-f8e4-4e38-829c-ac8ea9b241e4_SetDate">
    <vt:lpwstr>2024-02-08T21:42:21Z</vt:lpwstr>
  </property>
  <property fmtid="{D5CDD505-2E9C-101B-9397-08002B2CF9AE}" pid="4" name="MSIP_Label_23507802-f8e4-4e38-829c-ac8ea9b241e4_Method">
    <vt:lpwstr>Privileged</vt:lpwstr>
  </property>
  <property fmtid="{D5CDD505-2E9C-101B-9397-08002B2CF9AE}" pid="5" name="MSIP_Label_23507802-f8e4-4e38-829c-ac8ea9b241e4_Name">
    <vt:lpwstr>Public v2</vt:lpwstr>
  </property>
  <property fmtid="{D5CDD505-2E9C-101B-9397-08002B2CF9AE}" pid="6" name="MSIP_Label_23507802-f8e4-4e38-829c-ac8ea9b241e4_SiteId">
    <vt:lpwstr>6e51e1ad-c54b-4b39-b598-0ffe9ae68fef</vt:lpwstr>
  </property>
  <property fmtid="{D5CDD505-2E9C-101B-9397-08002B2CF9AE}" pid="7" name="MSIP_Label_23507802-f8e4-4e38-829c-ac8ea9b241e4_ActionId">
    <vt:lpwstr>1aa42ac3-3a6f-406a-99b2-582ea314387b</vt:lpwstr>
  </property>
  <property fmtid="{D5CDD505-2E9C-101B-9397-08002B2CF9AE}" pid="8" name="MSIP_Label_23507802-f8e4-4e38-829c-ac8ea9b241e4_ContentBits">
    <vt:lpwstr>2</vt:lpwstr>
  </property>
</Properties>
</file>