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C:\Markus_Files\BC Randonneurs\BCR 5496\"/>
    </mc:Choice>
  </mc:AlternateContent>
  <xr:revisionPtr revIDLastSave="0" documentId="13_ncr:1_{FF0DFF96-743A-4959-80DC-264307CEEBB1}" xr6:coauthVersionLast="47" xr6:coauthVersionMax="47" xr10:uidLastSave="{00000000-0000-0000-0000-000000000000}"/>
  <bookViews>
    <workbookView xWindow="14235" yWindow="-17550" windowWidth="30960" windowHeight="16920" tabRatio="508" activeTab="1"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Entry'!$B$9</definedName>
    <definedName name="Brevet_Length">'Control Entry'!$B$6</definedName>
    <definedName name="Brevet_Number">'Control Entry'!$B$10</definedName>
    <definedName name="City" localSheetId="2">#REF!</definedName>
    <definedName name="City" localSheetId="3">#REF!</definedName>
    <definedName name="City" localSheetId="4">#REF!</definedName>
    <definedName name="City">#REF!</definedName>
    <definedName name="Close">'Control Entry'!$M$16:$M$25</definedName>
    <definedName name="Close_time">'Control Entry'!$O$16:$O$25</definedName>
    <definedName name="Control_1">'Control Entry'!$D$16:$O$16</definedName>
    <definedName name="Control_10">'Control Entry'!$D$25:$O$25</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Entry'!$D$17:$O$17</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Entry'!$D$18:$O$18</definedName>
    <definedName name="Control_4">'Control Entry'!$D$19:$O$19</definedName>
    <definedName name="Control_5">'Control Entry'!$D$20:$O$20</definedName>
    <definedName name="Control_6">'Control Entry'!$D$21:$O$21</definedName>
    <definedName name="Control_7">'Control Entry'!$D$22:$O$22</definedName>
    <definedName name="Control_8">'Control Entry'!$D$23:$O$23</definedName>
    <definedName name="Control_9">'Control Entry'!$D$24:$O$24</definedName>
    <definedName name="Country" localSheetId="2">#REF!</definedName>
    <definedName name="Country" localSheetId="3">#REF!</definedName>
    <definedName name="Country" localSheetId="4">#REF!</definedName>
    <definedName name="Country">#REF!</definedName>
    <definedName name="Distance">'Control Entry'!$D$16:$D$25</definedName>
    <definedName name="email" localSheetId="2">#REF!</definedName>
    <definedName name="email" localSheetId="3">#REF!</definedName>
    <definedName name="email" localSheetId="4">#REF!</definedName>
    <definedName name="email">#REF!</definedName>
    <definedName name="Establishment_1">'Control Entry'!$F$16:$F$25</definedName>
    <definedName name="Establishment_2">'Control Entry'!$G$16:$G$25</definedName>
    <definedName name="Establishment_3">'Control Entry'!$H$16:$H$25</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Entry'!$E$16:$E$25</definedName>
    <definedName name="Max_time">'Control Entry'!$B$8</definedName>
    <definedName name="Open">'Control Entry'!$L$16:$L$25</definedName>
    <definedName name="Open_time">'Control Entry'!$N$16:$N$25</definedName>
    <definedName name="Postal_Code" localSheetId="2">#REF!</definedName>
    <definedName name="Postal_Code" localSheetId="3">#REF!</definedName>
    <definedName name="Postal_Code" localSheetId="4">#REF!</definedName>
    <definedName name="Postal_Code">#REF!</definedName>
    <definedName name="_xlnm.Print_Area" localSheetId="2">'Control Card #2'!$A$1:$T$35</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Entry'!$B$13</definedName>
    <definedName name="Start_time">'Control Entry'!$B$14</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8" i="1" l="1"/>
  <c r="L19" i="1"/>
  <c r="L20" i="1"/>
  <c r="L21" i="1"/>
  <c r="L22" i="1"/>
  <c r="L23" i="1"/>
  <c r="L17" i="1"/>
  <c r="K9" i="1"/>
  <c r="M19" i="1"/>
  <c r="M20" i="1"/>
  <c r="M21" i="1"/>
  <c r="M22" i="1"/>
  <c r="M23" i="1"/>
  <c r="M18" i="1"/>
  <c r="M17" i="1"/>
  <c r="L11" i="1"/>
  <c r="D9" i="2"/>
  <c r="F32" i="5"/>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Q3" i="3"/>
  <c r="S3" i="2"/>
  <c r="Q33" i="5"/>
  <c r="Q32" i="5"/>
  <c r="S20" i="5"/>
  <c r="L20" i="5"/>
  <c r="L6" i="5"/>
  <c r="R5" i="5"/>
  <c r="P5" i="5"/>
  <c r="L64" i="1"/>
  <c r="L63" i="1"/>
  <c r="L62" i="1"/>
  <c r="L61" i="1"/>
  <c r="L60" i="1"/>
  <c r="L59" i="1"/>
  <c r="L58" i="1"/>
  <c r="L57" i="1"/>
  <c r="L56" i="1"/>
  <c r="M55" i="1"/>
  <c r="L55" i="1"/>
  <c r="Q33" i="4"/>
  <c r="Q32" i="4"/>
  <c r="Q33" i="2"/>
  <c r="Q32" i="2"/>
  <c r="M47" i="1"/>
  <c r="M48" i="1"/>
  <c r="M49" i="1"/>
  <c r="M50" i="1"/>
  <c r="M51" i="1"/>
  <c r="M42" i="1"/>
  <c r="M34" i="1"/>
  <c r="M35" i="1"/>
  <c r="M36" i="1"/>
  <c r="M37" i="1"/>
  <c r="M38" i="1"/>
  <c r="M24" i="1"/>
  <c r="M25" i="1"/>
  <c r="S20" i="4"/>
  <c r="L20" i="4"/>
  <c r="S20" i="2"/>
  <c r="L20" i="2"/>
  <c r="F32" i="4"/>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c r="F11" i="4"/>
  <c r="F10" i="4"/>
  <c r="F9" i="4"/>
  <c r="E11" i="4"/>
  <c r="E10" i="4"/>
  <c r="E9" i="4"/>
  <c r="D10" i="4"/>
  <c r="A10" i="4"/>
  <c r="F8" i="4"/>
  <c r="F7" i="4"/>
  <c r="F6" i="4"/>
  <c r="E8" i="4"/>
  <c r="E7" i="4"/>
  <c r="E6" i="4"/>
  <c r="D7" i="4"/>
  <c r="A7" i="4"/>
  <c r="F5" i="4"/>
  <c r="F4" i="4"/>
  <c r="F3" i="4"/>
  <c r="E4" i="4"/>
  <c r="E3" i="4"/>
  <c r="D4" i="4"/>
  <c r="A4" i="4"/>
  <c r="L51" i="1"/>
  <c r="L50" i="1"/>
  <c r="L49" i="1"/>
  <c r="L48" i="1"/>
  <c r="L47" i="1"/>
  <c r="L46" i="1"/>
  <c r="L45" i="1"/>
  <c r="L44" i="1"/>
  <c r="L43" i="1"/>
  <c r="L42" i="1"/>
  <c r="L6" i="4"/>
  <c r="R5" i="4"/>
  <c r="P5" i="4"/>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6" i="1"/>
  <c r="N16" i="1" s="1"/>
  <c r="L38" i="1"/>
  <c r="L37" i="1"/>
  <c r="L36" i="1"/>
  <c r="L35" i="1"/>
  <c r="L34" i="1"/>
  <c r="L33" i="1"/>
  <c r="L32" i="1"/>
  <c r="L31" i="1"/>
  <c r="L30" i="1"/>
  <c r="L29" i="1"/>
  <c r="K33" i="3"/>
  <c r="K32" i="3"/>
  <c r="K31" i="3"/>
  <c r="K30" i="3"/>
  <c r="K29" i="3"/>
  <c r="K28" i="3"/>
  <c r="K27" i="3"/>
  <c r="K26" i="3"/>
  <c r="K25" i="3"/>
  <c r="K24" i="3"/>
  <c r="K23" i="3"/>
  <c r="K22" i="3"/>
  <c r="K21" i="3"/>
  <c r="K20" i="3"/>
  <c r="K19" i="3"/>
  <c r="K18" i="3"/>
  <c r="K17" i="3"/>
  <c r="K16" i="3"/>
  <c r="K15" i="3"/>
  <c r="K14" i="3"/>
  <c r="K13" i="3"/>
  <c r="K12" i="3"/>
  <c r="K11" i="3"/>
  <c r="K10" i="3"/>
  <c r="K8" i="3"/>
  <c r="K9" i="3"/>
  <c r="K6" i="3"/>
  <c r="K7" i="3"/>
  <c r="K5" i="3"/>
  <c r="K4" i="3"/>
  <c r="J33" i="3"/>
  <c r="J32" i="3"/>
  <c r="J31" i="3"/>
  <c r="J30" i="3"/>
  <c r="J29" i="3"/>
  <c r="J28" i="3"/>
  <c r="J27" i="3"/>
  <c r="J26" i="3"/>
  <c r="J25" i="3"/>
  <c r="J24" i="3"/>
  <c r="J23" i="3"/>
  <c r="J22" i="3"/>
  <c r="J21" i="3"/>
  <c r="J20" i="3"/>
  <c r="J19" i="3"/>
  <c r="J18" i="3"/>
  <c r="J17" i="3"/>
  <c r="J16" i="3"/>
  <c r="C6" i="1"/>
  <c r="M4" i="5" s="1"/>
  <c r="I32" i="3"/>
  <c r="I29" i="3"/>
  <c r="I26" i="3"/>
  <c r="I23" i="3"/>
  <c r="I20" i="3"/>
  <c r="I17" i="3"/>
  <c r="B32" i="3"/>
  <c r="B29" i="3"/>
  <c r="B26" i="3"/>
  <c r="B23" i="3"/>
  <c r="B20" i="3"/>
  <c r="B17" i="3"/>
  <c r="L25" i="1"/>
  <c r="L24" i="1"/>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3" i="2"/>
  <c r="D25" i="2"/>
  <c r="D28" i="2"/>
  <c r="D31" i="2"/>
  <c r="A31" i="2"/>
  <c r="A4" i="2"/>
  <c r="D19" i="2"/>
  <c r="D16" i="2"/>
  <c r="D13" i="2"/>
  <c r="D7" i="2"/>
  <c r="D4" i="2"/>
  <c r="D22" i="2"/>
  <c r="A28" i="2"/>
  <c r="A25" i="2"/>
  <c r="A22" i="2"/>
  <c r="A19" i="2"/>
  <c r="A10" i="2"/>
  <c r="A16" i="2"/>
  <c r="A13" i="2"/>
  <c r="O51" i="1"/>
  <c r="C31" i="4" s="1"/>
  <c r="N51" i="1"/>
  <c r="B30" i="4" s="1"/>
  <c r="N62" i="1"/>
  <c r="B24" i="5" s="1"/>
  <c r="N61" i="1"/>
  <c r="B22" i="5" s="1"/>
  <c r="N60" i="1"/>
  <c r="B19" i="5" s="1"/>
  <c r="N64" i="1"/>
  <c r="B32" i="5" s="1"/>
  <c r="N59" i="1"/>
  <c r="B16" i="5" s="1"/>
  <c r="N63" i="1"/>
  <c r="B28" i="5" s="1"/>
  <c r="M64" i="1"/>
  <c r="O64" i="1"/>
  <c r="C32" i="5" s="1"/>
  <c r="M62" i="1"/>
  <c r="O62" i="1"/>
  <c r="C24" i="5" s="1"/>
  <c r="M60" i="1"/>
  <c r="O60" i="1"/>
  <c r="C19" i="5" s="1"/>
  <c r="M63" i="1"/>
  <c r="O63" i="1"/>
  <c r="C29" i="5" s="1"/>
  <c r="M61" i="1"/>
  <c r="O61" i="1"/>
  <c r="C23" i="5" s="1"/>
  <c r="M59" i="1"/>
  <c r="O59" i="1"/>
  <c r="C15" i="5" s="1"/>
  <c r="M29" i="1"/>
  <c r="M58" i="1"/>
  <c r="O58" i="1"/>
  <c r="C12" i="5" s="1"/>
  <c r="M56" i="1"/>
  <c r="O56" i="1"/>
  <c r="C8" i="5" s="1"/>
  <c r="M57" i="1"/>
  <c r="O57" i="1"/>
  <c r="C10" i="5" s="1"/>
  <c r="N57" i="1"/>
  <c r="B9" i="5" s="1"/>
  <c r="N58" i="1"/>
  <c r="B14" i="5" s="1"/>
  <c r="N56" i="1"/>
  <c r="B7" i="5" s="1"/>
  <c r="O55" i="1"/>
  <c r="C4" i="5" s="1"/>
  <c r="N55" i="1"/>
  <c r="B4" i="5" s="1"/>
  <c r="M43" i="1"/>
  <c r="M32" i="1"/>
  <c r="M44" i="1"/>
  <c r="O44" i="1"/>
  <c r="C9" i="4" s="1"/>
  <c r="M33" i="1"/>
  <c r="M45" i="1"/>
  <c r="O45" i="1"/>
  <c r="C12" i="4" s="1"/>
  <c r="M30" i="1"/>
  <c r="M46" i="1"/>
  <c r="M31" i="1"/>
  <c r="O47" i="1"/>
  <c r="C19" i="4" s="1"/>
  <c r="O46" i="1"/>
  <c r="C17" i="4" s="1"/>
  <c r="O48" i="1"/>
  <c r="C21" i="4" s="1"/>
  <c r="O49" i="1"/>
  <c r="C26" i="4" s="1"/>
  <c r="O50" i="1"/>
  <c r="C29" i="4" s="1"/>
  <c r="N49" i="1"/>
  <c r="B25" i="4" s="1"/>
  <c r="N43" i="1"/>
  <c r="B8" i="4" s="1"/>
  <c r="N48" i="1"/>
  <c r="B21" i="4" s="1"/>
  <c r="N44" i="1"/>
  <c r="B9" i="4" s="1"/>
  <c r="N46" i="1"/>
  <c r="B16" i="4" s="1"/>
  <c r="N50" i="1"/>
  <c r="B28" i="4" s="1"/>
  <c r="N47" i="1"/>
  <c r="B18" i="4" s="1"/>
  <c r="N45" i="1"/>
  <c r="B13" i="4" s="1"/>
  <c r="O43" i="1"/>
  <c r="C6" i="4" s="1"/>
  <c r="N42" i="1"/>
  <c r="B5" i="4" s="1"/>
  <c r="O42" i="1"/>
  <c r="C3" i="4" s="1"/>
  <c r="N32" i="1"/>
  <c r="O24" i="1"/>
  <c r="C27" i="2" s="1"/>
  <c r="N29" i="1"/>
  <c r="N35" i="1"/>
  <c r="O35" i="1"/>
  <c r="O34" i="1"/>
  <c r="N25" i="1"/>
  <c r="B31" i="2" s="1"/>
  <c r="N36" i="1"/>
  <c r="O38" i="1"/>
  <c r="N38" i="1"/>
  <c r="O25" i="1"/>
  <c r="C30" i="2" s="1"/>
  <c r="N30" i="1"/>
  <c r="N33" i="1"/>
  <c r="N24" i="1"/>
  <c r="B28" i="2" s="1"/>
  <c r="N31" i="1"/>
  <c r="N34" i="1"/>
  <c r="N37" i="1"/>
  <c r="O31" i="1"/>
  <c r="O30" i="1"/>
  <c r="O37" i="1"/>
  <c r="O33" i="1"/>
  <c r="O29" i="1"/>
  <c r="O36" i="1"/>
  <c r="O32" i="1"/>
  <c r="O19" i="1" l="1"/>
  <c r="C14" i="2" s="1"/>
  <c r="N22" i="1"/>
  <c r="B22" i="2" s="1"/>
  <c r="N23" i="1"/>
  <c r="B25" i="2" s="1"/>
  <c r="O20" i="1"/>
  <c r="M16" i="1"/>
  <c r="O16" i="1" s="1"/>
  <c r="C5" i="2" s="1"/>
  <c r="N21" i="1"/>
  <c r="B18" i="2" s="1"/>
  <c r="O22" i="1"/>
  <c r="C23" i="2" s="1"/>
  <c r="N20" i="1"/>
  <c r="B15" i="2" s="1"/>
  <c r="O21" i="1"/>
  <c r="C19" i="2" s="1"/>
  <c r="B22" i="4"/>
  <c r="B7" i="4"/>
  <c r="C5" i="4"/>
  <c r="B6" i="5"/>
  <c r="C32" i="4"/>
  <c r="B8" i="5"/>
  <c r="B30" i="2"/>
  <c r="B27" i="5"/>
  <c r="C23" i="4"/>
  <c r="B27" i="4"/>
  <c r="B29" i="5"/>
  <c r="C28" i="5"/>
  <c r="C13" i="4"/>
  <c r="C27" i="5"/>
  <c r="C9" i="5"/>
  <c r="C22" i="4"/>
  <c r="C7" i="5"/>
  <c r="C4" i="4"/>
  <c r="B23" i="4"/>
  <c r="C24" i="4"/>
  <c r="B17" i="5"/>
  <c r="B23" i="5"/>
  <c r="B20" i="4"/>
  <c r="B14" i="4"/>
  <c r="C25" i="4"/>
  <c r="B26" i="5"/>
  <c r="C16" i="5"/>
  <c r="C13" i="5"/>
  <c r="B25" i="5"/>
  <c r="B15" i="5"/>
  <c r="B19" i="4"/>
  <c r="B21" i="5"/>
  <c r="C11" i="4"/>
  <c r="B4" i="4"/>
  <c r="B12" i="5"/>
  <c r="C26" i="5"/>
  <c r="C10" i="4"/>
  <c r="B3" i="4"/>
  <c r="C17" i="5"/>
  <c r="B13" i="5"/>
  <c r="C25" i="5"/>
  <c r="B6" i="4"/>
  <c r="B29" i="4"/>
  <c r="B20" i="5"/>
  <c r="N19" i="1"/>
  <c r="B14" i="2" s="1"/>
  <c r="B5" i="2"/>
  <c r="N17" i="1"/>
  <c r="B7" i="2" s="1"/>
  <c r="B4" i="2"/>
  <c r="B3" i="2"/>
  <c r="B8" i="1"/>
  <c r="M4" i="2"/>
  <c r="O17" i="1"/>
  <c r="B32" i="2"/>
  <c r="B11" i="4"/>
  <c r="C3" i="5"/>
  <c r="O18" i="1"/>
  <c r="M4" i="4"/>
  <c r="C20" i="4"/>
  <c r="C5" i="5"/>
  <c r="B17" i="4"/>
  <c r="C16" i="4"/>
  <c r="C21" i="5"/>
  <c r="B31" i="4"/>
  <c r="B10" i="4"/>
  <c r="C14" i="4"/>
  <c r="C27" i="4"/>
  <c r="C30" i="4"/>
  <c r="C11" i="5"/>
  <c r="C6" i="5"/>
  <c r="B18" i="5"/>
  <c r="C20" i="5"/>
  <c r="B26" i="4"/>
  <c r="C30" i="5"/>
  <c r="C7" i="4"/>
  <c r="B24" i="4"/>
  <c r="B30" i="5"/>
  <c r="C31" i="5"/>
  <c r="B29" i="2"/>
  <c r="C8" i="4"/>
  <c r="C18" i="4"/>
  <c r="C28" i="4"/>
  <c r="B15" i="4"/>
  <c r="B12" i="4"/>
  <c r="B32" i="4"/>
  <c r="B3" i="5"/>
  <c r="C14" i="5"/>
  <c r="B10" i="5"/>
  <c r="B31" i="5"/>
  <c r="C22" i="5"/>
  <c r="C18" i="5"/>
  <c r="C15" i="4"/>
  <c r="B5" i="5"/>
  <c r="B11" i="5"/>
  <c r="C28" i="2"/>
  <c r="C29" i="2"/>
  <c r="C31" i="2"/>
  <c r="C32" i="2"/>
  <c r="N18" i="1"/>
  <c r="B27" i="2"/>
  <c r="O23" i="1" l="1"/>
  <c r="B21" i="2"/>
  <c r="B23" i="2"/>
  <c r="C17" i="2"/>
  <c r="C15" i="2"/>
  <c r="C16" i="2"/>
  <c r="B20" i="2"/>
  <c r="C3" i="2"/>
  <c r="B26" i="2"/>
  <c r="B24" i="2"/>
  <c r="C4" i="2"/>
  <c r="C20" i="2"/>
  <c r="B19" i="2"/>
  <c r="B17" i="2"/>
  <c r="C21" i="2"/>
  <c r="B16" i="2"/>
  <c r="C22" i="2"/>
  <c r="C18" i="2"/>
  <c r="C10" i="2"/>
  <c r="D11" i="3"/>
  <c r="D10" i="3"/>
  <c r="D12" i="3"/>
  <c r="C11" i="2"/>
  <c r="C9" i="2"/>
  <c r="C7" i="2"/>
  <c r="D7" i="3"/>
  <c r="D9" i="3"/>
  <c r="D8" i="3"/>
  <c r="C8" i="2"/>
  <c r="C6" i="2"/>
  <c r="C12" i="2"/>
  <c r="C13" i="2"/>
  <c r="D15" i="3"/>
  <c r="D14" i="3"/>
  <c r="D13" i="3"/>
  <c r="C11" i="3"/>
  <c r="C10" i="3"/>
  <c r="C12" i="3"/>
  <c r="B6" i="2"/>
  <c r="C7" i="3"/>
  <c r="B8" i="2"/>
  <c r="C9" i="3"/>
  <c r="C8" i="3"/>
  <c r="B13" i="2"/>
  <c r="C15" i="3"/>
  <c r="B12" i="2"/>
  <c r="C14" i="3"/>
  <c r="C13" i="3"/>
  <c r="B11" i="2"/>
  <c r="B10" i="2"/>
  <c r="B9" i="2"/>
  <c r="C25" i="2" l="1"/>
  <c r="C24" i="2"/>
  <c r="C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00000000-0006-0000-0000-000001000000}">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2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8" authorId="1" shapeId="0" xr:uid="{00000000-0006-0000-0000-000003000000}">
      <text>
        <r>
          <rPr>
            <sz val="8"/>
            <color rgb="FF000000"/>
            <rFont val="Tahoma"/>
            <family val="2"/>
          </rPr>
          <t>Autocalculated based on ACP specified times</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1"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00000000-0006-0000-0000-00000600000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4" authorId="0" shapeId="0" xr:uid="{00000000-0006-0000-0000-00000700000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<sst xmlns="http://schemas.openxmlformats.org/spreadsheetml/2006/main" count="377" uniqueCount="136">
  <si>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</si>
  <si>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</si>
  <si>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</si>
  <si>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</si>
  <si>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</si>
  <si>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</si>
  <si>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</si>
  <si>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</si>
  <si>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</si>
  <si>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</si>
  <si>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</si>
  <si>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</si>
  <si>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</si>
  <si>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</si>
  <si>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</si>
  <si>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</si>
  <si>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</si>
  <si>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</si>
  <si>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Maximum Time:</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</si>
  <si>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</si>
  <si>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</si>
  <si>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</si>
  <si>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</si>
  <si>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</si>
  <si>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</si>
  <si>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</si>
  <si>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</si>
  <si>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</si>
  <si>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</si>
  <si>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</si>
  <si>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</si>
  <si>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</si>
  <si>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</si>
  <si>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</si>
  <si>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</si>
  <si>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</si>
  <si>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</si>
  <si>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</si>
  <si>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</si>
  <si>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</si>
  <si>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</si>
  <si>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</si>
  <si>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</si>
  <si>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</si>
  <si>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</si>
  <si>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</si>
  <si>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</si>
  <si>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</si>
  <si>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</si>
  <si>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</si>
  <si>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</si>
  <si>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</si>
  <si>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</si>
  <si>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</si>
  <si>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</si>
  <si>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</si>
  <si>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</si>
  <si>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</si>
  <si>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</si>
  <si>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</si>
  <si>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</si>
  <si>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</si>
  <si>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</si>
  <si>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</si>
  <si>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</si>
  <si>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</si>
  <si>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</si>
  <si>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</si>
  <si>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</si>
  <si>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</si>
  <si>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</si>
  <si>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</si>
  <si>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</si>
  <si>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</si>
  <si>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</si>
  <si>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</si>
  <si>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</si>
  <si>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</si>
  <si>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</si>
  <si>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</si>
  <si>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</si>
  <si>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</si>
  <si>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</si>
  <si>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</si>
  <si>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</si>
  <si>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</si>
  <si>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 xml:space="preserve">Grando Control Card </t>
  </si>
  <si>
    <t>ACP</t>
  </si>
  <si>
    <t>RUSA</t>
  </si>
  <si>
    <t>AUDUX Australia</t>
  </si>
  <si>
    <t>Rider:___________________________________________________</t>
  </si>
  <si>
    <t>Member #:__________________</t>
  </si>
  <si>
    <t>Start date</t>
  </si>
  <si>
    <t>_______________________________________________________________________</t>
  </si>
  <si>
    <t>GRANDO Length:</t>
  </si>
  <si>
    <t>GRANDO Description:</t>
  </si>
  <si>
    <t>Event Number:</t>
  </si>
  <si>
    <t>Gravel Permanent - Iron Mine Bay</t>
  </si>
  <si>
    <t>ROYAL OAK</t>
  </si>
  <si>
    <t>SAANICH</t>
  </si>
  <si>
    <t>Information</t>
  </si>
  <si>
    <t>% Unpaved</t>
  </si>
  <si>
    <t>EAST SOOKE</t>
  </si>
  <si>
    <t>East Sooke Park</t>
  </si>
  <si>
    <t>Pike Rd @ Coast Trail</t>
  </si>
  <si>
    <t>Tim Hortons</t>
  </si>
  <si>
    <t>1099 McKenzie Ave</t>
  </si>
  <si>
    <t>@Borden St</t>
  </si>
  <si>
    <t>Permanent #:  5306</t>
  </si>
  <si>
    <t>Rider's signature at finish:</t>
  </si>
  <si>
    <t>Staffed</t>
  </si>
  <si>
    <t>Beaver Lake Park</t>
  </si>
  <si>
    <t>Elk Lake Dr @ Trail</t>
  </si>
  <si>
    <t>PORTAGE INLET</t>
  </si>
  <si>
    <t>BEAVER LAKE</t>
  </si>
  <si>
    <t>WEIR'S BEACH</t>
  </si>
  <si>
    <t>LANGFORD LAKE</t>
  </si>
  <si>
    <t>ESQUIMALT LAGOON / Hatley Castle</t>
  </si>
  <si>
    <t>EAGLES LAKE</t>
  </si>
  <si>
    <t>SKYLINE CRESCENT</t>
  </si>
  <si>
    <t>FINISH:  BEAVER LAKE PARKING LOT</t>
  </si>
  <si>
    <t>100km Gravel Permanent - Beaches &amp; Stream</t>
  </si>
  <si>
    <t>START: BEAVER LAKE PARKING LOT -- 726 Beaver Lake Road</t>
  </si>
  <si>
    <t xml:space="preserve">Trail closed from </t>
  </si>
  <si>
    <t>________________________</t>
  </si>
  <si>
    <t>Site Restored by</t>
  </si>
  <si>
    <t xml:space="preserve"> ________________________</t>
  </si>
  <si>
    <t>STUMPY AND</t>
  </si>
  <si>
    <t>______________________</t>
  </si>
  <si>
    <t>Plaque on bench under shelter</t>
  </si>
  <si>
    <t>_________________ HAZARD ZONE</t>
  </si>
  <si>
    <t>"A bird does not sing because he has an answer,  he sings</t>
  </si>
  <si>
    <t>because he has a __________"</t>
  </si>
  <si>
    <t>Number of diamond shaped</t>
  </si>
  <si>
    <t>_________</t>
  </si>
  <si>
    <t>windows above cool bench behind bathroom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</si>
</sst>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5"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
      <sz val="28"/>
      <name val="Arial"/>
      <family val="2"/>
    </font>
    <font>
      <u/>
      <sz val="10"/>
      <name val="Arial"/>
      <family val="2"/>
    </font>
  </fonts>
  <fills count="4">
    <fill>
      <patternFill patternType="none"/>
    </fill>
    <fill>
      <patternFill patternType="gray125"/>
    </fill>
    <fill>
      <patternFill patternType="solid">
        <fgColor indexed="22"/>
        <bgColor indexed="64"/>
      </patternFill>
    </fill>
    <fill>
      <patternFill patternType="solid">
        <fgColor theme="0" tint="-4.9989318521683403E-2"/>
        <bgColor indexed="64"/>
      </patternFill>
    </fill>
  </fills>
  <borders count="32">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s>
  <cellStyleXfs count="41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90">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9"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0" fontId="28" fillId="0" borderId="0" xfId="0" applyFont="1" applyAlignment="1">
      <alignment horizontal="right"/>
    </xf>
    <xf numFmtId="0" fontId="10" fillId="0" borderId="0" xfId="0" applyFont="1" applyAlignment="1">
      <alignment horizontal="center" vertical="center"/>
    </xf>
    <xf numFmtId="0" fontId="10" fillId="0" borderId="0" xfId="0" applyFont="1" applyAlignment="1">
      <alignment horizontal="right" vertical="center"/>
    </xf>
    <xf numFmtId="0" fontId="0" fillId="0" borderId="0" xfId="0" applyAlignment="1">
      <alignment horizontal="left" vertical="top"/>
    </xf>
    <xf numFmtId="0" fontId="10" fillId="0" borderId="30" xfId="0" applyFont="1" applyBorder="1" applyAlignment="1">
      <alignment horizontal="center" vertical="center"/>
    </xf>
    <xf numFmtId="0" fontId="10" fillId="0" borderId="0" xfId="0" applyFont="1" applyAlignment="1">
      <alignment horizontal="left"/>
    </xf>
    <xf numFmtId="0" fontId="0" fillId="0" borderId="14" xfId="0" applyFont="1" applyBorder="1" applyProtection="1">
      <protection locked="0"/>
    </xf>
    <xf numFmtId="49" fontId="0" fillId="0" borderId="14" xfId="0" applyNumberFormat="1" applyFont="1" applyBorder="1" applyAlignment="1" applyProtection="1">
      <alignment horizontal="center"/>
      <protection locked="0"/>
    </xf>
    <xf numFmtId="49" fontId="0" fillId="0" borderId="4" xfId="0" applyNumberFormat="1" applyFont="1" applyBorder="1" applyAlignment="1" applyProtection="1">
      <alignment horizontal="center"/>
      <protection locked="0"/>
    </xf>
    <xf numFmtId="1" fontId="0" fillId="2" borderId="4" xfId="0" applyNumberFormat="1" applyFill="1" applyBorder="1"/>
    <xf numFmtId="9" fontId="13" fillId="0" borderId="4" xfId="0" applyNumberFormat="1" applyFont="1" applyBorder="1" applyProtection="1">
      <protection locked="0"/>
    </xf>
    <xf numFmtId="0" fontId="14" fillId="3" borderId="16"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wrapText="1"/>
      <protection locked="0"/>
    </xf>
    <xf numFmtId="0" fontId="14" fillId="3" borderId="7" xfId="0" applyFont="1" applyFill="1" applyBorder="1" applyAlignment="1" applyProtection="1">
      <alignment horizontal="center" vertical="center" wrapText="1"/>
      <protection locked="0"/>
    </xf>
    <xf numFmtId="0" fontId="7" fillId="3" borderId="7" xfId="0" applyFont="1" applyFill="1" applyBorder="1" applyProtection="1">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5" fillId="0" borderId="31"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7" xfId="0" applyFont="1" applyBorder="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0" fontId="14" fillId="0" borderId="3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0" xfId="0" applyAlignment="1">
      <alignment horizontal="center" vertical="top"/>
    </xf>
    <xf numFmtId="0" fontId="34" fillId="0" borderId="18" xfId="0" applyFont="1" applyBorder="1" applyAlignment="1">
      <alignment horizontal="center"/>
    </xf>
    <xf numFmtId="0" fontId="10" fillId="0" borderId="0" xfId="0" applyFont="1" applyAlignment="1">
      <alignment horizontal="left" vertical="top"/>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0" borderId="9" xfId="0" applyFont="1" applyFill="1" applyBorder="1" applyAlignment="1">
      <alignment horizontal="center"/>
    </xf>
    <xf numFmtId="0" fontId="7" fillId="0" borderId="10" xfId="0" applyFont="1" applyFill="1" applyBorder="1" applyAlignment="1">
      <alignment horizontal="center"/>
    </xf>
    <xf numFmtId="0" fontId="8" fillId="0" borderId="0" xfId="0" applyFont="1" applyAlignment="1">
      <alignment horizontal="left" vertical="center" wrapText="1"/>
    </xf>
    <xf numFmtId="0" fontId="19" fillId="0" borderId="0" xfId="0" applyFont="1" applyBorder="1" applyAlignment="1">
      <alignment horizontal="center"/>
    </xf>
    <xf numFmtId="0" fontId="0" fillId="0" borderId="0" xfId="0" applyAlignment="1">
      <alignment horizontal="right" vertical="top"/>
    </xf>
    <xf numFmtId="0" fontId="33" fillId="0" borderId="0" xfId="0" applyFont="1" applyAlignment="1">
      <alignment horizontal="center"/>
    </xf>
    <xf numFmtId="0" fontId="0" fillId="0" borderId="0" xfId="0" applyAlignment="1">
      <alignment horizontal="center"/>
    </xf>
    <xf numFmtId="0" fontId="10" fillId="0" borderId="0" xfId="0" applyFont="1" applyAlignment="1">
      <alignment horizontal="left" vertical="center"/>
    </xf>
    <xf numFmtId="0" fontId="7" fillId="0" borderId="18" xfId="0" applyFont="1" applyFill="1" applyBorder="1" applyAlignment="1" applyProtection="1">
      <alignment horizontal="left" wrapText="1"/>
      <protection locked="0"/>
    </xf>
  </cellXfs>
  <cellStyles count="41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Normal" xfId="0" builtinId="0"/>
    <cellStyle name="Normal 2" xfId="282" xr:uid="{00000000-0005-0000-0000-00009A010000}"/>
    <cellStyle name="Normal 3" xfId="283" xr:uid="{00000000-0005-0000-0000-00009B010000}"/>
    <cellStyle name="Normal 3 2" xfId="285" xr:uid="{00000000-0005-0000-0000-00009C010000}"/>
    <cellStyle name="Normal 3 2 2" xfId="286" xr:uid="{00000000-0005-0000-0000-00009D010000}"/>
    <cellStyle name="Normal 3 2 3" xfId="287" xr:uid="{00000000-0005-0000-0000-00009E010000}"/>
    <cellStyle name="Normal 4" xfId="284" xr:uid="{00000000-0005-0000-0000-00009F010000}"/>
  </cellStyles>
  <dxfs count="14">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664210</xdr:colOff>
      <xdr:row>1</xdr:row>
      <xdr:rowOff>222788</xdr:rowOff>
    </xdr:from>
    <xdr:to>
      <xdr:col>11</xdr:col>
      <xdr:colOff>548723</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0448042" y="491973"/>
          <a:ext cx="1965518" cy="1568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618988</xdr:colOff>
      <xdr:row>2</xdr:row>
      <xdr:rowOff>59041</xdr:rowOff>
    </xdr:from>
    <xdr:to>
      <xdr:col>17</xdr:col>
      <xdr:colOff>585858</xdr:colOff>
      <xdr:row>5</xdr:row>
      <xdr:rowOff>248753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756271" y="707845"/>
          <a:ext cx="2009913" cy="1556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showGridLines="0" topLeftCell="G1" zoomScale="140" zoomScaleNormal="140" zoomScalePageLayoutView="140" workbookViewId="0">
      <selection activeCell="K17" sqref="K17"/>
    </sheetView>
  </sheetViews>
  <sheetFormatPr defaultColWidth="8.77734375" defaultRowHeight="13.2" x14ac:dyDescent="0.25"/>
  <cols>
    <col min="1" max="1" width="18" style="2" bestFit="1" customWidth="1"/>
    <col min="2" max="2" width="10.77734375" customWidth="1"/>
    <col min="3" max="3" width="1" style="3" hidden="1" customWidth="1"/>
    <col min="4" max="4" width="8.33203125" customWidth="1"/>
    <col min="5" max="5" width="17" bestFit="1" customWidth="1"/>
    <col min="6" max="11" width="34.109375" customWidth="1"/>
    <col min="12" max="15" width="17.77734375" customWidth="1"/>
  </cols>
  <sheetData>
    <row r="1" spans="1:26" ht="19.95" customHeight="1" x14ac:dyDescent="0.35">
      <c r="A1" s="129" t="s">
        <v>79</v>
      </c>
      <c r="B1" s="129"/>
      <c r="C1" s="129"/>
      <c r="D1" s="129"/>
      <c r="E1" s="129"/>
      <c r="F1" s="129"/>
      <c r="G1" s="129"/>
      <c r="H1" s="129"/>
      <c r="I1" s="92" t="s">
        <v>80</v>
      </c>
      <c r="Q1" s="128" t="s">
        <v>84</v>
      </c>
      <c r="R1" s="128"/>
      <c r="S1" s="128"/>
      <c r="T1" s="128"/>
      <c r="U1" s="128"/>
      <c r="V1" s="128"/>
      <c r="W1" s="128"/>
      <c r="X1" s="128"/>
      <c r="Y1" s="128"/>
      <c r="Z1" s="128"/>
    </row>
    <row r="2" spans="1:26" ht="13.05" customHeight="1" thickBot="1" x14ac:dyDescent="0.3">
      <c r="H2" s="93"/>
      <c r="I2" s="93"/>
      <c r="Q2" s="128"/>
      <c r="R2" s="128"/>
      <c r="S2" s="128"/>
      <c r="T2" s="128"/>
      <c r="U2" s="128"/>
      <c r="V2" s="128"/>
      <c r="W2" s="128"/>
      <c r="X2" s="128"/>
      <c r="Y2" s="128"/>
      <c r="Z2" s="128"/>
    </row>
    <row r="3" spans="1:26" s="108" customFormat="1" ht="13.05" customHeight="1" thickBot="1" x14ac:dyDescent="0.25">
      <c r="A3" s="105" t="s">
        <v>78</v>
      </c>
      <c r="B3" s="106">
        <v>44990</v>
      </c>
      <c r="C3" s="107"/>
      <c r="D3" s="107"/>
      <c r="G3" s="107"/>
      <c r="H3" s="109"/>
      <c r="I3" s="109"/>
      <c r="Q3" s="128"/>
      <c r="R3" s="128"/>
      <c r="S3" s="128"/>
      <c r="T3" s="128"/>
      <c r="U3" s="128"/>
      <c r="V3" s="128"/>
      <c r="W3" s="128"/>
      <c r="X3" s="128"/>
      <c r="Y3" s="128"/>
      <c r="Z3" s="128"/>
    </row>
    <row r="4" spans="1:26" ht="13.05" customHeight="1" x14ac:dyDescent="0.25">
      <c r="A4" s="89" t="s">
        <v>81</v>
      </c>
      <c r="B4" s="104">
        <v>44992</v>
      </c>
      <c r="C4" s="91"/>
      <c r="D4" s="91"/>
      <c r="G4" s="91"/>
      <c r="H4" s="93"/>
      <c r="I4" s="93"/>
      <c r="Q4" s="128"/>
      <c r="R4" s="128"/>
      <c r="S4" s="128"/>
      <c r="T4" s="128"/>
      <c r="U4" s="128"/>
      <c r="V4" s="128"/>
      <c r="W4" s="128"/>
      <c r="X4" s="128"/>
      <c r="Y4" s="128"/>
      <c r="Z4" s="128"/>
    </row>
    <row r="5" spans="1:26" ht="13.8" thickBot="1" x14ac:dyDescent="0.3">
      <c r="H5" s="93"/>
      <c r="I5" s="93"/>
      <c r="Q5" s="128"/>
      <c r="R5" s="128"/>
      <c r="S5" s="128"/>
      <c r="T5" s="128"/>
      <c r="U5" s="128"/>
      <c r="V5" s="128"/>
      <c r="W5" s="128"/>
      <c r="X5" s="128"/>
      <c r="Y5" s="128"/>
      <c r="Z5" s="128"/>
    </row>
    <row r="6" spans="1:26" ht="18" x14ac:dyDescent="0.35">
      <c r="A6" s="11" t="s">
        <v>94</v>
      </c>
      <c r="B6" s="68">
        <v>100</v>
      </c>
      <c r="C6">
        <f>IF(Brevet_Length&gt;=1200,Brevet_Length,IF(Brevet_Length&gt;=1000,1000,IF(Brevet_Length&gt;=600,600,IF(Brevet_Length&gt;=400,400,IF(Brevet_Length&gt;=300,300,IF(Brevet_Length&gt;=200,200,100))))))</f>
        <v>100</v>
      </c>
      <c r="J6" s="133" t="s">
        <v>60</v>
      </c>
      <c r="K6" s="133"/>
      <c r="Q6" s="72" t="s">
        <v>61</v>
      </c>
      <c r="R6" s="72"/>
      <c r="S6" s="72"/>
      <c r="T6" s="72"/>
      <c r="U6" s="72"/>
      <c r="V6" s="72"/>
      <c r="W6" s="72"/>
    </row>
    <row r="7" spans="1:26" ht="18" x14ac:dyDescent="0.35">
      <c r="A7" s="12" t="s">
        <v>101</v>
      </c>
      <c r="B7" s="120">
        <v>0.34</v>
      </c>
      <c r="C7"/>
      <c r="J7" s="110"/>
      <c r="K7" s="110"/>
      <c r="Q7" s="72"/>
      <c r="R7" s="72"/>
      <c r="S7" s="72"/>
      <c r="T7" s="72"/>
      <c r="U7" s="72"/>
      <c r="V7" s="72"/>
      <c r="W7" s="72"/>
    </row>
    <row r="8" spans="1:26" ht="13.8" thickBot="1" x14ac:dyDescent="0.3">
      <c r="A8" s="12" t="s">
        <v>18</v>
      </c>
      <c r="B8" s="119">
        <f>IF(brevet=1200,90,IF(brevet=1000,75,IF(brevet=600,40,IF(brevet=400,27,IF(brevet=300,20,IF(brevet=200,13.5,IF(brevet=100,7,0)))))))</f>
        <v>7</v>
      </c>
      <c r="Q8" t="s">
        <v>62</v>
      </c>
    </row>
    <row r="9" spans="1:26" ht="18.600000000000001" thickBot="1" x14ac:dyDescent="0.4">
      <c r="A9" s="12" t="s">
        <v>95</v>
      </c>
      <c r="B9" s="130" t="s">
        <v>121</v>
      </c>
      <c r="C9" s="131"/>
      <c r="D9" s="131"/>
      <c r="E9" s="131"/>
      <c r="F9" s="131"/>
      <c r="G9" s="131"/>
      <c r="H9" s="132"/>
      <c r="I9" s="26"/>
      <c r="J9" s="26"/>
      <c r="K9" s="26">
        <f>12.5/0.4167</f>
        <v>29.997600191984642</v>
      </c>
      <c r="O9" s="27"/>
      <c r="P9" s="27"/>
      <c r="Q9" s="72" t="s">
        <v>63</v>
      </c>
    </row>
    <row r="10" spans="1:26" ht="18" x14ac:dyDescent="0.35">
      <c r="A10" s="12" t="s">
        <v>96</v>
      </c>
      <c r="B10" s="69">
        <v>5496</v>
      </c>
      <c r="C10" s="23"/>
      <c r="F10" s="24"/>
      <c r="G10" s="24"/>
      <c r="H10" s="24"/>
      <c r="I10" s="24"/>
      <c r="J10" s="24"/>
      <c r="K10" s="24"/>
      <c r="Q10" s="72" t="s">
        <v>64</v>
      </c>
    </row>
    <row r="11" spans="1:26" ht="18" x14ac:dyDescent="0.35">
      <c r="A11" s="47" t="s">
        <v>45</v>
      </c>
      <c r="B11" s="70">
        <v>45724</v>
      </c>
      <c r="L11">
        <f>100/12.5</f>
        <v>8</v>
      </c>
      <c r="Q11" s="72" t="s">
        <v>65</v>
      </c>
    </row>
    <row r="12" spans="1:26" ht="6" customHeight="1" x14ac:dyDescent="0.25">
      <c r="B12" s="94"/>
    </row>
    <row r="13" spans="1:26" ht="18" customHeight="1" thickBot="1" x14ac:dyDescent="0.4">
      <c r="A13" s="87" t="s">
        <v>19</v>
      </c>
      <c r="B13" s="88">
        <v>45724</v>
      </c>
      <c r="Q13" s="72" t="s">
        <v>72</v>
      </c>
    </row>
    <row r="14" spans="1:26" ht="18.600000000000001" thickBot="1" x14ac:dyDescent="0.4">
      <c r="A14" s="10" t="s">
        <v>20</v>
      </c>
      <c r="B14" s="71">
        <v>0.33333333333333331</v>
      </c>
      <c r="D14" s="125" t="s">
        <v>77</v>
      </c>
      <c r="E14" s="126"/>
      <c r="F14" s="126"/>
      <c r="G14" s="126"/>
      <c r="H14" s="126"/>
      <c r="I14" s="134" t="s">
        <v>67</v>
      </c>
      <c r="J14" s="126"/>
      <c r="K14" s="127"/>
      <c r="Q14" s="72" t="s">
        <v>71</v>
      </c>
    </row>
    <row r="15" spans="1:26" ht="14.4" thickBot="1" x14ac:dyDescent="0.35">
      <c r="D15" s="6" t="s">
        <v>21</v>
      </c>
      <c r="E15" s="7" t="s">
        <v>22</v>
      </c>
      <c r="F15" s="62" t="s">
        <v>23</v>
      </c>
      <c r="G15" s="62" t="s">
        <v>24</v>
      </c>
      <c r="H15" s="63" t="s">
        <v>25</v>
      </c>
      <c r="I15" s="7" t="s">
        <v>57</v>
      </c>
      <c r="J15" s="7" t="s">
        <v>58</v>
      </c>
      <c r="K15" s="8" t="s">
        <v>59</v>
      </c>
      <c r="L15" t="s">
        <v>3</v>
      </c>
      <c r="M15" t="s">
        <v>4</v>
      </c>
      <c r="N15" t="s">
        <v>5</v>
      </c>
      <c r="O15" t="s">
        <v>6</v>
      </c>
      <c r="Q15" s="72" t="s">
        <v>66</v>
      </c>
    </row>
    <row r="16" spans="1:26" ht="16.95" customHeight="1" x14ac:dyDescent="0.25">
      <c r="C16" s="3" t="s">
        <v>7</v>
      </c>
      <c r="D16" s="25">
        <v>0</v>
      </c>
      <c r="E16" s="74" t="s">
        <v>114</v>
      </c>
      <c r="F16" s="75" t="s">
        <v>122</v>
      </c>
      <c r="G16" s="117"/>
      <c r="H16" s="118"/>
      <c r="I16" s="75"/>
      <c r="J16" s="75"/>
      <c r="K16" s="76"/>
      <c r="L16" s="4">
        <f>Start_date+Start_time</f>
        <v>45724.333333333336</v>
      </c>
      <c r="M16" s="4">
        <f>L16+"1:00"</f>
        <v>45724.375</v>
      </c>
      <c r="N16" s="5">
        <f>IF(ISBLANK(Distance),"",Open Control_1)</f>
        <v>45724.333333333336</v>
      </c>
      <c r="O16" s="5">
        <f>IF(ISBLANK(Distance),"",Close Control_1)</f>
        <v>45724.375</v>
      </c>
    </row>
    <row r="17" spans="2:15" ht="16.95" customHeight="1" x14ac:dyDescent="0.25">
      <c r="B17" s="81"/>
      <c r="C17" s="3" t="s">
        <v>8</v>
      </c>
      <c r="D17" s="25">
        <v>12.5</v>
      </c>
      <c r="E17" s="74" t="s">
        <v>113</v>
      </c>
      <c r="F17" s="117" t="s">
        <v>100</v>
      </c>
      <c r="G17" s="75"/>
      <c r="H17" s="118"/>
      <c r="I17" s="75" t="s">
        <v>125</v>
      </c>
      <c r="J17" s="75" t="s">
        <v>126</v>
      </c>
      <c r="K17" s="75"/>
      <c r="L17">
        <f t="shared" ref="L17:L23" si="0">Distance/30</f>
        <v>0.41666666666666669</v>
      </c>
      <c r="M17">
        <f>IF(ISBLANK(Distance),"",IF(Distance&gt;=brevet,IF(brevet&gt;1200,(brevet-1200)*75/1000+90,Max_time),IF(Distance&gt;1200,(Distance-1200)*75/1000+90,IF(Distance&gt;1000,(Distance-1000)/(1000/75)+75,IF(Distance&gt;600,(Distance-600)/(400/35)+40,IF(Distance&lt;=60,(Distance/12.5+1),Distance/12.5))))))</f>
        <v>2</v>
      </c>
      <c r="N17" s="5">
        <f>IF(ISBLANK(Distance),"",Open_time Control_1+(INT(Open)&amp;":"&amp;IF(ROUND(((Open-INT(Open))*60),0)&lt;10,0,"")&amp;ROUND(((Open-INT(Open))*60),0)))</f>
        <v>45724.350694444445</v>
      </c>
      <c r="O17" s="5">
        <f>IF(ISBLANK(Distance),"",Open_time Control_1+(INT(Close)&amp;":"&amp;IF(ROUND(((Close-INT(Close))*60),0)&lt;10,0,"")&amp;ROUND(((Close-INT(Close))*60),0)))</f>
        <v>45724.416666666672</v>
      </c>
    </row>
    <row r="18" spans="2:15" ht="16.95" customHeight="1" x14ac:dyDescent="0.25">
      <c r="B18" s="81"/>
      <c r="C18" s="3" t="s">
        <v>9</v>
      </c>
      <c r="D18" s="25">
        <v>21.2</v>
      </c>
      <c r="E18" s="74" t="s">
        <v>117</v>
      </c>
      <c r="F18" s="117" t="s">
        <v>100</v>
      </c>
      <c r="G18" s="117"/>
      <c r="H18" s="118"/>
      <c r="I18" s="75" t="s">
        <v>129</v>
      </c>
      <c r="J18" s="75" t="s">
        <v>131</v>
      </c>
      <c r="K18" s="76" t="s">
        <v>132</v>
      </c>
      <c r="L18">
        <f t="shared" si="0"/>
        <v>0.70666666666666667</v>
      </c>
      <c r="M18">
        <f t="shared" ref="M18:M23" si="1">Distance/12.5+1</f>
        <v>2.6959999999999997</v>
      </c>
      <c r="N18" s="5">
        <f>IF(ISBLANK(Distance),"",Open_time Control_1+(INT(Open)&amp;":"&amp;IF(ROUND(((Open-INT(Open))*60),0)&lt;10,0,"")&amp;ROUND(((Open-INT(Open))*60),0)))</f>
        <v>45724.362500000003</v>
      </c>
      <c r="O18" s="5">
        <f>IF(ISBLANK(Distance),"",Open_time Control_1+(INT(Close)&amp;":"&amp;IF(ROUND(((Close-INT(Close))*60),0)&lt;10,0,"")&amp;ROUND(((Close-INT(Close))*60),0)))</f>
        <v>45724.445833333339</v>
      </c>
    </row>
    <row r="19" spans="2:15" ht="16.95" customHeight="1" x14ac:dyDescent="0.25">
      <c r="B19" s="81"/>
      <c r="C19" s="3" t="s">
        <v>10</v>
      </c>
      <c r="D19" s="25">
        <v>35.200000000000003</v>
      </c>
      <c r="E19" s="74" t="s">
        <v>115</v>
      </c>
      <c r="F19" s="117" t="s">
        <v>100</v>
      </c>
      <c r="G19" s="117"/>
      <c r="H19" s="118"/>
      <c r="I19" s="75"/>
      <c r="J19" s="75" t="s">
        <v>130</v>
      </c>
      <c r="K19" s="76"/>
      <c r="L19">
        <f t="shared" si="0"/>
        <v>1.1733333333333333</v>
      </c>
      <c r="M19">
        <f t="shared" si="1"/>
        <v>3.8160000000000003</v>
      </c>
      <c r="N19" s="5">
        <f>IF(ISBLANK(Distance),"",Open_time Control_1+(INT(Open)&amp;":"&amp;IF(ROUND(((Open-INT(Open))*60),0)&lt;10,0,"")&amp;ROUND(((Open-INT(Open))*60),0)))</f>
        <v>45724.381944444445</v>
      </c>
      <c r="O19" s="5">
        <f>IF(ISBLANK(Distance),"",Open_time Control_1+(INT(Close)&amp;":"&amp;IF(ROUND(((Close-INT(Close))*60),0)&lt;10,0,"")&amp;ROUND(((Close-INT(Close))*60),0)))</f>
        <v>45724.492361111115</v>
      </c>
    </row>
    <row r="20" spans="2:15" ht="16.95" customHeight="1" x14ac:dyDescent="0.25">
      <c r="B20" s="81"/>
      <c r="C20" s="3" t="s">
        <v>11</v>
      </c>
      <c r="D20" s="25">
        <v>53.6</v>
      </c>
      <c r="E20" s="74" t="s">
        <v>116</v>
      </c>
      <c r="F20" s="117" t="s">
        <v>100</v>
      </c>
      <c r="G20" s="75"/>
      <c r="H20" s="76"/>
      <c r="I20" s="75" t="s">
        <v>123</v>
      </c>
      <c r="J20" s="75" t="s">
        <v>124</v>
      </c>
      <c r="K20" s="76"/>
      <c r="L20">
        <f t="shared" si="0"/>
        <v>1.7866666666666666</v>
      </c>
      <c r="M20">
        <f t="shared" si="1"/>
        <v>5.2880000000000003</v>
      </c>
      <c r="N20" s="5">
        <f>IF(ISBLANK(Distance),"",Open_time Control_1+(INT(Open)&amp;":"&amp;IF(ROUND(((Open-INT(Open))*60),0)&lt;10,0,"")&amp;ROUND(((Open-INT(Open))*60),0)))</f>
        <v>45724.407638888893</v>
      </c>
      <c r="O20" s="5">
        <f>IF(ISBLANK(Distance),"",Open_time Control_1+(INT(Close)&amp;":"&amp;IF(ROUND(((Close-INT(Close))*60),0)&lt;10,0,"")&amp;ROUND(((Close-INT(Close))*60),0)))</f>
        <v>45724.553472222222</v>
      </c>
    </row>
    <row r="21" spans="2:15" ht="16.95" customHeight="1" x14ac:dyDescent="0.25">
      <c r="B21" s="81"/>
      <c r="C21" s="3" t="s">
        <v>12</v>
      </c>
      <c r="D21" s="25">
        <v>73.900000000000006</v>
      </c>
      <c r="E21" s="74" t="s">
        <v>118</v>
      </c>
      <c r="F21" s="117" t="s">
        <v>100</v>
      </c>
      <c r="G21" s="75"/>
      <c r="H21" s="76"/>
      <c r="I21" s="75" t="s">
        <v>133</v>
      </c>
      <c r="J21" s="75" t="s">
        <v>135</v>
      </c>
      <c r="K21" s="76" t="s">
        <v>134</v>
      </c>
      <c r="L21">
        <f t="shared" si="0"/>
        <v>2.4633333333333334</v>
      </c>
      <c r="M21">
        <f t="shared" si="1"/>
        <v>6.9120000000000008</v>
      </c>
      <c r="N21" s="5">
        <f>IF(ISBLANK(Distance),"",Open_time Control_1+(INT(Open)&amp;":"&amp;IF(ROUND(((Open-INT(Open))*60),0)&lt;10,0,"")&amp;ROUND(((Open-INT(Open))*60),0)))</f>
        <v>45724.436111111114</v>
      </c>
      <c r="O21" s="5">
        <f>IF(ISBLANK(Distance),"",Open_time Control_1+(INT(Close)&amp;":"&amp;IF(ROUND(((Close-INT(Close))*60),0)&lt;10,0,"")&amp;ROUND(((Close-INT(Close))*60),0)))</f>
        <v>45724.621527777781</v>
      </c>
    </row>
    <row r="22" spans="2:15" ht="16.95" customHeight="1" x14ac:dyDescent="0.25">
      <c r="B22" s="81"/>
      <c r="C22" s="3" t="s">
        <v>13</v>
      </c>
      <c r="D22" s="25">
        <v>87.5</v>
      </c>
      <c r="E22" s="74" t="s">
        <v>119</v>
      </c>
      <c r="F22" s="117" t="s">
        <v>100</v>
      </c>
      <c r="G22" s="75"/>
      <c r="H22" s="76"/>
      <c r="I22" s="75" t="s">
        <v>127</v>
      </c>
      <c r="J22" s="75" t="s">
        <v>128</v>
      </c>
      <c r="K22" s="76"/>
      <c r="L22">
        <f t="shared" si="0"/>
        <v>2.9166666666666665</v>
      </c>
      <c r="M22">
        <f t="shared" si="1"/>
        <v>8</v>
      </c>
      <c r="N22" s="5">
        <f>IF(ISBLANK(Distance),"",Open_time Control_1+(INT(Open)&amp;":"&amp;IF(ROUND(((Open-INT(Open))*60),0)&lt;10,0,"")&amp;ROUND(((Open-INT(Open))*60),0)))</f>
        <v>45724.454861111117</v>
      </c>
      <c r="O22" s="5">
        <f>IF(ISBLANK(Distance),"",Open_time Control_1+(INT(Close)&amp;":"&amp;IF(ROUND(((Close-INT(Close))*60),0)&lt;10,0,"")&amp;ROUND(((Close-INT(Close))*60),0)))</f>
        <v>45724.666666666672</v>
      </c>
    </row>
    <row r="23" spans="2:15" ht="16.95" customHeight="1" x14ac:dyDescent="0.25">
      <c r="B23" s="81"/>
      <c r="C23" s="3" t="s">
        <v>14</v>
      </c>
      <c r="D23" s="25">
        <v>103.3</v>
      </c>
      <c r="E23" s="74" t="s">
        <v>114</v>
      </c>
      <c r="F23" s="75" t="s">
        <v>120</v>
      </c>
      <c r="G23" s="75"/>
      <c r="H23" s="76"/>
      <c r="I23" s="75"/>
      <c r="J23" s="75"/>
      <c r="K23" s="76"/>
      <c r="L23">
        <f t="shared" si="0"/>
        <v>3.4433333333333334</v>
      </c>
      <c r="M23">
        <f t="shared" si="1"/>
        <v>9.2639999999999993</v>
      </c>
      <c r="N23" s="5">
        <f>IF(ISBLANK(Distance),"",Open_time Control_1+(INT(Open)&amp;":"&amp;IF(ROUND(((Open-INT(Open))*60),0)&lt;10,0,"")&amp;ROUND(((Open-INT(Open))*60),0)))</f>
        <v>45724.477083333339</v>
      </c>
      <c r="O23" s="5">
        <f>IF(ISBLANK(Distance),"",Open_time Control_1+(INT(Close)&amp;":"&amp;IF(ROUND(((Close-INT(Close))*60),0)&lt;10,0,"")&amp;ROUND(((Close-INT(Close))*60),0)))</f>
        <v>45724.719444444447</v>
      </c>
    </row>
    <row r="24" spans="2:15" ht="16.95" customHeight="1" x14ac:dyDescent="0.25">
      <c r="B24" s="81"/>
      <c r="C24" s="3" t="s">
        <v>15</v>
      </c>
      <c r="D24" s="25"/>
      <c r="E24" s="74"/>
      <c r="F24" s="75"/>
      <c r="G24" s="75"/>
      <c r="H24" s="76"/>
      <c r="I24" s="75"/>
      <c r="J24" s="75"/>
      <c r="K24" s="76"/>
      <c r="L24" t="str">
        <f t="shared" ref="L24:L25" si="2">IF(ISBLANK(Distance),"",IF(Distance&gt;1000,(Distance-1000)/26+33.0847,(IF(Distance&gt;600,(Distance-600)/28+18.799,(IF(Distance&gt;400,(Distance-400)/30+12.1324,(IF(Distance&gt;200,(Distance-200)/32+5.8824,Distance/34))))))))</f>
        <v/>
      </c>
      <c r="M24" t="str">
        <f t="shared" ref="M24:M25" si="3">IF(ISBLANK(Distance),"",IF(Distance&gt;=brevet,IF(brevet&gt;1200,(brevet-1200)*75/1000+90,Max_time),IF(Distance&gt;1200,(Distance-1200)*75/1000+90,IF(Distance&gt;1000,(Distance-1000)/(1000/75)+75,IF(Distance&gt;600,(Distance-600)/(400/35)+40,IF(Distance&lt;=60,(Distance/20+1),Distance/15))))))</f>
        <v/>
      </c>
      <c r="N24" s="5" t="str">
        <f>IF(ISBLANK(Distance),"",Open_time Control_1+(INT(Open)&amp;":"&amp;IF(ROUND(((Open-INT(Open))*60),0)&lt;10,0,"")&amp;ROUND(((Open-INT(Open))*60),0)))</f>
        <v/>
      </c>
      <c r="O24" s="5" t="str">
        <f>IF(ISBLANK(Distance),"",Open_time Control_1+(INT(Close)&amp;":"&amp;IF(ROUND(((Close-INT(Close))*60),0)&lt;10,0,"")&amp;ROUND(((Close-INT(Close))*60),0)))</f>
        <v/>
      </c>
    </row>
    <row r="25" spans="2:15" ht="16.95" customHeight="1" thickBot="1" x14ac:dyDescent="0.3">
      <c r="B25" s="81"/>
      <c r="C25" s="3" t="s">
        <v>16</v>
      </c>
      <c r="D25" s="51"/>
      <c r="E25" s="77"/>
      <c r="F25" s="78"/>
      <c r="G25" s="78"/>
      <c r="H25" s="79"/>
      <c r="I25" s="78"/>
      <c r="J25" s="78"/>
      <c r="K25" s="79"/>
      <c r="L25" t="str">
        <f t="shared" si="2"/>
        <v/>
      </c>
      <c r="M25" t="str">
        <f t="shared" si="3"/>
        <v/>
      </c>
      <c r="N25" s="5" t="str">
        <f>IF(ISBLANK(Distance),"",Open_time Control_1+(INT(Open)&amp;":"&amp;IF(ROUND(((Open-INT(Open))*60),0)&lt;10,0,"")&amp;ROUND(((Open-INT(Open))*60),0)))</f>
        <v/>
      </c>
      <c r="O25" s="5" t="str">
        <f>IF(ISBLANK(Distance),"",Open_time Control_1+(INT(Close)&amp;":"&amp;IF(ROUND(((Close-INT(Close))*60),0)&lt;10,0,"")&amp;ROUND(((Close-INT(Close))*60),0)))</f>
        <v/>
      </c>
    </row>
    <row r="26" spans="2:15" ht="7.05" customHeight="1" thickBot="1" x14ac:dyDescent="0.4">
      <c r="D26" s="64"/>
      <c r="E26" s="65"/>
      <c r="F26" s="66"/>
      <c r="G26" s="66"/>
      <c r="H26" s="66"/>
      <c r="I26" s="66"/>
      <c r="J26" s="66"/>
      <c r="K26" s="67"/>
      <c r="N26" s="5"/>
      <c r="O26" s="5"/>
    </row>
    <row r="27" spans="2:15" ht="13.8" thickBot="1" x14ac:dyDescent="0.3">
      <c r="D27" s="125" t="s">
        <v>73</v>
      </c>
      <c r="E27" s="126"/>
      <c r="F27" s="126"/>
      <c r="G27" s="126"/>
      <c r="H27" s="126"/>
      <c r="I27" s="134" t="s">
        <v>68</v>
      </c>
      <c r="J27" s="126"/>
      <c r="K27" s="127"/>
    </row>
    <row r="28" spans="2:15" ht="14.4" thickBot="1" x14ac:dyDescent="0.35">
      <c r="D28" s="6" t="s">
        <v>21</v>
      </c>
      <c r="E28" s="7" t="s">
        <v>22</v>
      </c>
      <c r="F28" s="62" t="s">
        <v>23</v>
      </c>
      <c r="G28" s="62" t="s">
        <v>24</v>
      </c>
      <c r="H28" s="63" t="s">
        <v>25</v>
      </c>
      <c r="I28" s="7" t="s">
        <v>57</v>
      </c>
      <c r="J28" s="7" t="s">
        <v>58</v>
      </c>
      <c r="K28" s="8" t="s">
        <v>59</v>
      </c>
      <c r="L28" t="s">
        <v>3</v>
      </c>
      <c r="M28" t="s">
        <v>4</v>
      </c>
      <c r="N28" t="s">
        <v>5</v>
      </c>
      <c r="O28" t="s">
        <v>6</v>
      </c>
    </row>
    <row r="29" spans="2:15" ht="16.95" customHeight="1" x14ac:dyDescent="0.25">
      <c r="D29" s="25"/>
      <c r="E29" s="116"/>
      <c r="F29" s="75"/>
      <c r="G29" s="75"/>
      <c r="H29" s="76"/>
      <c r="I29" s="75"/>
      <c r="J29" s="75"/>
      <c r="K29" s="76"/>
      <c r="L29" t="str">
        <f>IF(ISBLANK(D29),"",IF(D29&gt;1000,(D29-1000)/26+33.0847,(IF(D29&gt;600,(D29-600)/28+18.799,(IF(D29&gt;400,(D29-400)/30+12.1324,(IF(D29&gt;200,(D29-200)/32+5.8824,D29/34))))))))</f>
        <v/>
      </c>
      <c r="M29" t="str">
        <f t="shared" ref="M29:M38" si="4">IF(ISBLANK(D29),"",IF((D29=0),1,IF(D29&gt;=brevet,IF(brevet&gt;1200,(brevet-1200)*75/1000+90,Max_time),IF(D29&gt;1200,(D29-1200)*75/1000+90,IF(D29&gt;1000,(D29-1000)/(1000/75)+75,IF(D29&gt;600,(D29-600)/(400/35)+40,IF(D29&lt;=60,D29/20+1,D29/15)))))))</f>
        <v/>
      </c>
      <c r="N29" s="5" t="str">
        <f>IF(ISBLANK(D29),"",Open_time Control_1+(INT(L29)&amp;":"&amp;IF(ROUND(((L29-INT(L29))*60),0)&lt;10,0,"")&amp;ROUND(((L29-INT(L29))*60),0)))</f>
        <v/>
      </c>
      <c r="O29" s="5" t="str">
        <f>IF(ISBLANK(D29),"",Open_time Control_1+(INT(M29)&amp;":"&amp;IF(ROUND(((M29-INT(M29))*60),0)&lt;10,0,"")&amp;ROUND(((M29-INT(M29))*60),0)))</f>
        <v/>
      </c>
    </row>
    <row r="30" spans="2:15" ht="16.95" customHeight="1" x14ac:dyDescent="0.25">
      <c r="D30" s="25"/>
      <c r="E30" s="116"/>
      <c r="F30" s="117"/>
      <c r="G30" s="117"/>
      <c r="H30" s="118"/>
      <c r="I30" s="75"/>
      <c r="J30" s="75"/>
      <c r="K30" s="76"/>
      <c r="L30" t="str">
        <f t="shared" ref="L30:L38" si="5">IF(ISBLANK(D30),"",IF(D30&gt;1000,(D30-1000)/26+33.0847,(IF(D30&gt;600,(D30-600)/28+18.799,(IF(D30&gt;400,(D30-400)/30+12.1324,(IF(D30&gt;200,(D30-200)/32+5.8824,D30/34))))))))</f>
        <v/>
      </c>
      <c r="M30" t="str">
        <f t="shared" si="4"/>
        <v/>
      </c>
      <c r="N30" s="5" t="str">
        <f>IF(ISBLANK(D30),"",Open_time Control_1+(INT(L30)&amp;":"&amp;IF(ROUND(((L30-INT(L30))*60),0)&lt;10,0,"")&amp;ROUND(((L30-INT(L30))*60),0)))</f>
        <v/>
      </c>
      <c r="O30" s="5" t="str">
        <f>IF(ISBLANK(D30),"",Open_time Control_1+(INT(M30)&amp;":"&amp;IF(ROUND(((M30-INT(M30))*60),0)&lt;10,0,"")&amp;ROUND(((M30-INT(M30))*60),0)))</f>
        <v/>
      </c>
    </row>
    <row r="31" spans="2:15" ht="16.95" customHeight="1" x14ac:dyDescent="0.25">
      <c r="D31" s="25"/>
      <c r="E31" s="116"/>
      <c r="F31" s="117"/>
      <c r="G31" s="117"/>
      <c r="H31" s="118"/>
      <c r="I31" s="75"/>
      <c r="J31" s="75"/>
      <c r="K31" s="76"/>
      <c r="L31" t="str">
        <f t="shared" si="5"/>
        <v/>
      </c>
      <c r="M31" t="str">
        <f t="shared" si="4"/>
        <v/>
      </c>
      <c r="N31" s="5" t="str">
        <f>IF(ISBLANK(D31),"",Open_time Control_1+(INT(L31)&amp;":"&amp;IF(ROUND(((L31-INT(L31))*60),0)&lt;10,0,"")&amp;ROUND(((L31-INT(L31))*60),0)))</f>
        <v/>
      </c>
      <c r="O31" s="5" t="str">
        <f>IF(ISBLANK(D31),"",Open_time Control_1+(INT(M31)&amp;":"&amp;IF(ROUND(((M31-INT(M31))*60),0)&lt;10,0,"")&amp;ROUND(((M31-INT(M31))*60),0)))</f>
        <v/>
      </c>
    </row>
    <row r="32" spans="2:15" ht="16.95" customHeight="1" x14ac:dyDescent="0.25">
      <c r="D32" s="25"/>
      <c r="E32" s="116"/>
      <c r="F32" s="75"/>
      <c r="G32" s="75"/>
      <c r="H32" s="76"/>
      <c r="I32" s="75"/>
      <c r="J32" s="75"/>
      <c r="K32" s="76"/>
      <c r="L32" t="str">
        <f t="shared" si="5"/>
        <v/>
      </c>
      <c r="M32" t="str">
        <f t="shared" si="4"/>
        <v/>
      </c>
      <c r="N32" s="5" t="str">
        <f>IF(ISBLANK(D32),"",Open_time Control_1+(INT(L32)&amp;":"&amp;IF(ROUND(((L32-INT(L32))*60),0)&lt;10,0,"")&amp;ROUND(((L32-INT(L32))*60),0)))</f>
        <v/>
      </c>
      <c r="O32" s="5" t="str">
        <f>IF(ISBLANK(D32),"",Open_time Control_1+(INT(M32)&amp;":"&amp;IF(ROUND(((M32-INT(M32))*60),0)&lt;10,0,"")&amp;ROUND(((M32-INT(M32))*60),0)))</f>
        <v/>
      </c>
    </row>
    <row r="33" spans="4:15" ht="16.95" customHeight="1" x14ac:dyDescent="0.25">
      <c r="D33" s="25"/>
      <c r="E33" s="74"/>
      <c r="F33" s="75"/>
      <c r="G33" s="75"/>
      <c r="H33" s="76"/>
      <c r="I33" s="75"/>
      <c r="J33" s="75"/>
      <c r="K33" s="76"/>
      <c r="L33" t="str">
        <f t="shared" si="5"/>
        <v/>
      </c>
      <c r="M33" t="str">
        <f t="shared" si="4"/>
        <v/>
      </c>
      <c r="N33" s="5" t="str">
        <f>IF(ISBLANK(D33),"",Open_time Control_1+(INT(L33)&amp;":"&amp;IF(ROUND(((L33-INT(L33))*60),0)&lt;10,0,"")&amp;ROUND(((L33-INT(L33))*60),0)))</f>
        <v/>
      </c>
      <c r="O33" s="5" t="str">
        <f>IF(ISBLANK(D33),"",Open_time Control_1+(INT(M33)&amp;":"&amp;IF(ROUND(((M33-INT(M33))*60),0)&lt;10,0,"")&amp;ROUND(((M33-INT(M33))*60),0)))</f>
        <v/>
      </c>
    </row>
    <row r="34" spans="4:15" ht="16.95" customHeight="1" x14ac:dyDescent="0.25">
      <c r="D34" s="25"/>
      <c r="E34" s="74"/>
      <c r="F34" s="75"/>
      <c r="G34" s="75"/>
      <c r="H34" s="76"/>
      <c r="I34" s="75"/>
      <c r="J34" s="75"/>
      <c r="K34" s="76"/>
      <c r="L34" t="str">
        <f t="shared" si="5"/>
        <v/>
      </c>
      <c r="M34" t="str">
        <f t="shared" si="4"/>
        <v/>
      </c>
      <c r="N34" s="5" t="str">
        <f>IF(ISBLANK(D34),"",Open_time Control_1+(INT(L34)&amp;":"&amp;IF(ROUND(((L34-INT(L34))*60),0)&lt;10,0,"")&amp;ROUND(((L34-INT(L34))*60),0)))</f>
        <v/>
      </c>
      <c r="O34" s="5" t="str">
        <f>IF(ISBLANK(D34),"",Open_time Control_1+(INT(M34)&amp;":"&amp;IF(ROUND(((M34-INT(M34))*60),0)&lt;10,0,"")&amp;ROUND(((M34-INT(M34))*60),0)))</f>
        <v/>
      </c>
    </row>
    <row r="35" spans="4:15" ht="16.95" customHeight="1" x14ac:dyDescent="0.25">
      <c r="D35" s="25"/>
      <c r="E35" s="74"/>
      <c r="F35" s="75"/>
      <c r="G35" s="75"/>
      <c r="H35" s="76"/>
      <c r="I35" s="75"/>
      <c r="J35" s="75"/>
      <c r="K35" s="76"/>
      <c r="L35" t="str">
        <f t="shared" si="5"/>
        <v/>
      </c>
      <c r="M35" t="str">
        <f t="shared" si="4"/>
        <v/>
      </c>
      <c r="N35" s="5" t="str">
        <f>IF(ISBLANK(D35),"",Open_time Control_1+(INT(L35)&amp;":"&amp;IF(ROUND(((L35-INT(L35))*60),0)&lt;10,0,"")&amp;ROUND(((L35-INT(L35))*60),0)))</f>
        <v/>
      </c>
      <c r="O35" s="5" t="str">
        <f>IF(ISBLANK(D35),"",Open_time Control_1+(INT(M35)&amp;":"&amp;IF(ROUND(((M35-INT(M35))*60),0)&lt;10,0,"")&amp;ROUND(((M35-INT(M35))*60),0)))</f>
        <v/>
      </c>
    </row>
    <row r="36" spans="4:15" ht="16.95" customHeight="1" x14ac:dyDescent="0.25">
      <c r="D36" s="25"/>
      <c r="E36" s="74"/>
      <c r="F36" s="75"/>
      <c r="G36" s="75"/>
      <c r="H36" s="76"/>
      <c r="I36" s="75"/>
      <c r="J36" s="75"/>
      <c r="K36" s="76"/>
      <c r="L36" t="str">
        <f t="shared" si="5"/>
        <v/>
      </c>
      <c r="M36" t="str">
        <f t="shared" si="4"/>
        <v/>
      </c>
      <c r="N36" s="5" t="str">
        <f>IF(ISBLANK(D36),"",Open_time Control_1+(INT(L36)&amp;":"&amp;IF(ROUND(((L36-INT(L36))*60),0)&lt;10,0,"")&amp;ROUND(((L36-INT(L36))*60),0)))</f>
        <v/>
      </c>
      <c r="O36" s="5" t="str">
        <f>IF(ISBLANK(D36),"",Open_time Control_1+(INT(M36)&amp;":"&amp;IF(ROUND(((M36-INT(M36))*60),0)&lt;10,0,"")&amp;ROUND(((M36-INT(M36))*60),0)))</f>
        <v/>
      </c>
    </row>
    <row r="37" spans="4:15" ht="16.95" customHeight="1" x14ac:dyDescent="0.25">
      <c r="D37" s="25"/>
      <c r="E37" s="74"/>
      <c r="F37" s="75"/>
      <c r="G37" s="75"/>
      <c r="H37" s="76"/>
      <c r="I37" s="75"/>
      <c r="J37" s="75"/>
      <c r="K37" s="76"/>
      <c r="L37" t="str">
        <f t="shared" si="5"/>
        <v/>
      </c>
      <c r="M37" t="str">
        <f t="shared" si="4"/>
        <v/>
      </c>
      <c r="N37" s="5" t="str">
        <f>IF(ISBLANK(D37),"",Open_time Control_1+(INT(L37)&amp;":"&amp;IF(ROUND(((L37-INT(L37))*60),0)&lt;10,0,"")&amp;ROUND(((L37-INT(L37))*60),0)))</f>
        <v/>
      </c>
      <c r="O37" s="5" t="str">
        <f>IF(ISBLANK(D37),"",Open_time Control_1+(INT(M37)&amp;":"&amp;IF(ROUND(((M37-INT(M37))*60),0)&lt;10,0,"")&amp;ROUND(((M37-INT(M37))*60),0)))</f>
        <v/>
      </c>
    </row>
    <row r="38" spans="4:15" ht="16.95" customHeight="1" thickBot="1" x14ac:dyDescent="0.3">
      <c r="D38" s="51"/>
      <c r="E38" s="77"/>
      <c r="F38" s="78"/>
      <c r="G38" s="78"/>
      <c r="H38" s="79"/>
      <c r="I38" s="78"/>
      <c r="J38" s="78"/>
      <c r="K38" s="79"/>
      <c r="L38" t="str">
        <f t="shared" si="5"/>
        <v/>
      </c>
      <c r="M38" t="str">
        <f t="shared" si="4"/>
        <v/>
      </c>
      <c r="N38" s="5" t="str">
        <f>IF(ISBLANK(D38),"",Open_time Control_1+(INT(L38)&amp;":"&amp;IF(ROUND(((L38-INT(L38))*60),0)&lt;10,0,"")&amp;ROUND(((L38-INT(L38))*60),0)))</f>
        <v/>
      </c>
      <c r="O38" s="5" t="str">
        <f>IF(ISBLANK(D38),"",Open_time Control_1+(INT(M38)&amp;":"&amp;IF(ROUND(((M38-INT(M38))*60),0)&lt;10,0,"")&amp;ROUND(((M38-INT(M38))*60),0)))</f>
        <v/>
      </c>
    </row>
    <row r="39" spans="4:15" ht="7.05" customHeight="1" thickBot="1" x14ac:dyDescent="0.4">
      <c r="D39" s="64"/>
      <c r="E39" s="65"/>
      <c r="F39" s="66"/>
      <c r="G39" s="66"/>
      <c r="H39" s="66"/>
      <c r="I39" s="66"/>
      <c r="J39" s="66"/>
      <c r="K39" s="67"/>
      <c r="N39" s="5"/>
      <c r="O39" s="5"/>
    </row>
    <row r="40" spans="4:15" ht="13.8" thickBot="1" x14ac:dyDescent="0.3">
      <c r="D40" s="125" t="s">
        <v>75</v>
      </c>
      <c r="E40" s="126"/>
      <c r="F40" s="126"/>
      <c r="G40" s="126"/>
      <c r="H40" s="126"/>
      <c r="I40" s="125" t="s">
        <v>74</v>
      </c>
      <c r="J40" s="126"/>
      <c r="K40" s="127"/>
    </row>
    <row r="41" spans="4:15" ht="14.4" thickBot="1" x14ac:dyDescent="0.35">
      <c r="D41" s="6" t="s">
        <v>21</v>
      </c>
      <c r="E41" s="7" t="s">
        <v>22</v>
      </c>
      <c r="F41" s="62" t="s">
        <v>23</v>
      </c>
      <c r="G41" s="62" t="s">
        <v>24</v>
      </c>
      <c r="H41" s="86" t="s">
        <v>25</v>
      </c>
      <c r="I41" s="7" t="s">
        <v>57</v>
      </c>
      <c r="J41" s="7" t="s">
        <v>58</v>
      </c>
      <c r="K41" s="8" t="s">
        <v>59</v>
      </c>
      <c r="L41" t="s">
        <v>3</v>
      </c>
      <c r="M41" t="s">
        <v>4</v>
      </c>
      <c r="N41" t="s">
        <v>5</v>
      </c>
      <c r="O41" t="s">
        <v>6</v>
      </c>
    </row>
    <row r="42" spans="4:15" ht="16.95" customHeight="1" x14ac:dyDescent="0.25">
      <c r="D42" s="25"/>
      <c r="E42" s="74"/>
      <c r="F42" s="75"/>
      <c r="G42" s="75"/>
      <c r="H42" s="76"/>
      <c r="I42" s="75"/>
      <c r="J42" s="75"/>
      <c r="K42" s="76"/>
      <c r="L42" t="str">
        <f>IF(ISBLANK(D42),"",IF(D42&gt;1000,(D42-1000)/26+33.0847,(IF(D42&gt;600,(D42-600)/28+18.799,(IF(D42&gt;400,(D42-400)/30+12.1324,(IF(D42&gt;200,(D42-200)/32+5.8824,D42/34))))))))</f>
        <v/>
      </c>
      <c r="M42" t="str">
        <f t="shared" ref="M42:M51" si="6">IF(ISBLANK(D42),"",IF((D42=0),1,IF(D42&gt;=brevet,IF(brevet&gt;1200,(brevet-1200)*75/1000+90,Max_time),IF(D42&gt;1200,(D42-1200)*75/1000+90,IF(D42&gt;1000,(D42-1000)/(1000/75)+75,IF(D42&gt;600,(D42-600)/(400/35)+40,IF(D42&lt;=60,D42/20+1,D42/15)))))))</f>
        <v/>
      </c>
      <c r="N42" s="5" t="str">
        <f>IF(ISBLANK(D42),"",Open_time Control_1+(INT(L42)&amp;":"&amp;IF(ROUND(((L42-INT(L42))*60),0)&lt;10,0,"")&amp;ROUND(((L42-INT(L42))*60),0)))</f>
        <v/>
      </c>
      <c r="O42" s="5" t="str">
        <f>IF(ISBLANK(D42),"",Open_time Control_1+(INT(M42)&amp;":"&amp;IF(ROUND(((M42-INT(M42))*60),0)&lt;10,0,"")&amp;ROUND(((M42-INT(M42))*60),0)))</f>
        <v/>
      </c>
    </row>
    <row r="43" spans="4:15" ht="16.95" customHeight="1" x14ac:dyDescent="0.25">
      <c r="D43" s="25"/>
      <c r="E43" s="74"/>
      <c r="F43" s="75"/>
      <c r="G43" s="75"/>
      <c r="H43" s="76"/>
      <c r="I43" s="75"/>
      <c r="J43" s="75"/>
      <c r="K43" s="76"/>
      <c r="L43" t="str">
        <f t="shared" ref="L43:L51" si="7">IF(ISBLANK(D43),"",IF(D43&gt;1000,(D43-1000)/26+33.0847,(IF(D43&gt;600,(D43-600)/28+18.799,(IF(D43&gt;400,(D43-400)/30+12.1324,(IF(D43&gt;200,(D43-200)/32+5.8824,D43/34))))))))</f>
        <v/>
      </c>
      <c r="M43" t="str">
        <f t="shared" si="6"/>
        <v/>
      </c>
      <c r="N43" s="5" t="str">
        <f>IF(ISBLANK(D43),"",Open_time Control_1+(INT(L43)&amp;":"&amp;IF(ROUND(((L43-INT(L43))*60),0)&lt;10,0,"")&amp;ROUND(((L43-INT(L43))*60),0)))</f>
        <v/>
      </c>
      <c r="O43" s="5" t="str">
        <f>IF(ISBLANK(D43),"",Open_time Control_1+(INT(M43)&amp;":"&amp;IF(ROUND(((M43-INT(M43))*60),0)&lt;10,0,"")&amp;ROUND(((M43-INT(M43))*60),0)))</f>
        <v/>
      </c>
    </row>
    <row r="44" spans="4:15" ht="16.95" customHeight="1" x14ac:dyDescent="0.25">
      <c r="D44" s="25"/>
      <c r="E44" s="74"/>
      <c r="F44" s="75"/>
      <c r="G44" s="75"/>
      <c r="H44" s="76"/>
      <c r="I44" s="75"/>
      <c r="J44" s="75"/>
      <c r="K44" s="76"/>
      <c r="L44" t="str">
        <f t="shared" si="7"/>
        <v/>
      </c>
      <c r="M44" t="str">
        <f t="shared" si="6"/>
        <v/>
      </c>
      <c r="N44" s="5" t="str">
        <f>IF(ISBLANK(D44),"",Open_time Control_1+(INT(L44)&amp;":"&amp;IF(ROUND(((L44-INT(L44))*60),0)&lt;10,0,"")&amp;ROUND(((L44-INT(L44))*60),0)))</f>
        <v/>
      </c>
      <c r="O44" s="5" t="str">
        <f>IF(ISBLANK(D44),"",Open_time Control_1+(INT(M44)&amp;":"&amp;IF(ROUND(((M44-INT(M44))*60),0)&lt;10,0,"")&amp;ROUND(((M44-INT(M44))*60),0)))</f>
        <v/>
      </c>
    </row>
    <row r="45" spans="4:15" ht="16.95" customHeight="1" x14ac:dyDescent="0.25">
      <c r="D45" s="25"/>
      <c r="E45" s="74"/>
      <c r="F45" s="75"/>
      <c r="G45" s="75"/>
      <c r="H45" s="76"/>
      <c r="I45" s="75"/>
      <c r="J45" s="75"/>
      <c r="K45" s="76"/>
      <c r="L45" t="str">
        <f t="shared" si="7"/>
        <v/>
      </c>
      <c r="M45" t="str">
        <f t="shared" si="6"/>
        <v/>
      </c>
      <c r="N45" s="5" t="str">
        <f>IF(ISBLANK(D45),"",Open_time Control_1+(INT(L45)&amp;":"&amp;IF(ROUND(((L45-INT(L45))*60),0)&lt;10,0,"")&amp;ROUND(((L45-INT(L45))*60),0)))</f>
        <v/>
      </c>
      <c r="O45" s="5" t="str">
        <f>IF(ISBLANK(D45),"",Open_time Control_1+(INT(M45)&amp;":"&amp;IF(ROUND(((M45-INT(M45))*60),0)&lt;10,0,"")&amp;ROUND(((M45-INT(M45))*60),0)))</f>
        <v/>
      </c>
    </row>
    <row r="46" spans="4:15" ht="16.95" customHeight="1" x14ac:dyDescent="0.25">
      <c r="D46" s="25"/>
      <c r="E46" s="74"/>
      <c r="F46" s="75"/>
      <c r="G46" s="75"/>
      <c r="H46" s="76"/>
      <c r="I46" s="75"/>
      <c r="J46" s="75"/>
      <c r="K46" s="76"/>
      <c r="L46" t="str">
        <f t="shared" si="7"/>
        <v/>
      </c>
      <c r="M46" t="str">
        <f t="shared" si="6"/>
        <v/>
      </c>
      <c r="N46" s="5" t="str">
        <f>IF(ISBLANK(D46),"",Open_time Control_1+(INT(L46)&amp;":"&amp;IF(ROUND(((L46-INT(L46))*60),0)&lt;10,0,"")&amp;ROUND(((L46-INT(L46))*60),0)))</f>
        <v/>
      </c>
      <c r="O46" s="5" t="str">
        <f>IF(ISBLANK(D46),"",Open_time Control_1+(INT(M46)&amp;":"&amp;IF(ROUND(((M46-INT(M46))*60),0)&lt;10,0,"")&amp;ROUND(((M46-INT(M46))*60),0)))</f>
        <v/>
      </c>
    </row>
    <row r="47" spans="4:15" ht="16.95" customHeight="1" x14ac:dyDescent="0.25">
      <c r="D47" s="25"/>
      <c r="E47" s="74"/>
      <c r="F47" s="75"/>
      <c r="G47" s="75"/>
      <c r="H47" s="76"/>
      <c r="I47" s="75"/>
      <c r="J47" s="75"/>
      <c r="K47" s="76"/>
      <c r="L47" t="str">
        <f t="shared" si="7"/>
        <v/>
      </c>
      <c r="M47" t="str">
        <f t="shared" si="6"/>
        <v/>
      </c>
      <c r="N47" s="5" t="str">
        <f>IF(ISBLANK(D47),"",Open_time Control_1+(INT(L47)&amp;":"&amp;IF(ROUND(((L47-INT(L47))*60),0)&lt;10,0,"")&amp;ROUND(((L47-INT(L47))*60),0)))</f>
        <v/>
      </c>
      <c r="O47" s="5" t="str">
        <f>IF(ISBLANK(D47),"",Open_time Control_1+(INT(M47)&amp;":"&amp;IF(ROUND(((M47-INT(M47))*60),0)&lt;10,0,"")&amp;ROUND(((M47-INT(M47))*60),0)))</f>
        <v/>
      </c>
    </row>
    <row r="48" spans="4:15" ht="16.95" customHeight="1" x14ac:dyDescent="0.25">
      <c r="D48" s="25"/>
      <c r="E48" s="74"/>
      <c r="F48" s="75"/>
      <c r="G48" s="75"/>
      <c r="H48" s="76"/>
      <c r="I48" s="75"/>
      <c r="J48" s="75"/>
      <c r="K48" s="76"/>
      <c r="L48" t="str">
        <f t="shared" si="7"/>
        <v/>
      </c>
      <c r="M48" t="str">
        <f t="shared" si="6"/>
        <v/>
      </c>
      <c r="N48" s="5" t="str">
        <f>IF(ISBLANK(D48),"",Open_time Control_1+(INT(L48)&amp;":"&amp;IF(ROUND(((L48-INT(L48))*60),0)&lt;10,0,"")&amp;ROUND(((L48-INT(L48))*60),0)))</f>
        <v/>
      </c>
      <c r="O48" s="5" t="str">
        <f>IF(ISBLANK(D48),"",Open_time Control_1+(INT(M48)&amp;":"&amp;IF(ROUND(((M48-INT(M48))*60),0)&lt;10,0,"")&amp;ROUND(((M48-INT(M48))*60),0)))</f>
        <v/>
      </c>
    </row>
    <row r="49" spans="4:15" ht="16.95" customHeight="1" x14ac:dyDescent="0.25">
      <c r="D49" s="25"/>
      <c r="E49" s="74"/>
      <c r="F49" s="75"/>
      <c r="G49" s="75"/>
      <c r="H49" s="76"/>
      <c r="I49" s="75"/>
      <c r="J49" s="75"/>
      <c r="K49" s="76"/>
      <c r="L49" t="str">
        <f t="shared" si="7"/>
        <v/>
      </c>
      <c r="M49" t="str">
        <f t="shared" si="6"/>
        <v/>
      </c>
      <c r="N49" s="5" t="str">
        <f>IF(ISBLANK(D49),"",Open_time Control_1+(INT(L49)&amp;":"&amp;IF(ROUND(((L49-INT(L49))*60),0)&lt;10,0,"")&amp;ROUND(((L49-INT(L49))*60),0)))</f>
        <v/>
      </c>
      <c r="O49" s="5" t="str">
        <f>IF(ISBLANK(D49),"",Open_time Control_1+(INT(M49)&amp;":"&amp;IF(ROUND(((M49-INT(M49))*60),0)&lt;10,0,"")&amp;ROUND(((M49-INT(M49))*60),0)))</f>
        <v/>
      </c>
    </row>
    <row r="50" spans="4:15" ht="16.95" customHeight="1" x14ac:dyDescent="0.25">
      <c r="D50" s="25"/>
      <c r="E50" s="74"/>
      <c r="F50" s="75"/>
      <c r="G50" s="75"/>
      <c r="H50" s="76"/>
      <c r="I50" s="75"/>
      <c r="J50" s="75"/>
      <c r="K50" s="76"/>
      <c r="L50" t="str">
        <f t="shared" si="7"/>
        <v/>
      </c>
      <c r="M50" t="str">
        <f t="shared" si="6"/>
        <v/>
      </c>
      <c r="N50" s="5" t="str">
        <f>IF(ISBLANK(D50),"",Open_time Control_1+(INT(L50)&amp;":"&amp;IF(ROUND(((L50-INT(L50))*60),0)&lt;10,0,"")&amp;ROUND(((L50-INT(L50))*60),0)))</f>
        <v/>
      </c>
      <c r="O50" s="5" t="str">
        <f>IF(ISBLANK(D50),"",Open_time Control_1+(INT(M50)&amp;":"&amp;IF(ROUND(((M50-INT(M50))*60),0)&lt;10,0,"")&amp;ROUND(((M50-INT(M50))*60),0)))</f>
        <v/>
      </c>
    </row>
    <row r="51" spans="4:15" ht="16.95" customHeight="1" thickBot="1" x14ac:dyDescent="0.3">
      <c r="D51" s="51"/>
      <c r="E51" s="77"/>
      <c r="F51" s="78"/>
      <c r="G51" s="78"/>
      <c r="H51" s="79"/>
      <c r="I51" s="78"/>
      <c r="J51" s="78"/>
      <c r="K51" s="79"/>
      <c r="L51" t="str">
        <f t="shared" si="7"/>
        <v/>
      </c>
      <c r="M51" t="str">
        <f t="shared" si="6"/>
        <v/>
      </c>
      <c r="N51" s="5" t="str">
        <f>IF(ISBLANK(D51),"",Open_time Control_1+(INT(L51)&amp;":"&amp;IF(ROUND(((L51-INT(L51))*60),0)&lt;10,0,"")&amp;ROUND(((L51-INT(L51))*60),0)))</f>
        <v/>
      </c>
      <c r="O51" s="5" t="str">
        <f>IF(ISBLANK(D51),"",Open_time Control_1+(INT(M51)&amp;":"&amp;IF(ROUND(((M51-INT(M51))*60),0)&lt;10,0,"")&amp;ROUND(((M51-INT(M51))*60),0)))</f>
        <v/>
      </c>
    </row>
    <row r="52" spans="4:15" ht="7.05" customHeight="1" thickBot="1" x14ac:dyDescent="0.4">
      <c r="D52" s="64"/>
      <c r="E52" s="65"/>
      <c r="F52" s="66"/>
      <c r="G52" s="66"/>
      <c r="H52" s="66"/>
      <c r="I52" s="66"/>
      <c r="J52" s="66"/>
      <c r="K52" s="67"/>
      <c r="N52" s="5"/>
      <c r="O52" s="5"/>
    </row>
    <row r="53" spans="4:15" ht="13.8" thickBot="1" x14ac:dyDescent="0.3">
      <c r="D53" s="125" t="s">
        <v>82</v>
      </c>
      <c r="E53" s="126"/>
      <c r="F53" s="126"/>
      <c r="G53" s="126"/>
      <c r="H53" s="126"/>
      <c r="I53" s="125" t="s">
        <v>83</v>
      </c>
      <c r="J53" s="126"/>
      <c r="K53" s="127"/>
    </row>
    <row r="54" spans="4:15" ht="14.4" thickBot="1" x14ac:dyDescent="0.35">
      <c r="D54" s="6" t="s">
        <v>21</v>
      </c>
      <c r="E54" s="7" t="s">
        <v>22</v>
      </c>
      <c r="F54" s="62" t="s">
        <v>23</v>
      </c>
      <c r="G54" s="62" t="s">
        <v>24</v>
      </c>
      <c r="H54" s="86" t="s">
        <v>25</v>
      </c>
      <c r="I54" s="7" t="s">
        <v>57</v>
      </c>
      <c r="J54" s="7" t="s">
        <v>58</v>
      </c>
      <c r="K54" s="8" t="s">
        <v>59</v>
      </c>
      <c r="L54" t="s">
        <v>3</v>
      </c>
      <c r="M54" t="s">
        <v>4</v>
      </c>
      <c r="N54" t="s">
        <v>5</v>
      </c>
      <c r="O54" t="s">
        <v>6</v>
      </c>
    </row>
    <row r="55" spans="4:15" ht="16.95" customHeight="1" x14ac:dyDescent="0.25">
      <c r="D55" s="25"/>
      <c r="E55" s="74"/>
      <c r="F55" s="75"/>
      <c r="G55" s="75"/>
      <c r="H55" s="76"/>
      <c r="I55" s="75"/>
      <c r="J55" s="75"/>
      <c r="K55" s="76"/>
      <c r="L55" t="str">
        <f>IF(ISBLANK(D55),"",IF(D55&gt;1000,(D55-1000)/26+33.0847,(IF(D55&gt;600,(D55-600)/28+18.799,(IF(D55&gt;400,(D55-400)/30+12.1324,(IF(D55&gt;200,(D55-200)/32+5.8824,D55/34))))))))</f>
        <v/>
      </c>
      <c r="M55" t="str">
        <f t="shared" ref="M55:M64" si="8">IF(ISBLANK(D55),"",IF((D55=0),1,IF(D55&gt;=brevet,IF(brevet&gt;1200,(brevet-1200)*75/1000+90,Max_time),IF(D55&gt;1200,(D55-1200)*75/1000+90,IF(D55&gt;1000,(D55-1000)/(1000/75)+75,IF(D55&gt;600,(D55-600)/(400/35)+40,IF(D55&lt;=60,D55/20+1,D55/15)))))))</f>
        <v/>
      </c>
      <c r="N55" s="5" t="str">
        <f>IF(ISBLANK(D55),"",Open_time Control_1+(INT(L55)&amp;":"&amp;IF(ROUND(((L55-INT(L55))*60),0)&lt;10,0,"")&amp;ROUND(((L55-INT(L55))*60),0)))</f>
        <v/>
      </c>
      <c r="O55" s="5" t="str">
        <f>IF(ISBLANK(D55),"",Open_time Control_1+(INT(M55)&amp;":"&amp;IF(ROUND(((M55-INT(M55))*60),0)&lt;10,0,"")&amp;ROUND(((M55-INT(M55))*60),0)))</f>
        <v/>
      </c>
    </row>
    <row r="56" spans="4:15" ht="16.95" customHeight="1" x14ac:dyDescent="0.25">
      <c r="D56" s="25"/>
      <c r="E56" s="74"/>
      <c r="F56" s="75"/>
      <c r="G56" s="75"/>
      <c r="H56" s="76"/>
      <c r="I56" s="75"/>
      <c r="J56" s="75"/>
      <c r="K56" s="76"/>
      <c r="L56" t="str">
        <f t="shared" ref="L56:L64" si="9">IF(ISBLANK(D56),"",IF(D56&gt;1000,(D56-1000)/26+33.0847,(IF(D56&gt;600,(D56-600)/28+18.799,(IF(D56&gt;400,(D56-400)/30+12.1324,(IF(D56&gt;200,(D56-200)/32+5.8824,D56/34))))))))</f>
        <v/>
      </c>
      <c r="M56" t="str">
        <f t="shared" si="8"/>
        <v/>
      </c>
      <c r="N56" s="5" t="str">
        <f>IF(ISBLANK(D56),"",Open_time Control_1+(INT(L56)&amp;":"&amp;IF(ROUND(((L56-INT(L56))*60),0)&lt;10,0,"")&amp;ROUND(((L56-INT(L56))*60),0)))</f>
        <v/>
      </c>
      <c r="O56" s="5" t="str">
        <f>IF(ISBLANK(D56),"",Open_time Control_1+(INT(M56)&amp;":"&amp;IF(ROUND(((M56-INT(M56))*60),0)&lt;10,0,"")&amp;ROUND(((M56-INT(M56))*60),0)))</f>
        <v/>
      </c>
    </row>
    <row r="57" spans="4:15" ht="16.95" customHeight="1" x14ac:dyDescent="0.25">
      <c r="D57" s="25"/>
      <c r="E57" s="74"/>
      <c r="F57" s="75"/>
      <c r="G57" s="75"/>
      <c r="H57" s="76"/>
      <c r="I57" s="75"/>
      <c r="J57" s="75"/>
      <c r="K57" s="76"/>
      <c r="L57" t="str">
        <f t="shared" si="9"/>
        <v/>
      </c>
      <c r="M57" t="str">
        <f t="shared" si="8"/>
        <v/>
      </c>
      <c r="N57" s="5" t="str">
        <f>IF(ISBLANK(D57),"",Open_time Control_1+(INT(L57)&amp;":"&amp;IF(ROUND(((L57-INT(L57))*60),0)&lt;10,0,"")&amp;ROUND(((L57-INT(L57))*60),0)))</f>
        <v/>
      </c>
      <c r="O57" s="5" t="str">
        <f>IF(ISBLANK(D57),"",Open_time Control_1+(INT(M57)&amp;":"&amp;IF(ROUND(((M57-INT(M57))*60),0)&lt;10,0,"")&amp;ROUND(((M57-INT(M57))*60),0)))</f>
        <v/>
      </c>
    </row>
    <row r="58" spans="4:15" ht="16.95" customHeight="1" x14ac:dyDescent="0.25">
      <c r="D58" s="25"/>
      <c r="E58" s="74"/>
      <c r="F58" s="75"/>
      <c r="G58" s="75"/>
      <c r="H58" s="76"/>
      <c r="I58" s="75"/>
      <c r="J58" s="75"/>
      <c r="K58" s="76"/>
      <c r="L58" t="str">
        <f t="shared" si="9"/>
        <v/>
      </c>
      <c r="M58" t="str">
        <f t="shared" si="8"/>
        <v/>
      </c>
      <c r="N58" s="5" t="str">
        <f>IF(ISBLANK(D58),"",Open_time Control_1+(INT(L58)&amp;":"&amp;IF(ROUND(((L58-INT(L58))*60),0)&lt;10,0,"")&amp;ROUND(((L58-INT(L58))*60),0)))</f>
        <v/>
      </c>
      <c r="O58" s="5" t="str">
        <f>IF(ISBLANK(D58),"",Open_time Control_1+(INT(M58)&amp;":"&amp;IF(ROUND(((M58-INT(M58))*60),0)&lt;10,0,"")&amp;ROUND(((M58-INT(M58))*60),0)))</f>
        <v/>
      </c>
    </row>
    <row r="59" spans="4:15" ht="16.95" customHeight="1" x14ac:dyDescent="0.25">
      <c r="D59" s="25"/>
      <c r="E59" s="74"/>
      <c r="F59" s="75"/>
      <c r="G59" s="75"/>
      <c r="H59" s="76"/>
      <c r="I59" s="75"/>
      <c r="J59" s="75"/>
      <c r="K59" s="76"/>
      <c r="L59" t="str">
        <f t="shared" si="9"/>
        <v/>
      </c>
      <c r="M59" t="str">
        <f t="shared" si="8"/>
        <v/>
      </c>
      <c r="N59" s="5" t="str">
        <f>IF(ISBLANK(D59),"",Open_time Control_1+(INT(L59)&amp;":"&amp;IF(ROUND(((L59-INT(L59))*60),0)&lt;10,0,"")&amp;ROUND(((L59-INT(L59))*60),0)))</f>
        <v/>
      </c>
      <c r="O59" s="5" t="str">
        <f>IF(ISBLANK(D59),"",Open_time Control_1+(INT(M59)&amp;":"&amp;IF(ROUND(((M59-INT(M59))*60),0)&lt;10,0,"")&amp;ROUND(((M59-INT(M59))*60),0)))</f>
        <v/>
      </c>
    </row>
    <row r="60" spans="4:15" ht="16.95" customHeight="1" x14ac:dyDescent="0.25">
      <c r="D60" s="25"/>
      <c r="E60" s="74"/>
      <c r="F60" s="75"/>
      <c r="G60" s="75"/>
      <c r="H60" s="76"/>
      <c r="I60" s="75"/>
      <c r="J60" s="75"/>
      <c r="K60" s="76"/>
      <c r="L60" t="str">
        <f t="shared" si="9"/>
        <v/>
      </c>
      <c r="M60" t="str">
        <f t="shared" si="8"/>
        <v/>
      </c>
      <c r="N60" s="5" t="str">
        <f>IF(ISBLANK(D60),"",Open_time Control_1+(INT(L60)&amp;":"&amp;IF(ROUND(((L60-INT(L60))*60),0)&lt;10,0,"")&amp;ROUND(((L60-INT(L60))*60),0)))</f>
        <v/>
      </c>
      <c r="O60" s="5" t="str">
        <f>IF(ISBLANK(D60),"",Open_time Control_1+(INT(M60)&amp;":"&amp;IF(ROUND(((M60-INT(M60))*60),0)&lt;10,0,"")&amp;ROUND(((M60-INT(M60))*60),0)))</f>
        <v/>
      </c>
    </row>
    <row r="61" spans="4:15" ht="16.95" customHeight="1" x14ac:dyDescent="0.25">
      <c r="D61" s="25"/>
      <c r="E61" s="74"/>
      <c r="F61" s="75"/>
      <c r="G61" s="75"/>
      <c r="H61" s="76"/>
      <c r="I61" s="75"/>
      <c r="J61" s="75"/>
      <c r="K61" s="76"/>
      <c r="L61" t="str">
        <f t="shared" si="9"/>
        <v/>
      </c>
      <c r="M61" t="str">
        <f t="shared" si="8"/>
        <v/>
      </c>
      <c r="N61" s="5" t="str">
        <f>IF(ISBLANK(D61),"",Open_time Control_1+(INT(L61)&amp;":"&amp;IF(ROUND(((L61-INT(L61))*60),0)&lt;10,0,"")&amp;ROUND(((L61-INT(L61))*60),0)))</f>
        <v/>
      </c>
      <c r="O61" s="5" t="str">
        <f>IF(ISBLANK(D61),"",Open_time Control_1+(INT(M61)&amp;":"&amp;IF(ROUND(((M61-INT(M61))*60),0)&lt;10,0,"")&amp;ROUND(((M61-INT(M61))*60),0)))</f>
        <v/>
      </c>
    </row>
    <row r="62" spans="4:15" ht="16.95" customHeight="1" x14ac:dyDescent="0.25">
      <c r="D62" s="25"/>
      <c r="E62" s="74"/>
      <c r="F62" s="75"/>
      <c r="G62" s="75"/>
      <c r="H62" s="76"/>
      <c r="I62" s="75"/>
      <c r="J62" s="75"/>
      <c r="K62" s="76"/>
      <c r="L62" t="str">
        <f t="shared" si="9"/>
        <v/>
      </c>
      <c r="M62" t="str">
        <f t="shared" si="8"/>
        <v/>
      </c>
      <c r="N62" s="5" t="str">
        <f>IF(ISBLANK(D62),"",Open_time Control_1+(INT(L62)&amp;":"&amp;IF(ROUND(((L62-INT(L62))*60),0)&lt;10,0,"")&amp;ROUND(((L62-INT(L62))*60),0)))</f>
        <v/>
      </c>
      <c r="O62" s="5" t="str">
        <f>IF(ISBLANK(D62),"",Open_time Control_1+(INT(M62)&amp;":"&amp;IF(ROUND(((M62-INT(M62))*60),0)&lt;10,0,"")&amp;ROUND(((M62-INT(M62))*60),0)))</f>
        <v/>
      </c>
    </row>
    <row r="63" spans="4:15" ht="16.95" customHeight="1" x14ac:dyDescent="0.25">
      <c r="D63" s="25"/>
      <c r="E63" s="74"/>
      <c r="F63" s="75"/>
      <c r="G63" s="75"/>
      <c r="H63" s="76"/>
      <c r="I63" s="75"/>
      <c r="J63" s="75"/>
      <c r="K63" s="76"/>
      <c r="L63" t="str">
        <f t="shared" si="9"/>
        <v/>
      </c>
      <c r="M63" t="str">
        <f t="shared" si="8"/>
        <v/>
      </c>
      <c r="N63" s="5" t="str">
        <f>IF(ISBLANK(D63),"",Open_time Control_1+(INT(L63)&amp;":"&amp;IF(ROUND(((L63-INT(L63))*60),0)&lt;10,0,"")&amp;ROUND(((L63-INT(L63))*60),0)))</f>
        <v/>
      </c>
      <c r="O63" s="5" t="str">
        <f>IF(ISBLANK(D63),"",Open_time Control_1+(INT(M63)&amp;":"&amp;IF(ROUND(((M63-INT(M63))*60),0)&lt;10,0,"")&amp;ROUND(((M63-INT(M63))*60),0)))</f>
        <v/>
      </c>
    </row>
    <row r="64" spans="4:15" ht="16.95" customHeight="1" thickBot="1" x14ac:dyDescent="0.3">
      <c r="D64" s="51"/>
      <c r="E64" s="77"/>
      <c r="F64" s="78"/>
      <c r="G64" s="78"/>
      <c r="H64" s="79"/>
      <c r="I64" s="78"/>
      <c r="J64" s="78"/>
      <c r="K64" s="79"/>
      <c r="L64" t="str">
        <f t="shared" si="9"/>
        <v/>
      </c>
      <c r="M64" t="str">
        <f t="shared" si="8"/>
        <v/>
      </c>
      <c r="N64" s="5" t="str">
        <f>IF(ISBLANK(D64),"",Open_time Control_1+(INT(L64)&amp;":"&amp;IF(ROUND(((L64-INT(L64))*60),0)&lt;10,0,"")&amp;ROUND(((L64-INT(L64))*60),0)))</f>
        <v/>
      </c>
      <c r="O64" s="5" t="str">
        <f>IF(ISBLANK(D64),"",Open_time Control_1+(INT(M64)&amp;":"&amp;IF(ROUND(((M64-INT(M64))*60),0)&lt;10,0,"")&amp;ROUND(((M64-INT(M64))*60),0)))</f>
        <v/>
      </c>
    </row>
  </sheetData>
  <sheetProtection formatCells="0" selectLockedCells="1"/>
  <mergeCells count="12">
    <mergeCell ref="D53:H53"/>
    <mergeCell ref="I53:K53"/>
    <mergeCell ref="Q1:Z5"/>
    <mergeCell ref="A1:H1"/>
    <mergeCell ref="B9:H9"/>
    <mergeCell ref="D40:H40"/>
    <mergeCell ref="I40:K40"/>
    <mergeCell ref="J6:K6"/>
    <mergeCell ref="D14:H14"/>
    <mergeCell ref="D27:H27"/>
    <mergeCell ref="I14:K14"/>
    <mergeCell ref="I27:K27"/>
  </mergeCells>
  <phoneticPr fontId="16" type="noConversion"/>
  <pageMargins left="0.75" right="0.75" top="1" bottom="1" header="0.5" footer="0.5"/>
  <pageSetup orientation="portrait" horizontalDpi="4294967292" verticalDpi="4294967292"/>
  <headerFooter>
    <oddHeader>&amp;A</oddHeader>
    <oddFooter>&amp;C_x000D_&amp;1#&amp;"Calibri"&amp;6&amp;K626469 Public</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view="pageLayout" zoomScale="92" zoomScaleNormal="92" zoomScalePageLayoutView="92" workbookViewId="0">
      <selection activeCell="I14" sqref="I14"/>
    </sheetView>
  </sheetViews>
  <sheetFormatPr defaultColWidth="8.77734375" defaultRowHeight="13.2" x14ac:dyDescent="0.25"/>
  <cols>
    <col min="1" max="1" width="8.44140625" style="1" customWidth="1"/>
    <col min="2" max="2" width="13.33203125" customWidth="1"/>
    <col min="3" max="3" width="12.6640625" customWidth="1"/>
    <col min="4" max="4" width="18" customWidth="1"/>
    <col min="5" max="5" width="23.77734375" customWidth="1"/>
    <col min="6" max="6" width="42" customWidth="1"/>
    <col min="7" max="7" width="13.44140625" customWidth="1"/>
    <col min="8" max="8" width="8" style="27" customWidth="1"/>
    <col min="9" max="9" width="12" customWidth="1"/>
    <col min="12" max="13" width="9" customWidth="1"/>
    <col min="14" max="14" width="7.21875" customWidth="1"/>
    <col min="18" max="18" width="10.33203125" customWidth="1"/>
    <col min="19" max="19" width="8.77734375" customWidth="1"/>
  </cols>
  <sheetData>
    <row r="1" spans="1:22" ht="21" thickBot="1" x14ac:dyDescent="0.3">
      <c r="A1" s="142" t="s">
        <v>76</v>
      </c>
      <c r="B1" s="142"/>
      <c r="C1" s="142"/>
      <c r="D1" s="142"/>
      <c r="E1" s="142"/>
      <c r="F1" s="142"/>
      <c r="G1" s="142"/>
      <c r="H1" s="26" t="s">
        <v>26</v>
      </c>
    </row>
    <row r="2" spans="1:22" ht="33.75" customHeight="1" thickBot="1" x14ac:dyDescent="0.35">
      <c r="A2" s="73" t="s">
        <v>27</v>
      </c>
      <c r="B2" s="9" t="s">
        <v>3</v>
      </c>
      <c r="C2" s="9" t="s">
        <v>4</v>
      </c>
      <c r="D2" s="9" t="s">
        <v>22</v>
      </c>
      <c r="E2" s="9" t="s">
        <v>28</v>
      </c>
      <c r="F2" s="9" t="s">
        <v>56</v>
      </c>
      <c r="G2" s="73" t="s">
        <v>29</v>
      </c>
      <c r="H2" s="26" t="s">
        <v>26</v>
      </c>
      <c r="K2" s="148" t="s">
        <v>52</v>
      </c>
      <c r="L2" s="148"/>
      <c r="M2" s="148"/>
      <c r="N2" s="148"/>
      <c r="O2" s="148"/>
      <c r="P2" s="148"/>
      <c r="Q2" s="148"/>
      <c r="R2" s="148"/>
      <c r="S2" s="148"/>
      <c r="T2" s="148"/>
      <c r="U2" s="148"/>
    </row>
    <row r="3" spans="1:22" ht="36" customHeight="1" x14ac:dyDescent="0.7">
      <c r="A3" s="28"/>
      <c r="B3" s="29">
        <f>Control_1 Open_time</f>
        <v>45724.333333333336</v>
      </c>
      <c r="C3" s="29">
        <f>Control_1 Close_time</f>
        <v>45724.375</v>
      </c>
      <c r="D3" s="30"/>
      <c r="E3" s="173" t="str">
        <f>IF(ISBLANK(Control_1 Establishment_1),"",Control_1 Establishment_1)</f>
        <v>START: BEAVER LAKE PARKING LOT -- 726 Beaver Lake Road</v>
      </c>
      <c r="F3" s="95" t="str">
        <f>IF(ISBLANK('Control Entry'!I16),"",'Control Entry'!I16)</f>
        <v/>
      </c>
      <c r="G3" s="96"/>
      <c r="H3" s="26" t="s">
        <v>26</v>
      </c>
      <c r="K3" s="13"/>
      <c r="O3" s="172" t="s">
        <v>30</v>
      </c>
      <c r="P3" s="172"/>
      <c r="Q3" s="172"/>
      <c r="R3" s="172"/>
      <c r="S3" s="84" t="str">
        <f>IF('Control Entry'!D29=0,"","#1")</f>
        <v/>
      </c>
      <c r="U3" s="41"/>
    </row>
    <row r="4" spans="1:22" ht="36" customHeight="1" x14ac:dyDescent="0.3">
      <c r="A4" s="37">
        <f>IF(ISBLANK(Distance Control_1),"",Control_1 Distance)</f>
        <v>0</v>
      </c>
      <c r="B4" s="38">
        <f>Control_1 Open_time</f>
        <v>45724.333333333336</v>
      </c>
      <c r="C4" s="38">
        <f>Control_1 Close_time</f>
        <v>45724.375</v>
      </c>
      <c r="D4" s="39" t="str">
        <f>IF(ISBLANK(Locale Control_1),"",Locale Control_1)</f>
        <v>BEAVER LAKE</v>
      </c>
      <c r="E4" s="174"/>
      <c r="F4" s="95" t="str">
        <f>IF(ISBLANK('Control Entry'!J16),"",'Control Entry'!J16)</f>
        <v/>
      </c>
      <c r="G4" s="96"/>
      <c r="H4" s="26" t="s">
        <v>26</v>
      </c>
      <c r="K4" s="13"/>
      <c r="M4" s="144" t="str">
        <f>IF(ISBLANK(brevet),"",brevet&amp;" km Randonnée")</f>
        <v>100 km Randonnée</v>
      </c>
      <c r="N4" s="144"/>
      <c r="O4" s="144"/>
      <c r="P4" s="144"/>
      <c r="Q4" s="144"/>
      <c r="R4" s="144"/>
      <c r="S4" s="144"/>
      <c r="T4" s="144"/>
      <c r="U4" s="42"/>
    </row>
    <row r="5" spans="1:22" ht="36" customHeight="1" thickBot="1" x14ac:dyDescent="0.4">
      <c r="A5" s="32"/>
      <c r="B5" s="33">
        <f>Control_1 Open_time</f>
        <v>45724.333333333336</v>
      </c>
      <c r="C5" s="33">
        <f>Control_1 Close_time</f>
        <v>45724.375</v>
      </c>
      <c r="D5" s="34"/>
      <c r="E5" s="175"/>
      <c r="F5" s="100" t="str">
        <f>IF(ISBLANK('Control Entry'!K16),"",'Control Entry'!K16)</f>
        <v/>
      </c>
      <c r="G5" s="99"/>
      <c r="H5" s="26" t="s">
        <v>26</v>
      </c>
      <c r="K5" s="13"/>
      <c r="M5" s="14"/>
      <c r="N5" s="170" t="s">
        <v>44</v>
      </c>
      <c r="O5" s="170"/>
      <c r="P5" s="60">
        <f>IF(ISBLANK(Brevet_Number),"",Brevet_Number)</f>
        <v>5496</v>
      </c>
      <c r="Q5" s="61"/>
      <c r="R5" s="147">
        <f>IF(ISBLANK('Control Entry'!$B11),"",'Control Entry'!$B11)</f>
        <v>45724</v>
      </c>
      <c r="S5" s="147"/>
      <c r="T5" s="147"/>
      <c r="U5" s="147"/>
      <c r="V5" s="43"/>
    </row>
    <row r="6" spans="1:22" ht="36" customHeight="1" x14ac:dyDescent="0.4">
      <c r="A6" s="28"/>
      <c r="B6" s="29">
        <f>Control_2 Open_time</f>
        <v>45724.350694444445</v>
      </c>
      <c r="C6" s="29">
        <f>Control_2 Close_time</f>
        <v>45724.416666666672</v>
      </c>
      <c r="D6" s="36"/>
      <c r="E6" s="31" t="str">
        <f>IF(ISBLANK(Control_2 Establishment_1),"",Control_2 Establishment_1)</f>
        <v>Information</v>
      </c>
      <c r="F6" s="95" t="str">
        <f>IF(ISBLANK('Control Entry'!I17),"",'Control Entry'!I17)</f>
        <v>Site Restored by</v>
      </c>
      <c r="G6" s="96"/>
      <c r="H6" s="26" t="s">
        <v>26</v>
      </c>
      <c r="K6" s="13"/>
      <c r="L6" s="161" t="str">
        <f>IF(ISBLANK(Brevet_Description),"",Brevet_Description)</f>
        <v>100km Gravel Permanent - Beaches &amp; Stream</v>
      </c>
      <c r="M6" s="161"/>
      <c r="N6" s="161"/>
      <c r="O6" s="161"/>
      <c r="P6" s="161"/>
      <c r="Q6" s="161"/>
      <c r="R6" s="161"/>
      <c r="S6" s="161"/>
      <c r="T6" s="161"/>
      <c r="U6" s="161"/>
    </row>
    <row r="7" spans="1:22" ht="36" customHeight="1" x14ac:dyDescent="0.3">
      <c r="A7" s="37">
        <f>IF(ISBLANK(Distance Control_2),"",Control_2 Distance)</f>
        <v>12.5</v>
      </c>
      <c r="B7" s="38">
        <f>Control_2 Open_time</f>
        <v>45724.350694444445</v>
      </c>
      <c r="C7" s="38">
        <f>Control_2 Close_time</f>
        <v>45724.416666666672</v>
      </c>
      <c r="D7" s="39" t="str">
        <f>IF(ISBLANK(Locale Control_2),"",Locale Control_2)</f>
        <v>PORTAGE INLET</v>
      </c>
      <c r="E7" s="52" t="str">
        <f>IF(ISBLANK(Control_2 Establishment_2),"",Control_2 Establishment_2)</f>
        <v/>
      </c>
      <c r="F7" s="97" t="str">
        <f>IF(ISBLANK('Control Entry'!J17),"",'Control Entry'!J17)</f>
        <v xml:space="preserve"> ________________________</v>
      </c>
      <c r="G7" s="96"/>
      <c r="H7" s="26" t="s">
        <v>26</v>
      </c>
      <c r="J7" s="83"/>
      <c r="L7" s="83"/>
    </row>
    <row r="8" spans="1:22" ht="36" customHeight="1" thickBot="1" x14ac:dyDescent="0.4">
      <c r="A8" s="32"/>
      <c r="B8" s="33">
        <f>Control_2 Open_time</f>
        <v>45724.350694444445</v>
      </c>
      <c r="C8" s="33">
        <f>Control_2 Close_time</f>
        <v>45724.416666666672</v>
      </c>
      <c r="D8" s="34"/>
      <c r="E8" s="82" t="str">
        <f>IF(ISBLANK(Control_2 Establishment_3),"",Control_2 Establishment_3)</f>
        <v/>
      </c>
      <c r="F8" s="98" t="str">
        <f>IF(ISBLANK('Control Entry'!K17),"",'Control Entry'!K17)</f>
        <v/>
      </c>
      <c r="G8" s="99"/>
      <c r="H8" s="26" t="s">
        <v>26</v>
      </c>
      <c r="J8" s="14" t="s">
        <v>31</v>
      </c>
      <c r="L8" s="149"/>
      <c r="M8" s="149"/>
      <c r="N8" s="149"/>
      <c r="O8" s="149"/>
      <c r="P8" s="149"/>
      <c r="Q8" s="149"/>
      <c r="R8" s="27"/>
      <c r="S8" s="44" t="s">
        <v>43</v>
      </c>
      <c r="T8" s="156"/>
      <c r="U8" s="156"/>
    </row>
    <row r="9" spans="1:22" ht="36" customHeight="1" thickBot="1" x14ac:dyDescent="0.5">
      <c r="A9" s="28"/>
      <c r="B9" s="29">
        <f>Control_3 Open_time</f>
        <v>45724.362500000003</v>
      </c>
      <c r="C9" s="29">
        <f>Control_3 Close_time</f>
        <v>45724.445833333339</v>
      </c>
      <c r="D9" s="167" t="str">
        <f>IF(ISBLANK(Locale Control_3),"",Locale Control_3)</f>
        <v>ESQUIMALT LAGOON / Hatley Castle</v>
      </c>
      <c r="E9" s="31" t="str">
        <f>IF(ISBLANK(Control_3 Establishment_1),"",Control_3 Establishment_1)</f>
        <v>Information</v>
      </c>
      <c r="F9" s="95" t="str">
        <f>IF(ISBLANK('Control Entry'!I18),"",'Control Entry'!I18)</f>
        <v>Plaque on bench under shelter</v>
      </c>
      <c r="G9" s="96"/>
      <c r="H9" s="26" t="s">
        <v>26</v>
      </c>
      <c r="J9" s="14" t="s">
        <v>32</v>
      </c>
      <c r="K9" s="14"/>
      <c r="L9" s="163" t="s">
        <v>51</v>
      </c>
      <c r="M9" s="163"/>
      <c r="N9" s="163"/>
      <c r="O9" s="163"/>
      <c r="P9" s="163"/>
      <c r="Q9" s="163"/>
      <c r="R9" s="163"/>
      <c r="S9" s="163"/>
      <c r="T9" s="163"/>
      <c r="U9" s="163"/>
    </row>
    <row r="10" spans="1:22" ht="36" customHeight="1" thickBot="1" x14ac:dyDescent="0.45">
      <c r="A10" s="37">
        <f>IF(ISBLANK(Distance Control_3),"",Control_3 Distance)</f>
        <v>21.2</v>
      </c>
      <c r="B10" s="38">
        <f>Control_3 Open_time</f>
        <v>45724.362500000003</v>
      </c>
      <c r="C10" s="38">
        <f>Control_3 Close_time</f>
        <v>45724.445833333339</v>
      </c>
      <c r="D10" s="168"/>
      <c r="E10" s="31" t="str">
        <f>IF(ISBLANK(Control_3 Establishment_2),"",Control_3 Establishment_2)</f>
        <v/>
      </c>
      <c r="F10" s="95" t="str">
        <f>IF(ISBLANK('Control Entry'!J18),"",'Control Entry'!J18)</f>
        <v>"A bird does not sing because he has an answer,  he sings</v>
      </c>
      <c r="G10" s="96"/>
      <c r="H10" s="26" t="s">
        <v>26</v>
      </c>
      <c r="J10" s="14"/>
      <c r="K10" s="14"/>
      <c r="L10" s="158"/>
      <c r="M10" s="158"/>
      <c r="N10" s="158"/>
      <c r="O10" s="158"/>
      <c r="P10" s="158"/>
      <c r="Q10" s="158"/>
      <c r="R10" s="158"/>
      <c r="S10" s="158"/>
      <c r="T10" s="158"/>
      <c r="U10" s="158"/>
    </row>
    <row r="11" spans="1:22" ht="36" customHeight="1" thickBot="1" x14ac:dyDescent="0.45">
      <c r="A11" s="32"/>
      <c r="B11" s="33">
        <f>Control_3 Open_time</f>
        <v>45724.362500000003</v>
      </c>
      <c r="C11" s="33">
        <f>Control_3 Close_time</f>
        <v>45724.445833333339</v>
      </c>
      <c r="D11" s="169"/>
      <c r="E11" s="35" t="str">
        <f>IF(ISBLANK(Control_3 Establishment_3),"",Control_3 Establishment_3)</f>
        <v/>
      </c>
      <c r="F11" s="100" t="str">
        <f>IF(ISBLANK('Control Entry'!K18),"",'Control Entry'!K18)</f>
        <v>because he has a __________"</v>
      </c>
      <c r="G11" s="99"/>
      <c r="H11" s="26" t="s">
        <v>26</v>
      </c>
      <c r="J11" s="14" t="s">
        <v>33</v>
      </c>
      <c r="K11" s="14"/>
      <c r="L11" s="158"/>
      <c r="M11" s="158"/>
      <c r="N11" s="158"/>
      <c r="O11" s="17"/>
      <c r="P11" s="17" t="s">
        <v>34</v>
      </c>
      <c r="Q11" s="17"/>
      <c r="R11" s="17"/>
      <c r="S11" s="145"/>
      <c r="T11" s="145"/>
      <c r="U11" s="145"/>
    </row>
    <row r="12" spans="1:22" ht="36" customHeight="1" thickBot="1" x14ac:dyDescent="0.45">
      <c r="A12" s="28"/>
      <c r="B12" s="29">
        <f>Control_4 Open_time</f>
        <v>45724.381944444445</v>
      </c>
      <c r="C12" s="29">
        <f>Control_4 Close_time</f>
        <v>45724.492361111115</v>
      </c>
      <c r="D12" s="36"/>
      <c r="E12" s="31" t="str">
        <f>IF(ISBLANK(Control_4 Establishment_1),"",Control_4 Establishment_1)</f>
        <v>Information</v>
      </c>
      <c r="F12" s="95" t="str">
        <f>IF(ISBLANK('Control Entry'!I19),"",'Control Entry'!I19)</f>
        <v/>
      </c>
      <c r="G12" s="96"/>
      <c r="H12" s="26" t="s">
        <v>26</v>
      </c>
      <c r="J12" s="14" t="s">
        <v>35</v>
      </c>
      <c r="K12" s="14"/>
      <c r="L12" s="158"/>
      <c r="M12" s="158"/>
      <c r="N12" s="158"/>
      <c r="O12" s="17"/>
      <c r="P12" s="17" t="s">
        <v>36</v>
      </c>
      <c r="Q12" s="17"/>
      <c r="R12" s="17"/>
      <c r="S12" s="145"/>
      <c r="T12" s="145"/>
      <c r="U12" s="145"/>
    </row>
    <row r="13" spans="1:22" ht="36" customHeight="1" thickBot="1" x14ac:dyDescent="0.45">
      <c r="A13" s="37">
        <f>IF(ISBLANK(Distance Control_4),"",Control_4 Distance)</f>
        <v>35.200000000000003</v>
      </c>
      <c r="B13" s="38">
        <f>Control_4 Open_time</f>
        <v>45724.381944444445</v>
      </c>
      <c r="C13" s="38">
        <f>Control_4 Close_time</f>
        <v>45724.492361111115</v>
      </c>
      <c r="D13" s="39" t="str">
        <f>IF(ISBLANK(Locale Control_4),"",Locale Control_4)</f>
        <v>WEIR'S BEACH</v>
      </c>
      <c r="E13" s="31" t="str">
        <f>IF(ISBLANK(Control_4 Establishment_2),"",Control_4 Establishment_2)</f>
        <v/>
      </c>
      <c r="F13" s="95" t="str">
        <f>IF(ISBLANK('Control Entry'!J19),"",'Control Entry'!J19)</f>
        <v>_________________ HAZARD ZONE</v>
      </c>
      <c r="G13" s="96"/>
      <c r="H13" s="26" t="s">
        <v>26</v>
      </c>
      <c r="J13" s="14" t="s">
        <v>37</v>
      </c>
      <c r="L13" s="166"/>
      <c r="M13" s="166"/>
      <c r="N13" s="166"/>
      <c r="O13" s="18"/>
      <c r="P13" s="17" t="s">
        <v>38</v>
      </c>
      <c r="Q13" s="17"/>
      <c r="R13" s="146"/>
      <c r="S13" s="146"/>
      <c r="T13" s="146"/>
      <c r="U13" s="146"/>
    </row>
    <row r="14" spans="1:22" ht="36" customHeight="1" thickBot="1" x14ac:dyDescent="0.4">
      <c r="A14" s="32"/>
      <c r="B14" s="33">
        <f>Control_4 Open_time</f>
        <v>45724.381944444445</v>
      </c>
      <c r="C14" s="33">
        <f>Control_4 Close_time</f>
        <v>45724.492361111115</v>
      </c>
      <c r="D14" s="34"/>
      <c r="E14" s="35" t="str">
        <f>IF(ISBLANK(Control_4 Establishment_3),"",Control_4 Establishment_3)</f>
        <v/>
      </c>
      <c r="F14" s="100" t="str">
        <f>IF(ISBLANK('Control Entry'!K19),"",'Control Entry'!K19)</f>
        <v/>
      </c>
      <c r="G14" s="99"/>
      <c r="H14" s="26" t="s">
        <v>26</v>
      </c>
    </row>
    <row r="15" spans="1:22" ht="36" customHeight="1" x14ac:dyDescent="0.35">
      <c r="A15" s="28"/>
      <c r="B15" s="29">
        <f>Control_5 Open_time</f>
        <v>45724.407638888893</v>
      </c>
      <c r="C15" s="29">
        <f>Control_5 Close_time</f>
        <v>45724.553472222222</v>
      </c>
      <c r="D15" s="36"/>
      <c r="E15" s="31" t="str">
        <f>IF(ISBLANK(Control_5 Establishment_1),"",Control_5 Establishment_1)</f>
        <v>Information</v>
      </c>
      <c r="F15" s="95" t="str">
        <f>IF(ISBLANK('Control Entry'!I20),"",'Control Entry'!I20)</f>
        <v xml:space="preserve">Trail closed from </v>
      </c>
      <c r="G15" s="96"/>
      <c r="H15" s="26" t="s">
        <v>26</v>
      </c>
      <c r="J15" s="14"/>
      <c r="L15" s="160" t="s">
        <v>55</v>
      </c>
      <c r="M15" s="160"/>
      <c r="N15" s="160"/>
      <c r="O15" s="160"/>
      <c r="P15" s="160"/>
      <c r="Q15" s="160"/>
      <c r="R15" s="160"/>
      <c r="S15" s="160"/>
      <c r="T15" s="160"/>
      <c r="U15" s="160"/>
    </row>
    <row r="16" spans="1:22" ht="36" customHeight="1" thickBot="1" x14ac:dyDescent="0.35">
      <c r="A16" s="37">
        <f>IF(ISBLANK(Distance Control_5),"",Control_5 Distance)</f>
        <v>53.6</v>
      </c>
      <c r="B16" s="38">
        <f>Control_5 Open_time</f>
        <v>45724.407638888893</v>
      </c>
      <c r="C16" s="38">
        <f>Control_5 Close_time</f>
        <v>45724.553472222222</v>
      </c>
      <c r="D16" s="39" t="str">
        <f>IF(ISBLANK(Locale Control_5),"",Locale Control_5)</f>
        <v>LANGFORD LAKE</v>
      </c>
      <c r="E16" s="31" t="str">
        <f>IF(ISBLANK(Control_5 Establishment_2),"",Control_5 Establishment_2)</f>
        <v/>
      </c>
      <c r="F16" s="95" t="str">
        <f>IF(ISBLANK('Control Entry'!J20),"",'Control Entry'!J20)</f>
        <v>________________________</v>
      </c>
      <c r="G16" s="96"/>
      <c r="H16" s="26" t="s">
        <v>26</v>
      </c>
      <c r="L16" s="164"/>
      <c r="M16" s="164"/>
      <c r="N16" s="164"/>
      <c r="O16" s="164"/>
      <c r="P16" s="164"/>
      <c r="Q16" s="164"/>
      <c r="R16" s="164"/>
      <c r="S16" s="164"/>
      <c r="T16" s="164"/>
      <c r="U16" s="164"/>
    </row>
    <row r="17" spans="1:22" ht="36" customHeight="1" thickBot="1" x14ac:dyDescent="0.4">
      <c r="A17" s="32"/>
      <c r="B17" s="33">
        <f>Control_5 Open_time</f>
        <v>45724.407638888893</v>
      </c>
      <c r="C17" s="33">
        <f>Control_5 Close_time</f>
        <v>45724.553472222222</v>
      </c>
      <c r="D17" s="34"/>
      <c r="E17" s="35" t="str">
        <f>IF(ISBLANK(Control_5 Establishment_3),"",Control_5 Establishment_3)</f>
        <v/>
      </c>
      <c r="F17" s="100" t="str">
        <f>IF(ISBLANK('Control Entry'!K20),"",'Control Entry'!K20)</f>
        <v/>
      </c>
      <c r="G17" s="99"/>
      <c r="H17" s="26" t="s">
        <v>26</v>
      </c>
    </row>
    <row r="18" spans="1:22" ht="36" customHeight="1" x14ac:dyDescent="0.35">
      <c r="A18" s="28"/>
      <c r="B18" s="29">
        <f>Control_6 Open_time</f>
        <v>45724.436111111114</v>
      </c>
      <c r="C18" s="29">
        <f>Control_6 Close_time</f>
        <v>45724.621527777781</v>
      </c>
      <c r="D18" s="36"/>
      <c r="E18" s="31" t="str">
        <f>IF(ISBLANK(Control_6 Establishment_1),"",Control_6 Establishment_1)</f>
        <v>Information</v>
      </c>
      <c r="F18" s="95" t="str">
        <f>IF(ISBLANK('Control Entry'!I21),"",'Control Entry'!I21)</f>
        <v>Number of diamond shaped</v>
      </c>
      <c r="G18" s="96"/>
      <c r="H18" s="26" t="s">
        <v>26</v>
      </c>
    </row>
    <row r="19" spans="1:22" ht="36" customHeight="1" x14ac:dyDescent="0.3">
      <c r="A19" s="37">
        <f>IF(ISBLANK(Distance Control_6),"",Control_6 Distance)</f>
        <v>73.900000000000006</v>
      </c>
      <c r="B19" s="38">
        <f>Control_6 Open_time</f>
        <v>45724.436111111114</v>
      </c>
      <c r="C19" s="38">
        <f>Control_6 Close_time</f>
        <v>45724.621527777781</v>
      </c>
      <c r="D19" s="39" t="str">
        <f>IF(ISBLANK(Locale Control_6),"",Locale Control_6)</f>
        <v>EAGLES LAKE</v>
      </c>
      <c r="E19" s="31" t="str">
        <f>IF(ISBLANK(Control_6 Establishment_2),"",Control_6 Establishment_2)</f>
        <v/>
      </c>
      <c r="F19" s="95" t="str">
        <f>IF(ISBLANK('Control Entry'!J21),"",'Control Entry'!J21)</f>
        <v>windows above cool bench behind bathroom</v>
      </c>
      <c r="G19" s="96"/>
      <c r="H19" s="26" t="s">
        <v>26</v>
      </c>
    </row>
    <row r="20" spans="1:22" ht="36" customHeight="1" thickBot="1" x14ac:dyDescent="0.4">
      <c r="A20" s="32"/>
      <c r="B20" s="33">
        <f>Control_6 Open_time</f>
        <v>45724.436111111114</v>
      </c>
      <c r="C20" s="33">
        <f>Control_6 Close_time</f>
        <v>45724.621527777781</v>
      </c>
      <c r="D20" s="34"/>
      <c r="E20" s="35" t="str">
        <f>IF(ISBLANK(Control_6 Establishment_3),"",Control_6 Establishment_3)</f>
        <v/>
      </c>
      <c r="F20" s="100" t="str">
        <f>IF(ISBLANK('Control Entry'!K21),"",'Control Entry'!K21)</f>
        <v>_________</v>
      </c>
      <c r="G20" s="99"/>
      <c r="H20" s="26" t="s">
        <v>26</v>
      </c>
      <c r="J20" s="58" t="s">
        <v>41</v>
      </c>
      <c r="K20" s="58"/>
      <c r="L20" s="157">
        <f>IF(ISBLANK('Control Entry'!B13),"",'Control Entry'!B13)</f>
        <v>45724</v>
      </c>
      <c r="M20" s="157"/>
      <c r="N20" s="157"/>
      <c r="P20" s="17" t="s">
        <v>0</v>
      </c>
      <c r="Q20" s="17"/>
      <c r="S20" s="159">
        <f>IF(ISBLANK('Control Entry'!B14),"",'Control Entry'!B14)</f>
        <v>0.33333333333333331</v>
      </c>
      <c r="T20" s="159"/>
      <c r="U20" s="159"/>
    </row>
    <row r="21" spans="1:22" ht="36" customHeight="1" x14ac:dyDescent="0.35">
      <c r="A21" s="28"/>
      <c r="B21" s="29">
        <f>Control_7 Open_time</f>
        <v>45724.454861111117</v>
      </c>
      <c r="C21" s="29">
        <f>Control_7 Close_time</f>
        <v>45724.666666666672</v>
      </c>
      <c r="D21" s="36"/>
      <c r="E21" s="31" t="str">
        <f>IF(ISBLANK(Control_7 Establishment_1),"",Control_7 Establishment_1)</f>
        <v>Information</v>
      </c>
      <c r="F21" s="95" t="str">
        <f>IF(ISBLANK('Control Entry'!I22),"",'Control Entry'!I22)</f>
        <v>STUMPY AND</v>
      </c>
      <c r="G21" s="96"/>
      <c r="H21" s="26" t="s">
        <v>26</v>
      </c>
      <c r="J21" s="58"/>
      <c r="K21" s="58"/>
      <c r="L21" s="56"/>
      <c r="M21" s="56"/>
      <c r="N21" s="56"/>
      <c r="P21" s="17"/>
      <c r="Q21" s="17"/>
      <c r="R21" s="21"/>
      <c r="S21" s="59"/>
      <c r="T21" s="59"/>
      <c r="U21" s="59"/>
      <c r="V21" s="27"/>
    </row>
    <row r="22" spans="1:22" ht="36" customHeight="1" thickBot="1" x14ac:dyDescent="0.4">
      <c r="A22" s="37">
        <f>IF(ISBLANK(Distance Control_7),"",Control_7 Distance)</f>
        <v>87.5</v>
      </c>
      <c r="B22" s="38">
        <f>Control_7 Open_time</f>
        <v>45724.454861111117</v>
      </c>
      <c r="C22" s="38">
        <f>Control_7 Close_time</f>
        <v>45724.666666666672</v>
      </c>
      <c r="D22" s="39" t="str">
        <f>IF(ISBLANK(Locale Control_7),"",Locale Control_7)</f>
        <v>SKYLINE CRESCENT</v>
      </c>
      <c r="E22" s="31" t="str">
        <f>IF(ISBLANK(Control_7 Establishment_2),"",Control_7 Establishment_2)</f>
        <v/>
      </c>
      <c r="F22" s="95" t="str">
        <f>IF(ISBLANK('Control Entry'!J22),"",'Control Entry'!J22)</f>
        <v>______________________</v>
      </c>
      <c r="G22" s="96"/>
      <c r="H22" s="26" t="s">
        <v>26</v>
      </c>
      <c r="J22" s="57" t="s">
        <v>42</v>
      </c>
      <c r="K22" s="57"/>
      <c r="L22" s="165"/>
      <c r="M22" s="165"/>
      <c r="N22" s="165"/>
      <c r="O22" s="18"/>
      <c r="P22" s="17" t="s">
        <v>1</v>
      </c>
      <c r="Q22" s="17"/>
      <c r="R22" s="18"/>
      <c r="S22" s="162"/>
      <c r="T22" s="162"/>
      <c r="U22" s="162"/>
    </row>
    <row r="23" spans="1:22" ht="36" customHeight="1" thickBot="1" x14ac:dyDescent="0.4">
      <c r="A23" s="32"/>
      <c r="B23" s="33">
        <f>Control_7 Open_time</f>
        <v>45724.454861111117</v>
      </c>
      <c r="C23" s="33">
        <f>Control_7 Close_time</f>
        <v>45724.666666666672</v>
      </c>
      <c r="D23" s="34"/>
      <c r="E23" s="35" t="str">
        <f>IF(ISBLANK(Control_7 Establishment_3),"",Control_7 Establishment_3)</f>
        <v/>
      </c>
      <c r="F23" s="100" t="str">
        <f>IF(ISBLANK('Control Entry'!K22),"",'Control Entry'!K22)</f>
        <v/>
      </c>
      <c r="G23" s="99"/>
      <c r="H23" s="26" t="s">
        <v>26</v>
      </c>
      <c r="J23" s="57"/>
      <c r="K23" s="57"/>
      <c r="L23" s="56"/>
      <c r="M23" s="56"/>
      <c r="N23" s="56"/>
      <c r="O23" s="21"/>
      <c r="P23" s="55"/>
      <c r="Q23" s="55"/>
      <c r="R23" s="21"/>
      <c r="S23" s="21"/>
      <c r="T23" s="21"/>
      <c r="U23" s="21"/>
      <c r="V23" s="27"/>
    </row>
    <row r="24" spans="1:22" ht="36" customHeight="1" thickBot="1" x14ac:dyDescent="0.4">
      <c r="A24" s="28"/>
      <c r="B24" s="29">
        <f>Control_8 Open_time</f>
        <v>45724.477083333339</v>
      </c>
      <c r="C24" s="29">
        <f>Control_8 Close_time</f>
        <v>45724.719444444447</v>
      </c>
      <c r="D24" s="36"/>
      <c r="E24" s="31" t="str">
        <f>IF(ISBLANK(Control_8 Establishment_1),"",Control_8 Establishment_1)</f>
        <v>FINISH:  BEAVER LAKE PARKING LOT</v>
      </c>
      <c r="F24" s="95" t="str">
        <f>IF(ISBLANK('Control Entry'!I23),"",'Control Entry'!I23)</f>
        <v/>
      </c>
      <c r="G24" s="96"/>
      <c r="H24" s="26" t="s">
        <v>26</v>
      </c>
      <c r="J24" s="162"/>
      <c r="K24" s="162"/>
      <c r="L24" s="162"/>
      <c r="M24" s="162"/>
      <c r="N24" s="162"/>
      <c r="O24" s="18"/>
      <c r="P24" s="17" t="s">
        <v>2</v>
      </c>
      <c r="Q24" s="17"/>
      <c r="R24" s="18"/>
      <c r="S24" s="162"/>
      <c r="T24" s="162"/>
      <c r="U24" s="162"/>
    </row>
    <row r="25" spans="1:22" ht="36" customHeight="1" x14ac:dyDescent="0.3">
      <c r="A25" s="37">
        <f>IF(ISBLANK(Distance Control_8),"",Control_8 Distance)</f>
        <v>103.3</v>
      </c>
      <c r="B25" s="38">
        <f>Control_8 Open_time</f>
        <v>45724.477083333339</v>
      </c>
      <c r="C25" s="38">
        <f>Control_8 Close_time</f>
        <v>45724.719444444447</v>
      </c>
      <c r="D25" s="39" t="str">
        <f>IF(ISBLANK(Locale Control_8),"",Locale Control_8)</f>
        <v>BEAVER LAKE</v>
      </c>
      <c r="E25" s="31" t="str">
        <f>IF(ISBLANK(Control_8 Establishment_2),"",Control_8 Establishment_2)</f>
        <v/>
      </c>
      <c r="F25" s="95" t="str">
        <f>IF(ISBLANK('Control Entry'!J23),"",'Control Entry'!J23)</f>
        <v/>
      </c>
      <c r="G25" s="96"/>
      <c r="H25" s="26" t="s">
        <v>26</v>
      </c>
      <c r="J25" s="171" t="s">
        <v>17</v>
      </c>
      <c r="K25" s="171"/>
      <c r="L25" s="171"/>
      <c r="M25" s="171"/>
      <c r="N25" s="171"/>
      <c r="O25" s="50"/>
      <c r="P25" s="137"/>
      <c r="Q25" s="137"/>
      <c r="R25" s="50"/>
      <c r="S25" s="135"/>
      <c r="T25" s="135"/>
      <c r="U25" s="135"/>
      <c r="V25" s="135"/>
    </row>
    <row r="26" spans="1:22" ht="36" customHeight="1" thickBot="1" x14ac:dyDescent="0.4">
      <c r="A26" s="32"/>
      <c r="B26" s="33">
        <f>Control_8 Open_time</f>
        <v>45724.477083333339</v>
      </c>
      <c r="C26" s="33">
        <f>Control_8 Close_time</f>
        <v>45724.719444444447</v>
      </c>
      <c r="D26" s="34"/>
      <c r="E26" s="35" t="str">
        <f>IF(ISBLANK(Control_8 Establishment_3),"",Control_8 Establishment_3)</f>
        <v/>
      </c>
      <c r="F26" s="100" t="str">
        <f>IF(ISBLANK('Control Entry'!K23),"",'Control Entry'!K23)</f>
        <v/>
      </c>
      <c r="G26" s="99"/>
      <c r="H26" s="26" t="s">
        <v>26</v>
      </c>
    </row>
    <row r="27" spans="1:22" ht="36" customHeight="1" x14ac:dyDescent="0.35">
      <c r="A27" s="28"/>
      <c r="B27" s="29" t="str">
        <f>Control_9 Open_time</f>
        <v/>
      </c>
      <c r="C27" s="29" t="str">
        <f>Control_9 Close_time</f>
        <v/>
      </c>
      <c r="D27" s="36"/>
      <c r="E27" s="31" t="str">
        <f>IF(ISBLANK(Control_9 Establishment_1),"",Control_9 Establishment_1)</f>
        <v/>
      </c>
      <c r="F27" s="95" t="str">
        <f>IF(ISBLANK('Control Entry'!I24),"",'Control Entry'!I24)</f>
        <v/>
      </c>
      <c r="G27" s="96"/>
      <c r="H27" s="26" t="s">
        <v>26</v>
      </c>
      <c r="K27" s="144" t="s">
        <v>53</v>
      </c>
      <c r="L27" s="137"/>
      <c r="M27" s="49" t="s">
        <v>54</v>
      </c>
      <c r="N27" s="137" t="s">
        <v>46</v>
      </c>
      <c r="O27" s="137"/>
      <c r="P27" s="137" t="s">
        <v>47</v>
      </c>
      <c r="Q27" s="137"/>
      <c r="R27" s="50" t="s">
        <v>48</v>
      </c>
      <c r="S27" s="135" t="s">
        <v>49</v>
      </c>
      <c r="T27" s="135"/>
      <c r="U27" s="135" t="s">
        <v>50</v>
      </c>
      <c r="V27" s="135"/>
    </row>
    <row r="28" spans="1:22" ht="36" customHeight="1" x14ac:dyDescent="0.3">
      <c r="A28" s="37" t="str">
        <f>IF(ISBLANK(Distance Control_9),"",Control_9 Distance)</f>
        <v/>
      </c>
      <c r="B28" s="38" t="str">
        <f>Control_9 Open_time</f>
        <v/>
      </c>
      <c r="C28" s="38" t="str">
        <f>Control_9 Close_time</f>
        <v/>
      </c>
      <c r="D28" s="39" t="str">
        <f>IF(ISBLANK(Locale Control_9),"",Locale Control_9)</f>
        <v/>
      </c>
      <c r="E28" s="31" t="str">
        <f>IF(ISBLANK(Control_9 Establishment_2),"",Control_9 Establishment_2)</f>
        <v/>
      </c>
      <c r="F28" s="95" t="str">
        <f>IF(ISBLANK('Control Entry'!J24),"",'Control Entry'!J24)</f>
        <v/>
      </c>
      <c r="G28" s="96"/>
      <c r="H28" s="26" t="s">
        <v>26</v>
      </c>
    </row>
    <row r="29" spans="1:22" ht="36" customHeight="1" thickBot="1" x14ac:dyDescent="0.4">
      <c r="A29" s="32"/>
      <c r="B29" s="33" t="str">
        <f>Control_9 Open_time</f>
        <v/>
      </c>
      <c r="C29" s="33" t="str">
        <f>Control_9 Close_time</f>
        <v/>
      </c>
      <c r="D29" s="34"/>
      <c r="E29" s="35" t="str">
        <f>IF(ISBLANK(Control_9 Establishment_3),"",Control_9 Establishment_3)</f>
        <v/>
      </c>
      <c r="F29" s="100" t="str">
        <f>IF(ISBLANK('Control Entry'!K24),"",'Control Entry'!K24)</f>
        <v/>
      </c>
      <c r="G29" s="99"/>
      <c r="H29" s="26" t="s">
        <v>26</v>
      </c>
      <c r="M29" s="136" t="s">
        <v>39</v>
      </c>
      <c r="N29" s="136"/>
      <c r="O29" s="136"/>
      <c r="P29" s="136"/>
      <c r="Q29" s="136"/>
      <c r="R29" s="136"/>
      <c r="S29" s="136"/>
      <c r="T29" s="136"/>
      <c r="U29" s="53"/>
    </row>
    <row r="30" spans="1:22" ht="36" customHeight="1" x14ac:dyDescent="0.35">
      <c r="A30" s="28"/>
      <c r="B30" s="29" t="str">
        <f>Control_10 Open_time</f>
        <v/>
      </c>
      <c r="C30" s="29" t="str">
        <f>Control_10 Close_time</f>
        <v/>
      </c>
      <c r="D30" s="36"/>
      <c r="E30" s="31" t="str">
        <f>IF(ISBLANK(Control_10 Establishment_1),"",Control_10 Establishment_1)</f>
        <v/>
      </c>
      <c r="F30" s="95" t="str">
        <f>IF(ISBLANK('Control Entry'!I25),"",'Control Entry'!I25)</f>
        <v/>
      </c>
      <c r="G30" s="96"/>
      <c r="H30" s="26" t="s">
        <v>26</v>
      </c>
      <c r="M30" s="15"/>
      <c r="N30" s="19"/>
      <c r="O30" s="19"/>
      <c r="P30" s="20"/>
      <c r="Q30" s="102"/>
      <c r="R30" s="19"/>
      <c r="S30" s="19"/>
      <c r="T30" s="20"/>
      <c r="U30" s="21"/>
    </row>
    <row r="31" spans="1:22" ht="36" customHeight="1" x14ac:dyDescent="0.3">
      <c r="A31" s="37" t="str">
        <f>IF(ISBLANK(Distance Control_10),"",Control_10 Distance)</f>
        <v/>
      </c>
      <c r="B31" s="38" t="str">
        <f>Control_10 Open_time</f>
        <v/>
      </c>
      <c r="C31" s="38" t="str">
        <f>Control_10 Close_time</f>
        <v/>
      </c>
      <c r="D31" s="39" t="str">
        <f>IF(ISBLANK(Locale Control_10),"",Locale Control_10)</f>
        <v/>
      </c>
      <c r="E31" s="31" t="str">
        <f>IF(ISBLANK(Control_10 Establishment_2),"",Control_10 Establishment_2)</f>
        <v/>
      </c>
      <c r="F31" s="95" t="str">
        <f>IF(ISBLANK('Control Entry'!J25),"",'Control Entry'!J25)</f>
        <v/>
      </c>
      <c r="G31" s="96"/>
      <c r="H31" s="26" t="s">
        <v>26</v>
      </c>
      <c r="M31" s="16"/>
      <c r="N31" s="21"/>
      <c r="O31" s="21"/>
      <c r="P31" s="22"/>
      <c r="Q31" s="103"/>
      <c r="R31" s="21"/>
      <c r="S31" s="21"/>
      <c r="T31" s="22"/>
      <c r="U31" s="21"/>
    </row>
    <row r="32" spans="1:22" ht="36" customHeight="1" thickBot="1" x14ac:dyDescent="0.4">
      <c r="A32" s="32"/>
      <c r="B32" s="33" t="str">
        <f>Control_10 Open_time</f>
        <v/>
      </c>
      <c r="C32" s="33" t="str">
        <f>Control_10 Close_time</f>
        <v/>
      </c>
      <c r="D32" s="34"/>
      <c r="E32" s="35" t="str">
        <f>IF(ISBLANK(Control_10 Establishment_3),"",Control_10 Establishment_3)</f>
        <v/>
      </c>
      <c r="F32" s="100" t="str">
        <f>IF(ISBLANK('Control Entry'!K25),"",'Control Entry'!K25)</f>
        <v/>
      </c>
      <c r="G32" s="99"/>
      <c r="H32" s="26" t="s">
        <v>26</v>
      </c>
      <c r="M32" s="150" t="s">
        <v>78</v>
      </c>
      <c r="N32" s="151"/>
      <c r="O32" s="151"/>
      <c r="P32" s="152"/>
      <c r="Q32" s="153">
        <f>'Control Entry'!B3</f>
        <v>44990</v>
      </c>
      <c r="R32" s="154"/>
      <c r="S32" s="154"/>
      <c r="T32" s="155"/>
      <c r="U32" s="21"/>
    </row>
    <row r="33" spans="1:22" ht="36" customHeight="1" x14ac:dyDescent="0.35">
      <c r="A33" s="143" t="s">
        <v>40</v>
      </c>
      <c r="B33" s="143"/>
      <c r="C33" s="143"/>
      <c r="D33" s="143"/>
      <c r="E33" s="143"/>
      <c r="F33" s="143"/>
      <c r="G33" s="143"/>
      <c r="H33" s="40"/>
      <c r="I33" s="40"/>
      <c r="M33" s="138" t="s">
        <v>81</v>
      </c>
      <c r="N33" s="139"/>
      <c r="O33" s="139"/>
      <c r="P33" s="139"/>
      <c r="Q33" s="140">
        <f>'Control Entry'!B4</f>
        <v>44992</v>
      </c>
      <c r="R33" s="141"/>
      <c r="S33" s="141"/>
      <c r="T33" s="141"/>
      <c r="U33" s="91"/>
      <c r="V33" s="48"/>
    </row>
    <row r="34" spans="1:22" ht="36" customHeight="1" x14ac:dyDescent="0.35">
      <c r="A34"/>
      <c r="O34" s="46"/>
      <c r="P34" s="46"/>
      <c r="Q34" s="46"/>
      <c r="R34" s="45"/>
    </row>
    <row r="35" spans="1:22" ht="36" customHeight="1" x14ac:dyDescent="0.25">
      <c r="A35"/>
      <c r="N35" s="136"/>
      <c r="O35" s="136"/>
      <c r="P35" s="136"/>
      <c r="Q35" s="136"/>
      <c r="R35" s="136"/>
      <c r="S35" s="136"/>
      <c r="T35" s="136"/>
      <c r="U35" s="136"/>
    </row>
    <row r="36" spans="1:22" ht="36" customHeight="1" x14ac:dyDescent="0.25">
      <c r="A36"/>
      <c r="N36" s="27"/>
      <c r="O36" s="21"/>
      <c r="P36" s="21"/>
      <c r="Q36" s="21"/>
      <c r="R36" s="21"/>
      <c r="S36" s="21"/>
      <c r="T36" s="21"/>
      <c r="U36" s="21"/>
    </row>
    <row r="37" spans="1:22" ht="36" customHeight="1" x14ac:dyDescent="0.25">
      <c r="A37"/>
      <c r="N37" s="27"/>
      <c r="O37" s="21"/>
      <c r="P37" s="21"/>
      <c r="Q37" s="21"/>
      <c r="R37" s="21"/>
      <c r="S37" s="21"/>
      <c r="T37" s="21"/>
      <c r="U37" s="21"/>
    </row>
    <row r="38" spans="1:22" ht="36" customHeight="1" x14ac:dyDescent="0.35">
      <c r="A38"/>
      <c r="N38" s="54"/>
      <c r="O38" s="21"/>
      <c r="P38" s="21"/>
      <c r="Q38" s="21"/>
      <c r="R38" s="21"/>
      <c r="S38" s="21"/>
      <c r="T38" s="21"/>
      <c r="U38" s="21"/>
    </row>
    <row r="39" spans="1:22" ht="36" customHeight="1" x14ac:dyDescent="0.25">
      <c r="A39"/>
    </row>
    <row r="40" spans="1:22" ht="36" customHeight="1" x14ac:dyDescent="0.25">
      <c r="A40"/>
    </row>
  </sheetData>
  <sheetProtection formatCells="0" selectLockedCells="1"/>
  <mergeCells count="43">
    <mergeCell ref="D9:D11"/>
    <mergeCell ref="N5:O5"/>
    <mergeCell ref="K27:L27"/>
    <mergeCell ref="J25:N25"/>
    <mergeCell ref="O3:R3"/>
    <mergeCell ref="E3:E5"/>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48532608695652174" right="0.2" top="0.3490942028985507" bottom="0.2" header="0.51" footer="0.51"/>
  <pageSetup scale="46" orientation="landscape" horizontalDpi="1200" verticalDpi="1200" r:id="rId1"/>
  <headerFooter>
    <oddFooter>&amp;C_x000D_&amp;1#&amp;"Calibri"&amp;6&amp;K626469 Public</oddFooter>
  </headerFooter>
  <ignoredErrors>
    <ignoredError sqref="L20" unlockedFormula="1"/>
  </ignoredErrors>
  <drawing r:id="rId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40"/>
  <sheetViews>
    <sheetView showGridLines="0" zoomScale="92" zoomScaleNormal="92" zoomScalePageLayoutView="92" workbookViewId="0">
      <selection sqref="A1:T35"/>
    </sheetView>
  </sheetViews>
  <sheetFormatPr defaultColWidth="8.77734375" defaultRowHeight="13.2" x14ac:dyDescent="0.25"/>
  <cols>
    <col min="1" max="1" width="3.44140625" customWidth="1"/>
    <col min="2" max="2" width="8.44140625" style="1" customWidth="1"/>
    <col min="3" max="8" width="11.6640625" customWidth="1"/>
    <col min="9" max="9" width="18" customWidth="1"/>
    <col min="10" max="10" width="23.77734375" customWidth="1"/>
    <col min="11" max="11" width="42" customWidth="1"/>
    <col min="12" max="12" width="13.44140625" customWidth="1"/>
    <col min="13" max="13" width="8" style="27" customWidth="1"/>
    <col min="16" max="16" width="8.77734375" customWidth="1"/>
    <col min="17" max="17" width="9" customWidth="1"/>
  </cols>
  <sheetData>
    <row r="1" spans="2:24" ht="21" thickBot="1" x14ac:dyDescent="0.3">
      <c r="B1" s="142" t="s">
        <v>70</v>
      </c>
      <c r="C1" s="142"/>
      <c r="D1" s="142"/>
      <c r="E1" s="142"/>
      <c r="F1" s="142"/>
      <c r="G1" s="142"/>
      <c r="H1" s="142"/>
      <c r="I1" s="142"/>
      <c r="J1" s="142"/>
      <c r="K1" s="142"/>
      <c r="L1" s="142"/>
      <c r="M1" s="26"/>
      <c r="O1" s="176" t="s">
        <v>52</v>
      </c>
      <c r="P1" s="176"/>
      <c r="Q1" s="176"/>
      <c r="R1" s="176"/>
      <c r="S1" s="176"/>
      <c r="T1" s="176"/>
      <c r="U1" s="113"/>
      <c r="V1" s="113"/>
      <c r="W1" s="113"/>
      <c r="X1" s="113"/>
    </row>
    <row r="2" spans="2:24" ht="33.75" customHeight="1" thickBot="1" x14ac:dyDescent="0.35">
      <c r="C2" s="179" t="s">
        <v>87</v>
      </c>
      <c r="D2" s="180"/>
      <c r="E2" s="181" t="s">
        <v>88</v>
      </c>
      <c r="F2" s="182"/>
      <c r="G2" s="179" t="s">
        <v>89</v>
      </c>
      <c r="H2" s="180"/>
      <c r="M2" s="26"/>
      <c r="N2" s="185"/>
      <c r="O2" s="185"/>
      <c r="P2" s="185"/>
      <c r="Q2" s="185"/>
      <c r="R2" s="185"/>
      <c r="S2" s="185"/>
    </row>
    <row r="3" spans="2:24" ht="36" customHeight="1" thickBot="1" x14ac:dyDescent="0.75">
      <c r="B3" s="73" t="s">
        <v>27</v>
      </c>
      <c r="C3" s="9" t="s">
        <v>3</v>
      </c>
      <c r="D3" s="9" t="s">
        <v>4</v>
      </c>
      <c r="E3" s="9" t="s">
        <v>3</v>
      </c>
      <c r="F3" s="9" t="s">
        <v>4</v>
      </c>
      <c r="G3" s="9" t="s">
        <v>3</v>
      </c>
      <c r="H3" s="9" t="s">
        <v>4</v>
      </c>
      <c r="I3" s="9" t="s">
        <v>22</v>
      </c>
      <c r="J3" s="9" t="s">
        <v>28</v>
      </c>
      <c r="K3" s="9" t="s">
        <v>56</v>
      </c>
      <c r="L3" s="73" t="s">
        <v>29</v>
      </c>
      <c r="M3" s="26"/>
      <c r="Q3" s="84" t="str">
        <f>IF('Control Entry'!D29=0,"","#2")</f>
        <v/>
      </c>
      <c r="S3" s="41"/>
    </row>
    <row r="4" spans="2:24" ht="36" customHeight="1" x14ac:dyDescent="0.35">
      <c r="B4" s="28"/>
      <c r="C4" s="29">
        <v>44996.333333333336</v>
      </c>
      <c r="D4" s="29">
        <v>44996.375</v>
      </c>
      <c r="E4" s="29">
        <v>44996.333333333336</v>
      </c>
      <c r="F4" s="29">
        <v>44996.375</v>
      </c>
      <c r="G4" s="29">
        <v>44996.333333333336</v>
      </c>
      <c r="H4" s="29">
        <v>44996.375</v>
      </c>
      <c r="I4" s="30"/>
      <c r="J4" s="31" t="s">
        <v>105</v>
      </c>
      <c r="K4" s="95" t="str">
        <f>IF(ISBLANK('Control Entry'!I29),"",'Control Entry'!I29)</f>
        <v/>
      </c>
      <c r="L4" s="96"/>
      <c r="M4" s="26"/>
      <c r="N4" s="144"/>
      <c r="O4" s="144"/>
      <c r="P4" s="144"/>
      <c r="Q4" s="144"/>
      <c r="R4" s="144"/>
      <c r="S4" s="42"/>
    </row>
    <row r="5" spans="2:24" ht="36" customHeight="1" x14ac:dyDescent="0.3">
      <c r="B5" s="37">
        <v>0</v>
      </c>
      <c r="C5" s="38">
        <v>44996.333333333336</v>
      </c>
      <c r="D5" s="38">
        <v>44996.375</v>
      </c>
      <c r="E5" s="38">
        <v>44996.333333333336</v>
      </c>
      <c r="F5" s="38"/>
      <c r="G5" s="38">
        <v>44996.333333333336</v>
      </c>
      <c r="H5" s="38">
        <v>44996.333333333336</v>
      </c>
      <c r="I5" s="39" t="s">
        <v>99</v>
      </c>
      <c r="J5" s="31" t="s">
        <v>106</v>
      </c>
      <c r="K5" s="95" t="str">
        <f>IF(ISBLANK('Control Entry'!J29),"",'Control Entry'!J29)</f>
        <v/>
      </c>
      <c r="L5" s="96"/>
      <c r="M5" s="26"/>
      <c r="N5" s="60"/>
      <c r="O5" s="61"/>
      <c r="P5" s="147">
        <f>IF(ISBLANK('Control Entry'!$B11),"",'Control Entry'!$B11)</f>
        <v>45724</v>
      </c>
      <c r="Q5" s="147"/>
      <c r="R5" s="147"/>
      <c r="S5" s="147"/>
      <c r="T5" s="43"/>
    </row>
    <row r="6" spans="2:24" ht="36" customHeight="1" thickBot="1" x14ac:dyDescent="0.45">
      <c r="B6" s="32"/>
      <c r="C6" s="33">
        <v>44996.333333333336</v>
      </c>
      <c r="D6" s="33">
        <v>44996.375</v>
      </c>
      <c r="E6" s="33">
        <v>44996.333333333336</v>
      </c>
      <c r="F6" s="33">
        <v>44996.375</v>
      </c>
      <c r="G6" s="33">
        <v>44996.333333333336</v>
      </c>
      <c r="H6" s="33">
        <v>44996.375</v>
      </c>
      <c r="I6" s="34"/>
      <c r="J6" s="35" t="s">
        <v>107</v>
      </c>
      <c r="K6" s="100" t="str">
        <f>IF(ISBLANK('Control Entry'!K29),"",'Control Entry'!K29)</f>
        <v/>
      </c>
      <c r="L6" s="99"/>
      <c r="M6" s="26"/>
      <c r="N6" s="161"/>
      <c r="O6" s="161"/>
      <c r="P6" s="161"/>
      <c r="Q6" s="161"/>
      <c r="R6" s="161"/>
      <c r="S6" s="161"/>
    </row>
    <row r="7" spans="2:24" ht="36" customHeight="1" x14ac:dyDescent="0.55000000000000004">
      <c r="B7" s="28"/>
      <c r="C7" s="29">
        <f>Control_2 Open_time</f>
        <v>45724.350694444445</v>
      </c>
      <c r="D7" s="29">
        <f>Control_2 Close_time</f>
        <v>45724.416666666672</v>
      </c>
      <c r="E7" s="29">
        <v>44996.338888888895</v>
      </c>
      <c r="F7" s="29">
        <v>44996.384027777778</v>
      </c>
      <c r="G7" s="29">
        <v>44996.338888888895</v>
      </c>
      <c r="H7" s="29">
        <v>44996.384027777778</v>
      </c>
      <c r="I7" s="36"/>
      <c r="J7" s="31" t="s">
        <v>110</v>
      </c>
      <c r="K7" s="121" t="str">
        <f>IF(ISBLANK('Control Entry'!I30),"",'Control Entry'!I30)</f>
        <v/>
      </c>
      <c r="L7" s="122"/>
      <c r="M7" s="26"/>
      <c r="O7" s="186" t="s">
        <v>86</v>
      </c>
      <c r="P7" s="186"/>
      <c r="Q7" s="186"/>
      <c r="R7" s="186"/>
      <c r="S7" s="186"/>
    </row>
    <row r="8" spans="2:24" ht="36" customHeight="1" x14ac:dyDescent="0.3">
      <c r="B8" s="37">
        <v>7.9</v>
      </c>
      <c r="C8" s="38">
        <f>Control_2 Open_time</f>
        <v>45724.350694444445</v>
      </c>
      <c r="D8" s="38">
        <f>Control_2 Close_time</f>
        <v>45724.416666666672</v>
      </c>
      <c r="E8" s="38"/>
      <c r="F8" s="38"/>
      <c r="G8" s="38"/>
      <c r="H8" s="38">
        <v>0.35902777777777778</v>
      </c>
      <c r="I8" s="39" t="s">
        <v>98</v>
      </c>
      <c r="J8" s="31" t="s">
        <v>111</v>
      </c>
      <c r="K8" s="121" t="str">
        <f>IF(ISBLANK('Control Entry'!J30),"",'Control Entry'!J30)</f>
        <v/>
      </c>
      <c r="L8" s="122"/>
      <c r="M8" s="26"/>
      <c r="O8" s="187"/>
      <c r="P8" s="187"/>
      <c r="Q8" s="187"/>
      <c r="R8" s="187"/>
      <c r="S8" s="187"/>
    </row>
    <row r="9" spans="2:24" ht="36" customHeight="1" thickBot="1" x14ac:dyDescent="0.4">
      <c r="B9" s="32"/>
      <c r="C9" s="33">
        <f>Control_2 Open_time</f>
        <v>45724.350694444445</v>
      </c>
      <c r="D9" s="33">
        <f>Control_2 Close_time</f>
        <v>45724.416666666672</v>
      </c>
      <c r="E9" s="33">
        <v>44996.338888888895</v>
      </c>
      <c r="F9" s="33">
        <v>44996.384027777778</v>
      </c>
      <c r="G9" s="33">
        <v>44996.338888888895</v>
      </c>
      <c r="H9" s="33">
        <v>44996.384027777778</v>
      </c>
      <c r="I9" s="34"/>
      <c r="J9" s="35" t="s">
        <v>112</v>
      </c>
      <c r="K9" s="123" t="str">
        <f>IF(ISBLANK('Control Entry'!K30),"",'Control Entry'!K30)</f>
        <v/>
      </c>
      <c r="L9" s="124"/>
      <c r="M9" s="26"/>
      <c r="O9" s="178" t="s">
        <v>108</v>
      </c>
      <c r="P9" s="178"/>
      <c r="Q9" s="178"/>
      <c r="R9" s="178"/>
      <c r="S9" s="178"/>
    </row>
    <row r="10" spans="2:24" ht="36" customHeight="1" x14ac:dyDescent="0.35">
      <c r="B10" s="28"/>
      <c r="C10" s="29">
        <f>Control_3 Open_time</f>
        <v>45724.362500000003</v>
      </c>
      <c r="D10" s="29">
        <f>Control_3 Close_time</f>
        <v>45724.445833333339</v>
      </c>
      <c r="E10" s="29">
        <v>44996.400694444448</v>
      </c>
      <c r="F10" s="29">
        <v>44996.488888888889</v>
      </c>
      <c r="G10" s="29">
        <v>44996.400694444448</v>
      </c>
      <c r="H10" s="29">
        <v>44996.488888888889</v>
      </c>
      <c r="I10" s="36"/>
      <c r="J10" s="31" t="s">
        <v>110</v>
      </c>
      <c r="K10" s="121" t="str">
        <f>IF(ISBLANK('Control Entry'!I31),"",'Control Entry'!I31)</f>
        <v/>
      </c>
      <c r="L10" s="122"/>
      <c r="M10" s="26"/>
      <c r="O10" s="183" t="s">
        <v>97</v>
      </c>
      <c r="P10" s="183"/>
      <c r="Q10" s="183"/>
      <c r="R10" s="183"/>
      <c r="S10" s="183"/>
    </row>
    <row r="11" spans="2:24" ht="36" customHeight="1" x14ac:dyDescent="0.3">
      <c r="B11" s="37">
        <v>57.2</v>
      </c>
      <c r="C11" s="38">
        <f>Control_3 Open_time</f>
        <v>45724.362500000003</v>
      </c>
      <c r="D11" s="38">
        <f>Control_3 Close_time</f>
        <v>45724.445833333339</v>
      </c>
      <c r="E11" s="38"/>
      <c r="F11" s="38"/>
      <c r="G11" s="38"/>
      <c r="H11" s="38">
        <v>0.51597222222222217</v>
      </c>
      <c r="I11" s="39" t="s">
        <v>102</v>
      </c>
      <c r="J11" s="31" t="s">
        <v>103</v>
      </c>
      <c r="K11" s="121" t="str">
        <f>IF(ISBLANK('Control Entry'!J31),"",'Control Entry'!J31)</f>
        <v/>
      </c>
      <c r="L11" s="122"/>
      <c r="M11" s="26"/>
      <c r="O11" s="183"/>
      <c r="P11" s="183"/>
      <c r="Q11" s="183"/>
      <c r="R11" s="183"/>
      <c r="S11" s="183"/>
    </row>
    <row r="12" spans="2:24" ht="36" customHeight="1" thickBot="1" x14ac:dyDescent="0.4">
      <c r="B12" s="32"/>
      <c r="C12" s="33">
        <f>Control_3 Open_time</f>
        <v>45724.362500000003</v>
      </c>
      <c r="D12" s="33">
        <f>Control_3 Close_time</f>
        <v>45724.445833333339</v>
      </c>
      <c r="E12" s="33">
        <v>44996.400694444448</v>
      </c>
      <c r="F12" s="33">
        <v>44996.488888888889</v>
      </c>
      <c r="G12" s="33">
        <v>44996.400694444448</v>
      </c>
      <c r="H12" s="33">
        <v>44996.488888888889</v>
      </c>
      <c r="I12" s="34"/>
      <c r="J12" s="35" t="s">
        <v>104</v>
      </c>
      <c r="K12" s="123" t="str">
        <f>IF(ISBLANK('Control Entry'!K31),"",'Control Entry'!K31)</f>
        <v/>
      </c>
      <c r="L12" s="124"/>
      <c r="M12" s="26"/>
      <c r="N12" s="188"/>
      <c r="O12" s="188"/>
      <c r="P12" s="188"/>
      <c r="Q12" s="188"/>
      <c r="R12" s="188"/>
      <c r="S12" s="188"/>
    </row>
    <row r="13" spans="2:24" ht="36" customHeight="1" x14ac:dyDescent="0.35">
      <c r="B13" s="28"/>
      <c r="C13" s="29">
        <f>Control_4 Open_time</f>
        <v>45724.381944444445</v>
      </c>
      <c r="D13" s="29">
        <f>Control_4 Close_time</f>
        <v>45724.492361111115</v>
      </c>
      <c r="E13" s="29">
        <v>44996.457638888889</v>
      </c>
      <c r="F13" s="29">
        <v>44996.625</v>
      </c>
      <c r="G13" s="29">
        <v>44996.457638888889</v>
      </c>
      <c r="H13" s="29">
        <v>44996.625</v>
      </c>
      <c r="I13" s="36"/>
      <c r="J13" s="31" t="s">
        <v>105</v>
      </c>
      <c r="K13" s="95" t="str">
        <f>IF(ISBLANK('Control Entry'!I32),"",'Control Entry'!I32)</f>
        <v/>
      </c>
      <c r="L13" s="96"/>
      <c r="M13" s="26"/>
      <c r="N13" s="188" t="s">
        <v>90</v>
      </c>
      <c r="O13" s="188"/>
      <c r="P13" s="188"/>
      <c r="Q13" s="188"/>
      <c r="R13" s="188"/>
      <c r="S13" s="188"/>
    </row>
    <row r="14" spans="2:24" ht="36" customHeight="1" x14ac:dyDescent="0.35">
      <c r="B14" s="37">
        <v>102</v>
      </c>
      <c r="C14" s="38">
        <f>Control_4 Open_time</f>
        <v>45724.381944444445</v>
      </c>
      <c r="D14" s="38">
        <f>Control_4 Close_time</f>
        <v>45724.492361111115</v>
      </c>
      <c r="E14" s="38">
        <v>0.47430555555555554</v>
      </c>
      <c r="F14" s="38">
        <v>0.63680555555555551</v>
      </c>
      <c r="G14" s="38"/>
      <c r="H14" s="38">
        <v>0.67083333333333339</v>
      </c>
      <c r="I14" s="39" t="s">
        <v>99</v>
      </c>
      <c r="J14" s="31" t="s">
        <v>106</v>
      </c>
      <c r="K14" s="95" t="str">
        <f>IF(ISBLANK('Control Entry'!J32),"",'Control Entry'!J32)</f>
        <v/>
      </c>
      <c r="L14" s="96"/>
      <c r="M14" s="26"/>
      <c r="N14" s="115" t="s">
        <v>91</v>
      </c>
      <c r="O14" s="115"/>
      <c r="P14" s="115"/>
      <c r="Q14" s="115"/>
      <c r="R14" s="115"/>
      <c r="S14" s="115"/>
    </row>
    <row r="15" spans="2:24" ht="36" customHeight="1" thickBot="1" x14ac:dyDescent="0.4">
      <c r="B15" s="32"/>
      <c r="C15" s="33">
        <f>Control_4 Open_time</f>
        <v>45724.381944444445</v>
      </c>
      <c r="D15" s="33">
        <f>Control_4 Close_time</f>
        <v>45724.492361111115</v>
      </c>
      <c r="E15" s="33">
        <v>44996.457638888889</v>
      </c>
      <c r="F15" s="33">
        <v>44996.625</v>
      </c>
      <c r="G15" s="33">
        <v>44996.457638888889</v>
      </c>
      <c r="H15" s="33">
        <v>44996.625</v>
      </c>
      <c r="I15" s="34"/>
      <c r="J15" s="35" t="s">
        <v>107</v>
      </c>
      <c r="K15" s="100" t="str">
        <f>IF(ISBLANK('Control Entry'!K32),"",'Control Entry'!K32)</f>
        <v/>
      </c>
      <c r="L15" s="99"/>
      <c r="M15" s="26"/>
      <c r="N15" s="160"/>
      <c r="O15" s="160"/>
      <c r="P15" s="160"/>
      <c r="Q15" s="160"/>
      <c r="R15" s="160"/>
      <c r="S15" s="160"/>
    </row>
    <row r="16" spans="2:24" ht="36" customHeight="1" thickBot="1" x14ac:dyDescent="0.4">
      <c r="B16" s="28"/>
      <c r="C16" s="29"/>
      <c r="D16" s="29"/>
      <c r="E16" s="29"/>
      <c r="F16" s="29"/>
      <c r="G16" s="29"/>
      <c r="H16" s="29"/>
      <c r="I16" s="36"/>
      <c r="J16" s="31" t="str">
        <f>IF(ISBLANK('Control Entry'!F33),"",'Control Entry'!F33)</f>
        <v/>
      </c>
      <c r="K16" s="95" t="str">
        <f>IF(ISBLANK('Control Entry'!I33),"",'Control Entry'!I33)</f>
        <v/>
      </c>
      <c r="L16" s="96"/>
      <c r="M16" s="26"/>
      <c r="N16" s="164"/>
      <c r="O16" s="164"/>
      <c r="P16" s="164"/>
      <c r="Q16" s="164"/>
      <c r="R16" s="164"/>
      <c r="S16" s="164"/>
    </row>
    <row r="17" spans="2:20" ht="36" customHeight="1" x14ac:dyDescent="0.3">
      <c r="B17" s="37" t="str">
        <f>IF(ISBLANK('Control Entry'!D33),"",'Control Entry'!D33)</f>
        <v/>
      </c>
      <c r="C17" s="38"/>
      <c r="D17" s="38"/>
      <c r="E17" s="38"/>
      <c r="F17" s="38"/>
      <c r="G17" s="38"/>
      <c r="H17" s="38"/>
      <c r="I17" s="39" t="str">
        <f>IF(ISBLANK('Control Entry'!E33),"",'Control Entry'!E33)</f>
        <v/>
      </c>
      <c r="J17" s="31" t="str">
        <f>IF(ISBLANK('Control Entry'!G33),"",'Control Entry'!G33)</f>
        <v/>
      </c>
      <c r="K17" s="95" t="str">
        <f>IF(ISBLANK('Control Entry'!J33),"",'Control Entry'!J33)</f>
        <v/>
      </c>
      <c r="L17" s="96"/>
      <c r="M17" s="26"/>
    </row>
    <row r="18" spans="2:20" ht="36" customHeight="1" thickBot="1" x14ac:dyDescent="0.4">
      <c r="B18" s="32"/>
      <c r="C18" s="33"/>
      <c r="D18" s="33"/>
      <c r="E18" s="33"/>
      <c r="F18" s="33"/>
      <c r="G18" s="33"/>
      <c r="H18" s="33"/>
      <c r="I18" s="34"/>
      <c r="J18" s="35" t="str">
        <f>IF(ISBLANK('Control Entry'!H33),"",'Control Entry'!H33)</f>
        <v/>
      </c>
      <c r="K18" s="100" t="str">
        <f>IF(ISBLANK('Control Entry'!K33),"",'Control Entry'!K33)</f>
        <v/>
      </c>
      <c r="L18" s="99"/>
      <c r="M18" s="26"/>
    </row>
    <row r="19" spans="2:20" ht="36" customHeight="1" thickBot="1" x14ac:dyDescent="0.4">
      <c r="B19" s="28"/>
      <c r="C19" s="29"/>
      <c r="D19" s="29"/>
      <c r="E19" s="29"/>
      <c r="F19" s="29"/>
      <c r="G19" s="29"/>
      <c r="H19" s="29"/>
      <c r="I19" s="36"/>
      <c r="J19" s="31" t="str">
        <f>IF(ISBLANK('Control Entry'!F34),"",'Control Entry'!F34)</f>
        <v/>
      </c>
      <c r="K19" s="95" t="str">
        <f>IF(ISBLANK('Control Entry'!I34),"",'Control Entry'!I34)</f>
        <v/>
      </c>
      <c r="L19" s="96"/>
      <c r="M19" s="26"/>
      <c r="N19" s="17" t="s">
        <v>92</v>
      </c>
      <c r="O19" s="17"/>
      <c r="Q19" s="159"/>
      <c r="R19" s="159"/>
      <c r="S19" s="159"/>
    </row>
    <row r="20" spans="2:20" ht="36" customHeight="1" x14ac:dyDescent="0.4">
      <c r="B20" s="37" t="str">
        <f>IF(ISBLANK('Control Entry'!D34),"",'Control Entry'!D34)</f>
        <v/>
      </c>
      <c r="C20" s="38"/>
      <c r="D20" s="38"/>
      <c r="E20" s="38"/>
      <c r="F20" s="38"/>
      <c r="G20" s="38"/>
      <c r="H20" s="38"/>
      <c r="I20" s="39" t="str">
        <f>IF(ISBLANK('Control Entry'!E34),"",'Control Entry'!E34)</f>
        <v/>
      </c>
      <c r="J20" s="31" t="str">
        <f>IF(ISBLANK('Control Entry'!G34),"",'Control Entry'!G34)</f>
        <v/>
      </c>
      <c r="K20" s="95" t="str">
        <f>IF(ISBLANK('Control Entry'!J34),"",'Control Entry'!J34)</f>
        <v/>
      </c>
      <c r="L20" s="96"/>
      <c r="M20" s="26"/>
      <c r="N20" s="184"/>
      <c r="O20" s="184"/>
      <c r="P20" s="184"/>
      <c r="Q20" s="184"/>
      <c r="R20" s="184"/>
      <c r="S20" s="184"/>
    </row>
    <row r="21" spans="2:20" ht="36" customHeight="1" thickBot="1" x14ac:dyDescent="0.4">
      <c r="B21" s="32"/>
      <c r="C21" s="33"/>
      <c r="D21" s="33"/>
      <c r="E21" s="33"/>
      <c r="F21" s="33"/>
      <c r="G21" s="33"/>
      <c r="H21" s="33"/>
      <c r="I21" s="34"/>
      <c r="J21" s="35" t="str">
        <f>IF(ISBLANK('Control Entry'!H34),"",'Control Entry'!H34)</f>
        <v/>
      </c>
      <c r="K21" s="100" t="str">
        <f>IF(ISBLANK('Control Entry'!K34),"",'Control Entry'!K34)</f>
        <v/>
      </c>
      <c r="L21" s="99"/>
      <c r="M21" s="26"/>
      <c r="N21" s="17" t="s">
        <v>0</v>
      </c>
      <c r="O21" s="17"/>
      <c r="Q21" s="159"/>
      <c r="R21" s="159"/>
      <c r="S21" s="159"/>
      <c r="T21" s="27"/>
    </row>
    <row r="22" spans="2:20" ht="36" customHeight="1" x14ac:dyDescent="0.4">
      <c r="B22" s="28"/>
      <c r="C22" s="29"/>
      <c r="D22" s="29"/>
      <c r="E22" s="29"/>
      <c r="F22" s="29"/>
      <c r="G22" s="29"/>
      <c r="H22" s="29"/>
      <c r="I22" s="36"/>
      <c r="J22" s="31" t="str">
        <f>IF(ISBLANK('Control Entry'!F35),"",'Control Entry'!F35)</f>
        <v/>
      </c>
      <c r="K22" s="95" t="str">
        <f>IF(ISBLANK('Control Entry'!I35),"",'Control Entry'!I35)</f>
        <v/>
      </c>
      <c r="L22" s="96"/>
      <c r="M22" s="26"/>
      <c r="N22" s="184"/>
      <c r="O22" s="184"/>
      <c r="P22" s="184"/>
      <c r="Q22" s="184"/>
      <c r="R22" s="184"/>
      <c r="S22" s="184"/>
    </row>
    <row r="23" spans="2:20" ht="36" customHeight="1" thickBot="1" x14ac:dyDescent="0.4">
      <c r="B23" s="37" t="str">
        <f>IF(ISBLANK('Control Entry'!D35),"",'Control Entry'!D35)</f>
        <v/>
      </c>
      <c r="C23" s="38"/>
      <c r="D23" s="38"/>
      <c r="E23" s="38"/>
      <c r="F23" s="38"/>
      <c r="G23" s="38"/>
      <c r="H23" s="38"/>
      <c r="I23" s="39" t="str">
        <f>IF(ISBLANK('Control Entry'!E35),"",'Control Entry'!E35)</f>
        <v/>
      </c>
      <c r="J23" s="31" t="str">
        <f>IF(ISBLANK('Control Entry'!G35),"",'Control Entry'!G35)</f>
        <v/>
      </c>
      <c r="K23" s="95" t="str">
        <f>IF(ISBLANK('Control Entry'!J35),"",'Control Entry'!J35)</f>
        <v/>
      </c>
      <c r="L23" s="96"/>
      <c r="M23" s="26"/>
      <c r="N23" s="17" t="s">
        <v>1</v>
      </c>
      <c r="O23" s="17"/>
      <c r="P23" s="18"/>
      <c r="Q23" s="162"/>
      <c r="R23" s="162"/>
      <c r="S23" s="162"/>
      <c r="T23" s="27"/>
    </row>
    <row r="24" spans="2:20" ht="36" customHeight="1" thickBot="1" x14ac:dyDescent="0.4">
      <c r="B24" s="32"/>
      <c r="C24" s="33"/>
      <c r="D24" s="33"/>
      <c r="E24" s="33"/>
      <c r="F24" s="33"/>
      <c r="G24" s="33"/>
      <c r="H24" s="33"/>
      <c r="I24" s="34"/>
      <c r="J24" s="35" t="str">
        <f>IF(ISBLANK('Control Entry'!H35),"",'Control Entry'!H35)</f>
        <v/>
      </c>
      <c r="K24" s="100" t="str">
        <f>IF(ISBLANK('Control Entry'!K35),"",'Control Entry'!K35)</f>
        <v/>
      </c>
      <c r="L24" s="99"/>
      <c r="M24" s="26"/>
      <c r="N24" s="55"/>
      <c r="O24" s="55"/>
      <c r="P24" s="21"/>
      <c r="Q24" s="21"/>
      <c r="R24" s="21"/>
      <c r="S24" s="21"/>
    </row>
    <row r="25" spans="2:20" ht="36" customHeight="1" thickBot="1" x14ac:dyDescent="0.4">
      <c r="B25" s="28"/>
      <c r="C25" s="29"/>
      <c r="D25" s="29"/>
      <c r="E25" s="29"/>
      <c r="F25" s="29"/>
      <c r="G25" s="29"/>
      <c r="H25" s="29"/>
      <c r="I25" s="36"/>
      <c r="J25" s="31" t="str">
        <f>IF(ISBLANK('Control Entry'!F36),"",'Control Entry'!F36)</f>
        <v/>
      </c>
      <c r="K25" s="95" t="str">
        <f>IF(ISBLANK('Control Entry'!I36),"",'Control Entry'!I36)</f>
        <v/>
      </c>
      <c r="L25" s="96"/>
      <c r="M25" s="26"/>
      <c r="N25" s="17" t="s">
        <v>2</v>
      </c>
      <c r="O25" s="17"/>
      <c r="P25" s="18"/>
      <c r="Q25" s="162"/>
      <c r="R25" s="162"/>
      <c r="S25" s="162"/>
      <c r="T25" s="112"/>
    </row>
    <row r="26" spans="2:20" ht="36" customHeight="1" x14ac:dyDescent="0.3">
      <c r="B26" s="37" t="str">
        <f>IF(ISBLANK('Control Entry'!D36),"",'Control Entry'!D36)</f>
        <v/>
      </c>
      <c r="C26" s="38"/>
      <c r="D26" s="38"/>
      <c r="E26" s="38"/>
      <c r="F26" s="38"/>
      <c r="G26" s="38"/>
      <c r="H26" s="38"/>
      <c r="I26" s="39" t="str">
        <f>IF(ISBLANK('Control Entry'!E36),"",'Control Entry'!E36)</f>
        <v/>
      </c>
      <c r="J26" s="31" t="str">
        <f>IF(ISBLANK('Control Entry'!G36),"",'Control Entry'!G36)</f>
        <v/>
      </c>
      <c r="K26" s="95" t="str">
        <f>IF(ISBLANK('Control Entry'!J36),"",'Control Entry'!J36)</f>
        <v/>
      </c>
      <c r="L26" s="96"/>
      <c r="M26" s="26"/>
    </row>
    <row r="27" spans="2:20" ht="36" customHeight="1" thickBot="1" x14ac:dyDescent="0.4">
      <c r="B27" s="32"/>
      <c r="C27" s="33"/>
      <c r="D27" s="33"/>
      <c r="E27" s="33"/>
      <c r="F27" s="33"/>
      <c r="G27" s="33"/>
      <c r="H27" s="33"/>
      <c r="I27" s="34"/>
      <c r="J27" s="35" t="str">
        <f>IF(ISBLANK('Control Entry'!H36),"",'Control Entry'!H36)</f>
        <v/>
      </c>
      <c r="K27" s="100" t="str">
        <f>IF(ISBLANK('Control Entry'!K36),"",'Control Entry'!K36)</f>
        <v/>
      </c>
      <c r="L27" s="99"/>
      <c r="M27" s="26"/>
      <c r="N27" s="14" t="s">
        <v>109</v>
      </c>
      <c r="T27" s="114"/>
    </row>
    <row r="28" spans="2:20" ht="36" customHeight="1" x14ac:dyDescent="0.35">
      <c r="B28" s="28"/>
      <c r="C28" s="29"/>
      <c r="D28" s="29"/>
      <c r="E28" s="29"/>
      <c r="F28" s="29"/>
      <c r="G28" s="29"/>
      <c r="H28" s="29"/>
      <c r="I28" s="36"/>
      <c r="J28" s="31" t="str">
        <f>IF(ISBLANK('Control Entry'!F37),"",'Control Entry'!F37)</f>
        <v/>
      </c>
      <c r="K28" s="95" t="str">
        <f>IF(ISBLANK('Control Entry'!I37),"",'Control Entry'!I37)</f>
        <v/>
      </c>
      <c r="L28" s="96"/>
      <c r="M28" s="26"/>
      <c r="T28" s="114"/>
    </row>
    <row r="29" spans="2:20" ht="36" customHeight="1" thickBot="1" x14ac:dyDescent="0.35">
      <c r="B29" s="37" t="str">
        <f>IF(ISBLANK('Control Entry'!D37),"",'Control Entry'!D37)</f>
        <v/>
      </c>
      <c r="C29" s="38"/>
      <c r="D29" s="38"/>
      <c r="E29" s="38"/>
      <c r="F29" s="38"/>
      <c r="G29" s="38"/>
      <c r="H29" s="38"/>
      <c r="I29" s="39" t="str">
        <f>IF(ISBLANK('Control Entry'!E37),"",'Control Entry'!E37)</f>
        <v/>
      </c>
      <c r="J29" s="31" t="str">
        <f>IF(ISBLANK('Control Entry'!G37),"",'Control Entry'!G37)</f>
        <v/>
      </c>
      <c r="K29" s="95" t="str">
        <f>IF(ISBLANK('Control Entry'!J37),"",'Control Entry'!J37)</f>
        <v/>
      </c>
      <c r="L29" s="96"/>
      <c r="M29" s="26"/>
      <c r="N29" s="177" t="s">
        <v>93</v>
      </c>
      <c r="O29" s="177"/>
      <c r="P29" s="177"/>
      <c r="Q29" s="177"/>
      <c r="R29" s="177"/>
      <c r="S29" s="177"/>
      <c r="T29" s="114"/>
    </row>
    <row r="30" spans="2:20" ht="36" customHeight="1" thickBot="1" x14ac:dyDescent="0.4">
      <c r="B30" s="32"/>
      <c r="C30" s="33"/>
      <c r="D30" s="33"/>
      <c r="E30" s="33"/>
      <c r="F30" s="33"/>
      <c r="G30" s="33"/>
      <c r="H30" s="33"/>
      <c r="I30" s="34"/>
      <c r="J30" s="35" t="str">
        <f>IF(ISBLANK('Control Entry'!H37),"",'Control Entry'!H37)</f>
        <v/>
      </c>
      <c r="K30" s="100" t="str">
        <f>IF(ISBLANK('Control Entry'!K37),"",'Control Entry'!K37)</f>
        <v/>
      </c>
      <c r="L30" s="99"/>
      <c r="M30" s="26"/>
      <c r="T30" s="114"/>
    </row>
    <row r="31" spans="2:20" ht="36" customHeight="1" x14ac:dyDescent="0.35">
      <c r="B31" s="28"/>
      <c r="C31" s="29"/>
      <c r="D31" s="29"/>
      <c r="E31" s="29"/>
      <c r="F31" s="29"/>
      <c r="G31" s="29"/>
      <c r="H31" s="29"/>
      <c r="I31" s="36"/>
      <c r="J31" s="31" t="str">
        <f>IF(ISBLANK('Control Entry'!F38),"",'Control Entry'!F38)</f>
        <v/>
      </c>
      <c r="K31" s="95" t="str">
        <f>IF(ISBLANK('Control Entry'!I38),"",'Control Entry'!I38)</f>
        <v/>
      </c>
      <c r="L31" s="96"/>
      <c r="M31" s="26"/>
      <c r="T31" s="114"/>
    </row>
    <row r="32" spans="2:20" ht="36" customHeight="1" x14ac:dyDescent="0.3">
      <c r="B32" s="37" t="str">
        <f>IF(ISBLANK('Control Entry'!D38),"",'Control Entry'!D38)</f>
        <v/>
      </c>
      <c r="C32" s="38"/>
      <c r="D32" s="38"/>
      <c r="E32" s="38"/>
      <c r="F32" s="38"/>
      <c r="G32" s="38"/>
      <c r="H32" s="38"/>
      <c r="I32" s="39" t="str">
        <f>IF(ISBLANK('Control Entry'!E38),"",'Control Entry'!E38)</f>
        <v/>
      </c>
      <c r="J32" s="31" t="str">
        <f>IF(ISBLANK('Control Entry'!G38),"",'Control Entry'!G38)</f>
        <v/>
      </c>
      <c r="K32" s="95" t="str">
        <f>IF(ISBLANK('Control Entry'!J38),"",'Control Entry'!J38)</f>
        <v/>
      </c>
      <c r="L32" s="96"/>
      <c r="M32" s="26"/>
      <c r="T32" s="114"/>
    </row>
    <row r="33" spans="2:20" ht="36" customHeight="1" thickBot="1" x14ac:dyDescent="0.4">
      <c r="B33" s="32"/>
      <c r="C33" s="33"/>
      <c r="D33" s="33"/>
      <c r="E33" s="33"/>
      <c r="F33" s="33"/>
      <c r="G33" s="33"/>
      <c r="H33" s="33"/>
      <c r="I33" s="34"/>
      <c r="J33" s="35" t="str">
        <f>IF(ISBLANK('Control Entry'!H38),"",'Control Entry'!H38)</f>
        <v/>
      </c>
      <c r="K33" s="100" t="str">
        <f>IF(ISBLANK('Control Entry'!K38),"",'Control Entry'!K38)</f>
        <v/>
      </c>
      <c r="L33" s="99"/>
      <c r="M33" s="40"/>
      <c r="N33" s="111"/>
      <c r="O33" s="111"/>
      <c r="P33" s="111"/>
      <c r="Q33" s="111"/>
      <c r="R33" s="111"/>
      <c r="S33" s="111"/>
      <c r="T33" s="114"/>
    </row>
    <row r="34" spans="2:20" ht="36" customHeight="1" x14ac:dyDescent="0.35">
      <c r="B34" s="143" t="s">
        <v>40</v>
      </c>
      <c r="C34" s="143"/>
      <c r="D34" s="143"/>
      <c r="E34" s="143"/>
      <c r="F34" s="143"/>
      <c r="G34" s="143"/>
      <c r="H34" s="143"/>
      <c r="I34" s="143"/>
      <c r="J34" s="143"/>
      <c r="K34" s="143"/>
      <c r="L34" s="143"/>
      <c r="N34" s="46"/>
      <c r="O34" s="46"/>
      <c r="P34" s="45"/>
    </row>
    <row r="35" spans="2:20" ht="36" customHeight="1" x14ac:dyDescent="0.25">
      <c r="B35"/>
      <c r="N35" s="136"/>
      <c r="O35" s="136"/>
      <c r="P35" s="136"/>
      <c r="Q35" s="136"/>
      <c r="R35" s="136"/>
      <c r="S35" s="136"/>
    </row>
    <row r="36" spans="2:20" ht="36" customHeight="1" x14ac:dyDescent="0.25">
      <c r="B36"/>
      <c r="N36" s="21"/>
      <c r="O36" s="21"/>
      <c r="P36" s="21"/>
      <c r="Q36" s="21"/>
      <c r="R36" s="21"/>
      <c r="S36" s="21"/>
    </row>
    <row r="37" spans="2:20" ht="36" customHeight="1" x14ac:dyDescent="0.25">
      <c r="B37"/>
      <c r="N37" s="21"/>
      <c r="O37" s="21"/>
      <c r="P37" s="21"/>
      <c r="Q37" s="21"/>
      <c r="R37" s="21"/>
      <c r="S37" s="21"/>
    </row>
    <row r="38" spans="2:20" ht="36" customHeight="1" x14ac:dyDescent="0.25">
      <c r="B38"/>
      <c r="N38" s="21"/>
      <c r="O38" s="21"/>
      <c r="P38" s="21"/>
      <c r="Q38" s="21"/>
      <c r="R38" s="21"/>
      <c r="S38" s="21"/>
    </row>
    <row r="39" spans="2:20" ht="36" customHeight="1" x14ac:dyDescent="0.25">
      <c r="B39"/>
    </row>
    <row r="40" spans="2:20" ht="36" customHeight="1" x14ac:dyDescent="0.25">
      <c r="B40"/>
    </row>
  </sheetData>
  <sheetProtection formatCells="0" selectLockedCells="1"/>
  <mergeCells count="26">
    <mergeCell ref="N35:S35"/>
    <mergeCell ref="N15:S15"/>
    <mergeCell ref="Q21:S21"/>
    <mergeCell ref="N22:S22"/>
    <mergeCell ref="B1:L1"/>
    <mergeCell ref="N2:S2"/>
    <mergeCell ref="N4:R4"/>
    <mergeCell ref="P5:S5"/>
    <mergeCell ref="N6:S6"/>
    <mergeCell ref="O7:S7"/>
    <mergeCell ref="O8:S8"/>
    <mergeCell ref="N16:S16"/>
    <mergeCell ref="N12:S12"/>
    <mergeCell ref="N13:S13"/>
    <mergeCell ref="Q19:S19"/>
    <mergeCell ref="N20:S20"/>
    <mergeCell ref="B34:L34"/>
    <mergeCell ref="Q23:S23"/>
    <mergeCell ref="Q25:S25"/>
    <mergeCell ref="O1:T1"/>
    <mergeCell ref="N29:S29"/>
    <mergeCell ref="O9:S9"/>
    <mergeCell ref="C2:D2"/>
    <mergeCell ref="E2:F2"/>
    <mergeCell ref="G2:H2"/>
    <mergeCell ref="O10:S11"/>
  </mergeCells>
  <phoneticPr fontId="16" type="noConversion"/>
  <conditionalFormatting sqref="N23:S25">
    <cfRule type="expression" dxfId="13" priority="2">
      <formula>$Q$3="#2"</formula>
    </cfRule>
  </conditionalFormatting>
  <conditionalFormatting sqref="N22:S22">
    <cfRule type="expression" dxfId="12" priority="3">
      <formula>$Q$3&lt;&gt;"#2"</formula>
    </cfRule>
  </conditionalFormatting>
  <conditionalFormatting sqref="N20:S20">
    <cfRule type="expression" dxfId="11" priority="1">
      <formula>$Q$3&lt;&gt;"#2"</formula>
    </cfRule>
  </conditionalFormatting>
  <printOptions horizontalCentered="1" verticalCentered="1"/>
  <pageMargins left="0.2" right="0.2" top="0.2" bottom="0.2" header="0.51" footer="0.51"/>
  <pageSetup scale="45" orientation="landscape" horizontalDpi="4294967292" verticalDpi="4294967292"/>
  <headerFooter>
    <oddFooter>&amp;C_x000D_&amp;1#&amp;"Calibri"&amp;6&amp;K626469 Public</oddFooter>
  </headerFooter>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0"/>
  <sheetViews>
    <sheetView showGridLines="0" topLeftCell="F1" zoomScale="92" zoomScaleNormal="92" zoomScalePageLayoutView="92" workbookViewId="0">
      <selection activeCell="F3" sqref="F3"/>
    </sheetView>
  </sheetViews>
  <sheetFormatPr defaultColWidth="8.77734375" defaultRowHeight="13.2" x14ac:dyDescent="0.25"/>
  <cols>
    <col min="1" max="1" width="8.44140625" style="1" customWidth="1"/>
    <col min="2" max="3" width="11.6640625" customWidth="1"/>
    <col min="4" max="4" width="18" customWidth="1"/>
    <col min="5" max="5" width="23.77734375" customWidth="1"/>
    <col min="6" max="6" width="42" customWidth="1"/>
    <col min="7" max="7" width="13.44140625" customWidth="1"/>
    <col min="8" max="8" width="8" style="27" customWidth="1"/>
    <col min="9" max="9" width="12" customWidth="1"/>
    <col min="12" max="14" width="9" customWidth="1"/>
    <col min="18" max="18" width="8.77734375" customWidth="1"/>
    <col min="19" max="19" width="9" customWidth="1"/>
  </cols>
  <sheetData>
    <row r="1" spans="1:22" ht="21" thickBot="1" x14ac:dyDescent="0.3">
      <c r="A1" s="142" t="s">
        <v>70</v>
      </c>
      <c r="B1" s="142"/>
      <c r="C1" s="142"/>
      <c r="D1" s="142"/>
      <c r="E1" s="142"/>
      <c r="F1" s="142"/>
      <c r="G1" s="142"/>
      <c r="H1" s="26" t="s">
        <v>26</v>
      </c>
    </row>
    <row r="2" spans="1:22" ht="33.75" customHeight="1" thickBot="1" x14ac:dyDescent="0.35">
      <c r="A2" s="73" t="s">
        <v>27</v>
      </c>
      <c r="B2" s="9" t="s">
        <v>3</v>
      </c>
      <c r="C2" s="9" t="s">
        <v>4</v>
      </c>
      <c r="D2" s="9" t="s">
        <v>22</v>
      </c>
      <c r="E2" s="9" t="s">
        <v>28</v>
      </c>
      <c r="F2" s="9" t="s">
        <v>56</v>
      </c>
      <c r="G2" s="73" t="s">
        <v>29</v>
      </c>
      <c r="H2" s="26" t="s">
        <v>26</v>
      </c>
      <c r="K2" s="148" t="s">
        <v>52</v>
      </c>
      <c r="L2" s="148"/>
      <c r="M2" s="148"/>
      <c r="N2" s="148"/>
      <c r="O2" s="148"/>
      <c r="P2" s="148"/>
      <c r="Q2" s="148"/>
      <c r="R2" s="148"/>
      <c r="S2" s="148"/>
      <c r="T2" s="148"/>
      <c r="U2" s="148"/>
    </row>
    <row r="3" spans="1:22" ht="36" customHeight="1" x14ac:dyDescent="0.7">
      <c r="A3" s="28"/>
      <c r="B3" s="29" t="str">
        <f>'Control Entry'!N42</f>
        <v/>
      </c>
      <c r="C3" s="29" t="str">
        <f>'Control Entry'!O42</f>
        <v/>
      </c>
      <c r="D3" s="30"/>
      <c r="E3" s="31" t="str">
        <f>IF(ISBLANK('Control Entry'!F42),"",'Control Entry'!F42)</f>
        <v/>
      </c>
      <c r="F3" s="95" t="str">
        <f>IF(ISBLANK('Control Entry'!I42),"",'Control Entry'!I42)</f>
        <v/>
      </c>
      <c r="G3" s="96"/>
      <c r="H3" s="26" t="s">
        <v>26</v>
      </c>
      <c r="K3" s="13"/>
      <c r="O3" s="172" t="s">
        <v>69</v>
      </c>
      <c r="P3" s="172"/>
      <c r="Q3" s="172"/>
      <c r="R3" s="172"/>
      <c r="S3" s="84" t="str">
        <f>IF('Control Entry'!D42&lt;&gt;0,"#3",IF(AND('Control Entry'!D42=0,'Control Entry'!D55&lt;&gt;0),"#1",""))</f>
        <v/>
      </c>
      <c r="T3" s="85"/>
      <c r="U3" s="41"/>
    </row>
    <row r="4" spans="1:22" ht="36" customHeight="1" x14ac:dyDescent="0.3">
      <c r="A4" s="37" t="str">
        <f>IF(ISBLANK('Control Entry'!D42),"",'Control Entry'!D42)</f>
        <v/>
      </c>
      <c r="B4" s="38" t="str">
        <f>'Control Entry'!N42</f>
        <v/>
      </c>
      <c r="C4" s="38" t="str">
        <f>'Control Entry'!O42</f>
        <v/>
      </c>
      <c r="D4" s="39" t="str">
        <f>IF(ISBLANK('Control Entry'!E42),"",'Control Entry'!E42)</f>
        <v/>
      </c>
      <c r="E4" s="31" t="str">
        <f>IF(ISBLANK('Control Entry'!G42),"",'Control Entry'!G42)</f>
        <v/>
      </c>
      <c r="F4" s="95" t="str">
        <f>IF(ISBLANK('Control Entry'!J42),"",'Control Entry'!J42)</f>
        <v/>
      </c>
      <c r="G4" s="96"/>
      <c r="H4" s="26" t="s">
        <v>26</v>
      </c>
      <c r="K4" s="13"/>
      <c r="M4" s="144" t="str">
        <f>IF(ISBLANK(brevet),"",brevet&amp;" km Randonnée")</f>
        <v>100 km Randonnée</v>
      </c>
      <c r="N4" s="144"/>
      <c r="O4" s="144"/>
      <c r="P4" s="144"/>
      <c r="Q4" s="144"/>
      <c r="R4" s="144"/>
      <c r="S4" s="144"/>
      <c r="T4" s="144"/>
      <c r="U4" s="42"/>
    </row>
    <row r="5" spans="1:22" ht="36" customHeight="1" thickBot="1" x14ac:dyDescent="0.4">
      <c r="A5" s="32"/>
      <c r="B5" s="33" t="str">
        <f>'Control Entry'!N42</f>
        <v/>
      </c>
      <c r="C5" s="33" t="str">
        <f>'Control Entry'!O42</f>
        <v/>
      </c>
      <c r="D5" s="34"/>
      <c r="E5" s="35" t="str">
        <f>IF(ISBLANK('Control Entry'!H42),"",'Control Entry'!H42)</f>
        <v/>
      </c>
      <c r="F5" s="100" t="str">
        <f>IF(ISBLANK('Control Entry'!K42),"",'Control Entry'!K42)</f>
        <v/>
      </c>
      <c r="G5" s="99"/>
      <c r="H5" s="26" t="s">
        <v>26</v>
      </c>
      <c r="K5" s="13"/>
      <c r="M5" s="14"/>
      <c r="N5" s="170" t="s">
        <v>44</v>
      </c>
      <c r="O5" s="170"/>
      <c r="P5" s="60">
        <f>IF(ISBLANK(Brevet_Number),"",Brevet_Number)</f>
        <v>5496</v>
      </c>
      <c r="Q5" s="61"/>
      <c r="R5" s="147">
        <f>IF(ISBLANK('Control Entry'!$B11),"",'Control Entry'!$B11)</f>
        <v>45724</v>
      </c>
      <c r="S5" s="147"/>
      <c r="T5" s="147"/>
      <c r="U5" s="147"/>
      <c r="V5" s="43"/>
    </row>
    <row r="6" spans="1:22" ht="36" customHeight="1" x14ac:dyDescent="0.4">
      <c r="A6" s="28"/>
      <c r="B6" s="29" t="str">
        <f>'Control Entry'!N43</f>
        <v/>
      </c>
      <c r="C6" s="29" t="str">
        <f>'Control Entry'!O43</f>
        <v/>
      </c>
      <c r="D6" s="36"/>
      <c r="E6" s="31" t="str">
        <f>IF(ISBLANK('Control Entry'!F43),"",'Control Entry'!F43)</f>
        <v/>
      </c>
      <c r="F6" s="95" t="str">
        <f>IF(ISBLANK('Control Entry'!I43),"",'Control Entry'!I43)</f>
        <v/>
      </c>
      <c r="G6" s="96"/>
      <c r="H6" s="26" t="s">
        <v>26</v>
      </c>
      <c r="K6" s="13"/>
      <c r="L6" s="161" t="str">
        <f>IF(ISBLANK(Brevet_Description),"",Brevet_Description)</f>
        <v>100km Gravel Permanent - Beaches &amp; Stream</v>
      </c>
      <c r="M6" s="161"/>
      <c r="N6" s="161"/>
      <c r="O6" s="161"/>
      <c r="P6" s="161"/>
      <c r="Q6" s="161"/>
      <c r="R6" s="161"/>
      <c r="S6" s="161"/>
      <c r="T6" s="161"/>
      <c r="U6" s="161"/>
    </row>
    <row r="7" spans="1:22" ht="36" customHeight="1" x14ac:dyDescent="0.3">
      <c r="A7" s="37" t="str">
        <f>IF(ISBLANK('Control Entry'!D43),"",'Control Entry'!D43)</f>
        <v/>
      </c>
      <c r="B7" s="38" t="str">
        <f>'Control Entry'!N43</f>
        <v/>
      </c>
      <c r="C7" s="38" t="str">
        <f>'Control Entry'!O43</f>
        <v/>
      </c>
      <c r="D7" s="39" t="str">
        <f>IF(ISBLANK('Control Entry'!E43),"",'Control Entry'!E43)</f>
        <v/>
      </c>
      <c r="E7" s="31" t="str">
        <f>IF(ISBLANK('Control Entry'!G43),"",'Control Entry'!G43)</f>
        <v/>
      </c>
      <c r="F7" s="95" t="str">
        <f>IF(ISBLANK('Control Entry'!J43),"",'Control Entry'!J43)</f>
        <v/>
      </c>
      <c r="G7" s="96"/>
      <c r="H7" s="26" t="s">
        <v>26</v>
      </c>
    </row>
    <row r="8" spans="1:22" ht="36" customHeight="1" thickBot="1" x14ac:dyDescent="0.4">
      <c r="A8" s="32"/>
      <c r="B8" s="33" t="str">
        <f>'Control Entry'!N43</f>
        <v/>
      </c>
      <c r="C8" s="33" t="str">
        <f>'Control Entry'!O43</f>
        <v/>
      </c>
      <c r="D8" s="34"/>
      <c r="E8" s="35" t="str">
        <f>IF(ISBLANK('Control Entry'!H43),"",'Control Entry'!H43)</f>
        <v/>
      </c>
      <c r="F8" s="100" t="str">
        <f>IF(ISBLANK('Control Entry'!K43),"",'Control Entry'!K43)</f>
        <v/>
      </c>
      <c r="G8" s="99"/>
      <c r="H8" s="26" t="s">
        <v>26</v>
      </c>
      <c r="J8" s="14" t="s">
        <v>31</v>
      </c>
      <c r="L8" s="149"/>
      <c r="M8" s="149"/>
      <c r="N8" s="149"/>
      <c r="O8" s="149"/>
      <c r="P8" s="149"/>
      <c r="Q8" s="149"/>
      <c r="R8" s="27"/>
      <c r="S8" s="44" t="s">
        <v>43</v>
      </c>
      <c r="T8" s="156"/>
      <c r="U8" s="156"/>
    </row>
    <row r="9" spans="1:22" ht="36" customHeight="1" thickBot="1" x14ac:dyDescent="0.5">
      <c r="A9" s="28"/>
      <c r="B9" s="29" t="str">
        <f>'Control Entry'!N44</f>
        <v/>
      </c>
      <c r="C9" s="29" t="str">
        <f>'Control Entry'!O44</f>
        <v/>
      </c>
      <c r="D9" s="36"/>
      <c r="E9" s="31" t="str">
        <f>IF(ISBLANK('Control Entry'!F44),"",'Control Entry'!F44)</f>
        <v/>
      </c>
      <c r="F9" s="95" t="str">
        <f>IF(ISBLANK('Control Entry'!I44),"",'Control Entry'!I44)</f>
        <v/>
      </c>
      <c r="G9" s="96"/>
      <c r="H9" s="26" t="s">
        <v>26</v>
      </c>
      <c r="J9" s="14" t="s">
        <v>32</v>
      </c>
      <c r="K9" s="14"/>
      <c r="L9" s="163" t="s">
        <v>51</v>
      </c>
      <c r="M9" s="163"/>
      <c r="N9" s="163"/>
      <c r="O9" s="163"/>
      <c r="P9" s="163"/>
      <c r="Q9" s="163"/>
      <c r="R9" s="163"/>
      <c r="S9" s="163"/>
      <c r="T9" s="163"/>
      <c r="U9" s="163"/>
    </row>
    <row r="10" spans="1:22" ht="36" customHeight="1" thickBot="1" x14ac:dyDescent="0.45">
      <c r="A10" s="37" t="str">
        <f>IF(ISBLANK('Control Entry'!D44),"",'Control Entry'!D44)</f>
        <v/>
      </c>
      <c r="B10" s="38" t="str">
        <f>'Control Entry'!N44</f>
        <v/>
      </c>
      <c r="C10" s="38" t="str">
        <f>'Control Entry'!O44</f>
        <v/>
      </c>
      <c r="D10" s="39" t="str">
        <f>IF(ISBLANK('Control Entry'!E44),"",'Control Entry'!E44)</f>
        <v/>
      </c>
      <c r="E10" s="31" t="str">
        <f>IF(ISBLANK('Control Entry'!G44),"",'Control Entry'!G44)</f>
        <v/>
      </c>
      <c r="F10" s="95" t="str">
        <f>IF(ISBLANK('Control Entry'!J44),"",'Control Entry'!J44)</f>
        <v/>
      </c>
      <c r="G10" s="96"/>
      <c r="H10" s="26" t="s">
        <v>26</v>
      </c>
      <c r="J10" s="14"/>
      <c r="K10" s="14"/>
      <c r="L10" s="158"/>
      <c r="M10" s="158"/>
      <c r="N10" s="158"/>
      <c r="O10" s="158"/>
      <c r="P10" s="158"/>
      <c r="Q10" s="158"/>
      <c r="R10" s="158"/>
      <c r="S10" s="158"/>
      <c r="T10" s="158"/>
      <c r="U10" s="158"/>
    </row>
    <row r="11" spans="1:22" ht="36" customHeight="1" thickBot="1" x14ac:dyDescent="0.45">
      <c r="A11" s="32"/>
      <c r="B11" s="33" t="str">
        <f>'Control Entry'!N44</f>
        <v/>
      </c>
      <c r="C11" s="33" t="str">
        <f>'Control Entry'!O44</f>
        <v/>
      </c>
      <c r="D11" s="34"/>
      <c r="E11" s="35" t="str">
        <f>IF(ISBLANK('Control Entry'!H44),"",'Control Entry'!H44)</f>
        <v/>
      </c>
      <c r="F11" s="100" t="str">
        <f>IF(ISBLANK('Control Entry'!K44),"",'Control Entry'!K44)</f>
        <v/>
      </c>
      <c r="G11" s="99"/>
      <c r="H11" s="26" t="s">
        <v>26</v>
      </c>
      <c r="J11" s="14" t="s">
        <v>33</v>
      </c>
      <c r="K11" s="14"/>
      <c r="L11" s="158"/>
      <c r="M11" s="158"/>
      <c r="N11" s="158"/>
      <c r="O11" s="17"/>
      <c r="P11" s="17" t="s">
        <v>34</v>
      </c>
      <c r="Q11" s="17"/>
      <c r="R11" s="17"/>
      <c r="S11" s="145"/>
      <c r="T11" s="145"/>
      <c r="U11" s="145"/>
    </row>
    <row r="12" spans="1:22" ht="36" customHeight="1" thickBot="1" x14ac:dyDescent="0.45">
      <c r="A12" s="28"/>
      <c r="B12" s="29" t="str">
        <f>'Control Entry'!N45</f>
        <v/>
      </c>
      <c r="C12" s="29" t="str">
        <f>'Control Entry'!O45</f>
        <v/>
      </c>
      <c r="D12" s="36"/>
      <c r="E12" s="31" t="str">
        <f>IF(ISBLANK('Control Entry'!F45),"",'Control Entry'!F45)</f>
        <v/>
      </c>
      <c r="F12" s="95" t="str">
        <f>IF(ISBLANK('Control Entry'!I45),"",'Control Entry'!I45)</f>
        <v/>
      </c>
      <c r="G12" s="96"/>
      <c r="H12" s="26" t="s">
        <v>26</v>
      </c>
      <c r="J12" s="14" t="s">
        <v>35</v>
      </c>
      <c r="K12" s="14"/>
      <c r="L12" s="158"/>
      <c r="M12" s="158"/>
      <c r="N12" s="158"/>
      <c r="O12" s="17"/>
      <c r="P12" s="17" t="s">
        <v>36</v>
      </c>
      <c r="Q12" s="17"/>
      <c r="R12" s="17"/>
      <c r="S12" s="145"/>
      <c r="T12" s="145"/>
      <c r="U12" s="145"/>
    </row>
    <row r="13" spans="1:22" ht="36" customHeight="1" thickBot="1" x14ac:dyDescent="0.45">
      <c r="A13" s="37" t="str">
        <f>IF(ISBLANK('Control Entry'!D45),"",'Control Entry'!D45)</f>
        <v/>
      </c>
      <c r="B13" s="38" t="str">
        <f>'Control Entry'!N45</f>
        <v/>
      </c>
      <c r="C13" s="38" t="str">
        <f>'Control Entry'!O45</f>
        <v/>
      </c>
      <c r="D13" s="39" t="str">
        <f>IF(ISBLANK('Control Entry'!E45),"",'Control Entry'!E45)</f>
        <v/>
      </c>
      <c r="E13" s="31" t="str">
        <f>IF(ISBLANK('Control Entry'!G45),"",'Control Entry'!G45)</f>
        <v/>
      </c>
      <c r="F13" s="95" t="str">
        <f>IF(ISBLANK('Control Entry'!J45),"",'Control Entry'!J45)</f>
        <v/>
      </c>
      <c r="G13" s="96"/>
      <c r="H13" s="26" t="s">
        <v>26</v>
      </c>
      <c r="J13" s="14" t="s">
        <v>37</v>
      </c>
      <c r="L13" s="166"/>
      <c r="M13" s="166"/>
      <c r="N13" s="166"/>
      <c r="O13" s="18"/>
      <c r="P13" s="17" t="s">
        <v>38</v>
      </c>
      <c r="Q13" s="17"/>
      <c r="R13" s="146"/>
      <c r="S13" s="146"/>
      <c r="T13" s="146"/>
      <c r="U13" s="146"/>
    </row>
    <row r="14" spans="1:22" ht="36" customHeight="1" thickBot="1" x14ac:dyDescent="0.4">
      <c r="A14" s="32"/>
      <c r="B14" s="33" t="str">
        <f>'Control Entry'!N45</f>
        <v/>
      </c>
      <c r="C14" s="33" t="str">
        <f>'Control Entry'!O45</f>
        <v/>
      </c>
      <c r="D14" s="34"/>
      <c r="E14" s="35" t="str">
        <f>IF(ISBLANK('Control Entry'!H45),"",'Control Entry'!H45)</f>
        <v/>
      </c>
      <c r="F14" s="100" t="str">
        <f>IF(ISBLANK('Control Entry'!K45),"",'Control Entry'!K45)</f>
        <v/>
      </c>
      <c r="G14" s="99"/>
      <c r="H14" s="26" t="s">
        <v>26</v>
      </c>
    </row>
    <row r="15" spans="1:22" ht="36" customHeight="1" x14ac:dyDescent="0.35">
      <c r="A15" s="28"/>
      <c r="B15" s="29" t="str">
        <f>'Control Entry'!N46</f>
        <v/>
      </c>
      <c r="C15" s="29" t="str">
        <f>'Control Entry'!O46</f>
        <v/>
      </c>
      <c r="D15" s="36"/>
      <c r="E15" s="31" t="str">
        <f>IF(ISBLANK('Control Entry'!F46),"",'Control Entry'!F46)</f>
        <v/>
      </c>
      <c r="F15" s="95" t="str">
        <f>IF(ISBLANK('Control Entry'!I46),"",'Control Entry'!I46)</f>
        <v/>
      </c>
      <c r="G15" s="96"/>
      <c r="H15" s="26" t="s">
        <v>26</v>
      </c>
      <c r="J15" s="14"/>
      <c r="L15" s="160" t="s">
        <v>55</v>
      </c>
      <c r="M15" s="160"/>
      <c r="N15" s="160"/>
      <c r="O15" s="160"/>
      <c r="P15" s="160"/>
      <c r="Q15" s="160"/>
      <c r="R15" s="160"/>
      <c r="S15" s="160"/>
      <c r="T15" s="160"/>
      <c r="U15" s="160"/>
    </row>
    <row r="16" spans="1:22" ht="36" customHeight="1" thickBot="1" x14ac:dyDescent="0.35">
      <c r="A16" s="37" t="str">
        <f>IF(ISBLANK('Control Entry'!D46),"",'Control Entry'!D46)</f>
        <v/>
      </c>
      <c r="B16" s="38" t="str">
        <f>'Control Entry'!N46</f>
        <v/>
      </c>
      <c r="C16" s="38" t="str">
        <f>'Control Entry'!O46</f>
        <v/>
      </c>
      <c r="D16" s="39" t="str">
        <f>IF(ISBLANK('Control Entry'!E46),"",'Control Entry'!E46)</f>
        <v/>
      </c>
      <c r="E16" s="31" t="str">
        <f>IF(ISBLANK('Control Entry'!G46),"",'Control Entry'!G46)</f>
        <v/>
      </c>
      <c r="F16" s="95" t="str">
        <f>IF(ISBLANK('Control Entry'!J46),"",'Control Entry'!J46)</f>
        <v/>
      </c>
      <c r="G16" s="96"/>
      <c r="H16" s="26" t="s">
        <v>26</v>
      </c>
      <c r="L16" s="189"/>
      <c r="M16" s="189"/>
      <c r="N16" s="189"/>
      <c r="O16" s="189"/>
      <c r="P16" s="189"/>
      <c r="Q16" s="189"/>
      <c r="R16" s="189"/>
      <c r="S16" s="189"/>
      <c r="T16" s="189"/>
      <c r="U16" s="189"/>
    </row>
    <row r="17" spans="1:22" ht="36" customHeight="1" thickBot="1" x14ac:dyDescent="0.4">
      <c r="A17" s="32"/>
      <c r="B17" s="33" t="str">
        <f>'Control Entry'!N46</f>
        <v/>
      </c>
      <c r="C17" s="33" t="str">
        <f>'Control Entry'!O46</f>
        <v/>
      </c>
      <c r="D17" s="34"/>
      <c r="E17" s="35" t="str">
        <f>IF(ISBLANK('Control Entry'!H46),"",'Control Entry'!H46)</f>
        <v/>
      </c>
      <c r="F17" s="100" t="str">
        <f>IF(ISBLANK('Control Entry'!K46),"",'Control Entry'!K46)</f>
        <v/>
      </c>
      <c r="G17" s="99"/>
      <c r="H17" s="26" t="s">
        <v>26</v>
      </c>
    </row>
    <row r="18" spans="1:22" ht="36" customHeight="1" x14ac:dyDescent="0.35">
      <c r="A18" s="28"/>
      <c r="B18" s="29" t="str">
        <f>'Control Entry'!N47</f>
        <v/>
      </c>
      <c r="C18" s="29" t="str">
        <f>'Control Entry'!O47</f>
        <v/>
      </c>
      <c r="D18" s="36"/>
      <c r="E18" s="31" t="str">
        <f>IF(ISBLANK('Control Entry'!F47),"",'Control Entry'!F47)</f>
        <v/>
      </c>
      <c r="F18" s="95" t="str">
        <f>IF(ISBLANK('Control Entry'!I47),"",'Control Entry'!I47)</f>
        <v/>
      </c>
      <c r="G18" s="96"/>
      <c r="H18" s="26" t="s">
        <v>26</v>
      </c>
    </row>
    <row r="19" spans="1:22" ht="36" customHeight="1" x14ac:dyDescent="0.3">
      <c r="A19" s="37" t="str">
        <f>IF(ISBLANK('Control Entry'!D47),"",'Control Entry'!D47)</f>
        <v/>
      </c>
      <c r="B19" s="38" t="str">
        <f>'Control Entry'!N47</f>
        <v/>
      </c>
      <c r="C19" s="38" t="str">
        <f>'Control Entry'!O47</f>
        <v/>
      </c>
      <c r="D19" s="39" t="str">
        <f>IF(ISBLANK('Control Entry'!E47),"",'Control Entry'!E47)</f>
        <v/>
      </c>
      <c r="E19" s="31" t="str">
        <f>IF(ISBLANK('Control Entry'!G47),"",'Control Entry'!G47)</f>
        <v/>
      </c>
      <c r="F19" s="95" t="str">
        <f>IF(ISBLANK('Control Entry'!J47),"",'Control Entry'!J47)</f>
        <v/>
      </c>
      <c r="G19" s="96"/>
      <c r="H19" s="26" t="s">
        <v>26</v>
      </c>
    </row>
    <row r="20" spans="1:22" ht="36" customHeight="1" thickBot="1" x14ac:dyDescent="0.4">
      <c r="A20" s="32"/>
      <c r="B20" s="33" t="str">
        <f>'Control Entry'!N47</f>
        <v/>
      </c>
      <c r="C20" s="33" t="str">
        <f>'Control Entry'!O47</f>
        <v/>
      </c>
      <c r="D20" s="34"/>
      <c r="E20" s="35" t="str">
        <f>IF(ISBLANK('Control Entry'!H47),"",'Control Entry'!H47)</f>
        <v/>
      </c>
      <c r="F20" s="100" t="str">
        <f>IF(ISBLANK('Control Entry'!K47),"",'Control Entry'!K47)</f>
        <v/>
      </c>
      <c r="G20" s="99"/>
      <c r="H20" s="26" t="s">
        <v>26</v>
      </c>
      <c r="J20" s="58" t="s">
        <v>41</v>
      </c>
      <c r="K20" s="58"/>
      <c r="L20" s="157">
        <f>IF(ISBLANK('Control Entry'!B13),"",'Control Entry'!B13)</f>
        <v>45724</v>
      </c>
      <c r="M20" s="157"/>
      <c r="N20" s="157"/>
      <c r="P20" s="17" t="s">
        <v>0</v>
      </c>
      <c r="Q20" s="17"/>
      <c r="S20" s="159">
        <f>IF(ISBLANK('Control Entry'!B14),"",'Control Entry'!B14)</f>
        <v>0.33333333333333331</v>
      </c>
      <c r="T20" s="159"/>
      <c r="U20" s="159"/>
    </row>
    <row r="21" spans="1:22" ht="36" customHeight="1" x14ac:dyDescent="0.4">
      <c r="A21" s="28"/>
      <c r="B21" s="29" t="str">
        <f>'Control Entry'!N48</f>
        <v/>
      </c>
      <c r="C21" s="29" t="str">
        <f>'Control Entry'!O48</f>
        <v/>
      </c>
      <c r="D21" s="36"/>
      <c r="E21" s="31" t="str">
        <f>IF(ISBLANK('Control Entry'!F48),"",'Control Entry'!F48)</f>
        <v/>
      </c>
      <c r="F21" s="95" t="str">
        <f>IF(ISBLANK('Control Entry'!I48),"",'Control Entry'!I48)</f>
        <v/>
      </c>
      <c r="G21" s="96"/>
      <c r="H21" s="26" t="s">
        <v>26</v>
      </c>
      <c r="J21" s="184" t="s">
        <v>85</v>
      </c>
      <c r="K21" s="184"/>
      <c r="L21" s="184"/>
      <c r="M21" s="184"/>
      <c r="N21" s="184"/>
      <c r="O21" s="184"/>
      <c r="P21" s="184"/>
      <c r="Q21" s="184"/>
      <c r="R21" s="184"/>
      <c r="S21" s="184"/>
      <c r="T21" s="184"/>
      <c r="U21" s="184"/>
      <c r="V21" s="27"/>
    </row>
    <row r="22" spans="1:22" ht="36" customHeight="1" thickBot="1" x14ac:dyDescent="0.4">
      <c r="A22" s="37" t="str">
        <f>IF(ISBLANK('Control Entry'!D48),"",'Control Entry'!D48)</f>
        <v/>
      </c>
      <c r="B22" s="38" t="str">
        <f>'Control Entry'!N48</f>
        <v/>
      </c>
      <c r="C22" s="38" t="str">
        <f>'Control Entry'!O48</f>
        <v/>
      </c>
      <c r="D22" s="39" t="str">
        <f>IF(ISBLANK('Control Entry'!E48),"",'Control Entry'!E48)</f>
        <v/>
      </c>
      <c r="E22" s="31" t="str">
        <f>IF(ISBLANK('Control Entry'!G48),"",'Control Entry'!G48)</f>
        <v/>
      </c>
      <c r="F22" s="95" t="str">
        <f>IF(ISBLANK('Control Entry'!J48),"",'Control Entry'!J48)</f>
        <v/>
      </c>
      <c r="G22" s="96"/>
      <c r="H22" s="26" t="s">
        <v>26</v>
      </c>
      <c r="J22" s="80" t="s">
        <v>42</v>
      </c>
      <c r="K22" s="80"/>
      <c r="L22" s="101"/>
      <c r="M22" s="101"/>
      <c r="N22" s="101"/>
      <c r="O22" s="18"/>
      <c r="P22" s="17" t="s">
        <v>1</v>
      </c>
      <c r="Q22" s="17"/>
      <c r="R22" s="18"/>
      <c r="S22" s="162"/>
      <c r="T22" s="162"/>
      <c r="U22" s="162"/>
    </row>
    <row r="23" spans="1:22" ht="36" customHeight="1" thickBot="1" x14ac:dyDescent="0.4">
      <c r="A23" s="32"/>
      <c r="B23" s="33" t="str">
        <f>'Control Entry'!N48</f>
        <v/>
      </c>
      <c r="C23" s="33" t="str">
        <f>'Control Entry'!O48</f>
        <v/>
      </c>
      <c r="D23" s="34"/>
      <c r="E23" s="35" t="str">
        <f>IF(ISBLANK('Control Entry'!H48),"",'Control Entry'!H48)</f>
        <v/>
      </c>
      <c r="F23" s="100" t="str">
        <f>IF(ISBLANK('Control Entry'!K48),"",'Control Entry'!K48)</f>
        <v/>
      </c>
      <c r="G23" s="99"/>
      <c r="H23" s="26" t="s">
        <v>26</v>
      </c>
      <c r="J23" s="80"/>
      <c r="K23" s="80"/>
      <c r="L23" s="56"/>
      <c r="M23" s="56"/>
      <c r="N23" s="56"/>
      <c r="O23" s="21"/>
      <c r="P23" s="55"/>
      <c r="Q23" s="55"/>
      <c r="R23" s="21"/>
      <c r="S23" s="21"/>
      <c r="T23" s="21"/>
      <c r="U23" s="21"/>
      <c r="V23" s="27"/>
    </row>
    <row r="24" spans="1:22" ht="36" customHeight="1" thickBot="1" x14ac:dyDescent="0.4">
      <c r="A24" s="28"/>
      <c r="B24" s="29" t="str">
        <f>'Control Entry'!N49</f>
        <v/>
      </c>
      <c r="C24" s="29" t="str">
        <f>'Control Entry'!O49</f>
        <v/>
      </c>
      <c r="D24" s="36"/>
      <c r="E24" s="31" t="str">
        <f>IF(ISBLANK('Control Entry'!F49),"",'Control Entry'!F49)</f>
        <v/>
      </c>
      <c r="F24" s="95" t="str">
        <f>IF(ISBLANK('Control Entry'!I49),"",'Control Entry'!I49)</f>
        <v/>
      </c>
      <c r="G24" s="96"/>
      <c r="H24" s="26" t="s">
        <v>26</v>
      </c>
      <c r="J24" s="162"/>
      <c r="K24" s="162"/>
      <c r="L24" s="162"/>
      <c r="M24" s="162"/>
      <c r="N24" s="162"/>
      <c r="O24" s="18"/>
      <c r="P24" s="17" t="s">
        <v>2</v>
      </c>
      <c r="Q24" s="17"/>
      <c r="R24" s="18"/>
      <c r="S24" s="162"/>
      <c r="T24" s="162"/>
      <c r="U24" s="162"/>
    </row>
    <row r="25" spans="1:22" ht="36" customHeight="1" x14ac:dyDescent="0.3">
      <c r="A25" s="37" t="str">
        <f>IF(ISBLANK('Control Entry'!D49),"",'Control Entry'!D49)</f>
        <v/>
      </c>
      <c r="B25" s="38" t="str">
        <f>'Control Entry'!N49</f>
        <v/>
      </c>
      <c r="C25" s="38" t="str">
        <f>'Control Entry'!O49</f>
        <v/>
      </c>
      <c r="D25" s="39" t="str">
        <f>IF(ISBLANK('Control Entry'!E49),"",'Control Entry'!E49)</f>
        <v/>
      </c>
      <c r="E25" s="31" t="str">
        <f>IF(ISBLANK('Control Entry'!G49),"",'Control Entry'!G49)</f>
        <v/>
      </c>
      <c r="F25" s="95" t="str">
        <f>IF(ISBLANK('Control Entry'!J49),"",'Control Entry'!J49)</f>
        <v/>
      </c>
      <c r="G25" s="96"/>
      <c r="H25" s="26" t="s">
        <v>26</v>
      </c>
      <c r="J25" s="171" t="s">
        <v>17</v>
      </c>
      <c r="K25" s="171"/>
      <c r="L25" s="171"/>
      <c r="M25" s="171"/>
      <c r="N25" s="171"/>
      <c r="O25" s="50"/>
      <c r="P25" s="137"/>
      <c r="Q25" s="137"/>
      <c r="R25" s="50"/>
      <c r="S25" s="135"/>
      <c r="T25" s="135"/>
      <c r="U25" s="135"/>
      <c r="V25" s="135"/>
    </row>
    <row r="26" spans="1:22" ht="36" customHeight="1" thickBot="1" x14ac:dyDescent="0.4">
      <c r="A26" s="32"/>
      <c r="B26" s="33" t="str">
        <f>'Control Entry'!N49</f>
        <v/>
      </c>
      <c r="C26" s="33" t="str">
        <f>'Control Entry'!O49</f>
        <v/>
      </c>
      <c r="D26" s="34"/>
      <c r="E26" s="35" t="str">
        <f>IF(ISBLANK('Control Entry'!H49),"",'Control Entry'!H49)</f>
        <v/>
      </c>
      <c r="F26" s="100" t="str">
        <f>IF(ISBLANK('Control Entry'!K49),"",'Control Entry'!K49)</f>
        <v/>
      </c>
      <c r="G26" s="99"/>
      <c r="H26" s="26" t="s">
        <v>26</v>
      </c>
    </row>
    <row r="27" spans="1:22" ht="36" customHeight="1" x14ac:dyDescent="0.35">
      <c r="A27" s="28"/>
      <c r="B27" s="29" t="str">
        <f>'Control Entry'!N50</f>
        <v/>
      </c>
      <c r="C27" s="29" t="str">
        <f>'Control Entry'!O50</f>
        <v/>
      </c>
      <c r="D27" s="36"/>
      <c r="E27" s="31" t="str">
        <f>IF(ISBLANK('Control Entry'!F50),"",'Control Entry'!F50)</f>
        <v/>
      </c>
      <c r="F27" s="95" t="str">
        <f>IF(ISBLANK('Control Entry'!I50),"",'Control Entry'!I50)</f>
        <v/>
      </c>
      <c r="G27" s="96"/>
      <c r="H27" s="26" t="s">
        <v>26</v>
      </c>
      <c r="K27" s="144" t="s">
        <v>53</v>
      </c>
      <c r="L27" s="137"/>
      <c r="M27" s="49" t="s">
        <v>54</v>
      </c>
      <c r="N27" s="137" t="s">
        <v>46</v>
      </c>
      <c r="O27" s="137"/>
      <c r="P27" s="137" t="s">
        <v>47</v>
      </c>
      <c r="Q27" s="137"/>
      <c r="R27" s="50" t="s">
        <v>48</v>
      </c>
      <c r="S27" s="135" t="s">
        <v>49</v>
      </c>
      <c r="T27" s="135"/>
      <c r="U27" s="135" t="s">
        <v>50</v>
      </c>
      <c r="V27" s="135"/>
    </row>
    <row r="28" spans="1:22" ht="36" customHeight="1" x14ac:dyDescent="0.3">
      <c r="A28" s="37" t="str">
        <f>IF(ISBLANK('Control Entry'!D50),"",'Control Entry'!D50)</f>
        <v/>
      </c>
      <c r="B28" s="38" t="str">
        <f>'Control Entry'!N50</f>
        <v/>
      </c>
      <c r="C28" s="38" t="str">
        <f>'Control Entry'!O50</f>
        <v/>
      </c>
      <c r="D28" s="39" t="str">
        <f>IF(ISBLANK('Control Entry'!E50),"",'Control Entry'!E50)</f>
        <v/>
      </c>
      <c r="E28" s="31" t="str">
        <f>IF(ISBLANK('Control Entry'!G50),"",'Control Entry'!G50)</f>
        <v/>
      </c>
      <c r="F28" s="95" t="str">
        <f>IF(ISBLANK('Control Entry'!J50),"",'Control Entry'!J50)</f>
        <v/>
      </c>
      <c r="G28" s="96"/>
      <c r="H28" s="26" t="s">
        <v>26</v>
      </c>
    </row>
    <row r="29" spans="1:22" ht="36" customHeight="1" thickBot="1" x14ac:dyDescent="0.4">
      <c r="A29" s="32"/>
      <c r="B29" s="33" t="str">
        <f>'Control Entry'!N50</f>
        <v/>
      </c>
      <c r="C29" s="33" t="str">
        <f>'Control Entry'!O50</f>
        <v/>
      </c>
      <c r="D29" s="34"/>
      <c r="E29" s="35" t="str">
        <f>IF(ISBLANK('Control Entry'!H50),"",'Control Entry'!H50)</f>
        <v/>
      </c>
      <c r="F29" s="100" t="str">
        <f>IF(ISBLANK('Control Entry'!K50),"",'Control Entry'!K50)</f>
        <v/>
      </c>
      <c r="G29" s="99"/>
      <c r="H29" s="26" t="s">
        <v>26</v>
      </c>
      <c r="M29" s="136" t="s">
        <v>39</v>
      </c>
      <c r="N29" s="136"/>
      <c r="O29" s="136"/>
      <c r="P29" s="136"/>
      <c r="Q29" s="136"/>
      <c r="R29" s="136"/>
      <c r="S29" s="136"/>
      <c r="T29" s="136"/>
      <c r="U29" s="53"/>
    </row>
    <row r="30" spans="1:22" ht="36" customHeight="1" x14ac:dyDescent="0.35">
      <c r="A30" s="28"/>
      <c r="B30" s="29" t="str">
        <f>'Control Entry'!N51</f>
        <v/>
      </c>
      <c r="C30" s="29" t="str">
        <f>'Control Entry'!O51</f>
        <v/>
      </c>
      <c r="D30" s="36"/>
      <c r="E30" s="31" t="str">
        <f>IF(ISBLANK('Control Entry'!F51),"",'Control Entry'!F51)</f>
        <v/>
      </c>
      <c r="F30" s="95" t="str">
        <f>IF(ISBLANK('Control Entry'!I51),"",'Control Entry'!I51)</f>
        <v/>
      </c>
      <c r="G30" s="96"/>
      <c r="H30" s="26" t="s">
        <v>26</v>
      </c>
      <c r="M30" s="15"/>
      <c r="N30" s="19"/>
      <c r="O30" s="19"/>
      <c r="P30" s="20"/>
      <c r="Q30" s="102"/>
      <c r="R30" s="19"/>
      <c r="S30" s="19"/>
      <c r="T30" s="20"/>
      <c r="U30" s="21"/>
    </row>
    <row r="31" spans="1:22" ht="36" customHeight="1" x14ac:dyDescent="0.3">
      <c r="A31" s="37" t="str">
        <f>IF(ISBLANK('Control Entry'!D51),"",'Control Entry'!D51)</f>
        <v/>
      </c>
      <c r="B31" s="38" t="str">
        <f>'Control Entry'!N51</f>
        <v/>
      </c>
      <c r="C31" s="38" t="str">
        <f>'Control Entry'!O51</f>
        <v/>
      </c>
      <c r="D31" s="39" t="str">
        <f>IF(ISBLANK('Control Entry'!E51),"",'Control Entry'!E51)</f>
        <v/>
      </c>
      <c r="E31" s="31" t="str">
        <f>IF(ISBLANK('Control Entry'!G51),"",'Control Entry'!G51)</f>
        <v/>
      </c>
      <c r="F31" s="95" t="str">
        <f>IF(ISBLANK('Control Entry'!J51),"",'Control Entry'!J51)</f>
        <v/>
      </c>
      <c r="G31" s="96"/>
      <c r="H31" s="26" t="s">
        <v>26</v>
      </c>
      <c r="M31" s="16"/>
      <c r="N31" s="21"/>
      <c r="O31" s="21"/>
      <c r="P31" s="22"/>
      <c r="Q31" s="103"/>
      <c r="R31" s="21"/>
      <c r="S31" s="21"/>
      <c r="T31" s="22"/>
      <c r="U31" s="21"/>
    </row>
    <row r="32" spans="1:22" ht="36" customHeight="1" thickBot="1" x14ac:dyDescent="0.4">
      <c r="A32" s="32"/>
      <c r="B32" s="33" t="str">
        <f>'Control Entry'!N51</f>
        <v/>
      </c>
      <c r="C32" s="33" t="str">
        <f>'Control Entry'!O51</f>
        <v/>
      </c>
      <c r="D32" s="34"/>
      <c r="E32" s="35" t="str">
        <f>IF(ISBLANK('Control Entry'!H51),"",'Control Entry'!H51)</f>
        <v/>
      </c>
      <c r="F32" s="100" t="str">
        <f>IF(ISBLANK('Control Entry'!K51),"",'Control Entry'!K51)</f>
        <v/>
      </c>
      <c r="G32" s="99"/>
      <c r="H32" s="26" t="s">
        <v>26</v>
      </c>
      <c r="M32" s="150" t="s">
        <v>78</v>
      </c>
      <c r="N32" s="151"/>
      <c r="O32" s="151"/>
      <c r="P32" s="152"/>
      <c r="Q32" s="153">
        <f>'Control Entry'!B3</f>
        <v>44990</v>
      </c>
      <c r="R32" s="154"/>
      <c r="S32" s="154"/>
      <c r="T32" s="155"/>
      <c r="U32" s="21"/>
    </row>
    <row r="33" spans="1:22" ht="36" customHeight="1" x14ac:dyDescent="0.35">
      <c r="A33" s="143" t="s">
        <v>40</v>
      </c>
      <c r="B33" s="143"/>
      <c r="C33" s="143"/>
      <c r="D33" s="143"/>
      <c r="E33" s="143"/>
      <c r="F33" s="143"/>
      <c r="G33" s="143"/>
      <c r="H33" s="40"/>
      <c r="I33" s="40"/>
      <c r="M33" s="138" t="s">
        <v>81</v>
      </c>
      <c r="N33" s="139"/>
      <c r="O33" s="139"/>
      <c r="P33" s="139"/>
      <c r="Q33" s="140">
        <f>'Control Entry'!B4</f>
        <v>44992</v>
      </c>
      <c r="R33" s="141"/>
      <c r="S33" s="141"/>
      <c r="T33" s="141"/>
      <c r="U33" s="90"/>
      <c r="V33" s="56"/>
    </row>
    <row r="34" spans="1:22" ht="36" customHeight="1" x14ac:dyDescent="0.35">
      <c r="A34"/>
      <c r="O34" s="46"/>
      <c r="P34" s="46"/>
      <c r="Q34" s="46"/>
      <c r="R34" s="45"/>
    </row>
    <row r="35" spans="1:22" ht="36" customHeight="1" x14ac:dyDescent="0.25">
      <c r="A35"/>
      <c r="N35" s="136"/>
      <c r="O35" s="136"/>
      <c r="P35" s="136"/>
      <c r="Q35" s="136"/>
      <c r="R35" s="136"/>
      <c r="S35" s="136"/>
      <c r="T35" s="136"/>
      <c r="U35" s="136"/>
    </row>
    <row r="36" spans="1:22" ht="36" customHeight="1" x14ac:dyDescent="0.25">
      <c r="A36"/>
      <c r="N36" s="27"/>
      <c r="O36" s="21"/>
      <c r="P36" s="21"/>
      <c r="Q36" s="21"/>
      <c r="R36" s="21"/>
      <c r="S36" s="21"/>
      <c r="T36" s="21"/>
      <c r="U36" s="21"/>
    </row>
    <row r="37" spans="1:22" ht="36" customHeight="1" x14ac:dyDescent="0.25">
      <c r="A37"/>
      <c r="N37" s="27"/>
      <c r="O37" s="21"/>
      <c r="P37" s="21"/>
      <c r="Q37" s="21"/>
      <c r="R37" s="21"/>
      <c r="S37" s="21"/>
      <c r="T37" s="21"/>
      <c r="U37" s="21"/>
    </row>
    <row r="38" spans="1:22" ht="36" customHeight="1" x14ac:dyDescent="0.35">
      <c r="A38"/>
      <c r="N38" s="54"/>
      <c r="O38" s="21"/>
      <c r="P38" s="21"/>
      <c r="Q38" s="21"/>
      <c r="R38" s="21"/>
      <c r="S38" s="21"/>
      <c r="T38" s="21"/>
      <c r="U38" s="21"/>
    </row>
    <row r="39" spans="1:22" ht="36" customHeight="1" x14ac:dyDescent="0.25">
      <c r="A39"/>
    </row>
    <row r="40" spans="1:22" ht="36" customHeight="1" x14ac:dyDescent="0.2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4" orientation="landscape" horizontalDpi="4294967292" verticalDpi="4294967292"/>
  <headerFooter>
    <oddFooter>&amp;C_x000D_&amp;1#&amp;"Calibri"&amp;6&amp;K626469 Public</oddFooter>
  </headerFooter>
  <ignoredErrors>
    <ignoredError sqref="L20" unlockedFormula="1"/>
  </ignoredError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40"/>
  <sheetViews>
    <sheetView showGridLines="0" topLeftCell="A9" zoomScale="92" zoomScaleNormal="92" zoomScalePageLayoutView="92" workbookViewId="0">
      <selection activeCell="L8" sqref="L8:Q8"/>
    </sheetView>
  </sheetViews>
  <sheetFormatPr defaultColWidth="8.77734375" defaultRowHeight="13.2" x14ac:dyDescent="0.25"/>
  <cols>
    <col min="1" max="1" width="8.44140625" style="1" customWidth="1"/>
    <col min="2" max="3" width="11.6640625" customWidth="1"/>
    <col min="4" max="4" width="18" customWidth="1"/>
    <col min="5" max="5" width="23.77734375" customWidth="1"/>
    <col min="6" max="6" width="42" customWidth="1"/>
    <col min="7" max="7" width="13.44140625" customWidth="1"/>
    <col min="8" max="8" width="8" style="27" customWidth="1"/>
    <col min="9" max="9" width="12" customWidth="1"/>
    <col min="12" max="14" width="9" customWidth="1"/>
    <col min="18" max="18" width="8.77734375" customWidth="1"/>
    <col min="19" max="19" width="9" customWidth="1"/>
  </cols>
  <sheetData>
    <row r="1" spans="1:22" ht="21" thickBot="1" x14ac:dyDescent="0.3">
      <c r="A1" s="142" t="s">
        <v>70</v>
      </c>
      <c r="B1" s="142"/>
      <c r="C1" s="142"/>
      <c r="D1" s="142"/>
      <c r="E1" s="142"/>
      <c r="F1" s="142"/>
      <c r="G1" s="142"/>
      <c r="H1" s="26" t="s">
        <v>26</v>
      </c>
    </row>
    <row r="2" spans="1:22" ht="33.75" customHeight="1" thickBot="1" x14ac:dyDescent="0.35">
      <c r="A2" s="73" t="s">
        <v>27</v>
      </c>
      <c r="B2" s="9" t="s">
        <v>3</v>
      </c>
      <c r="C2" s="9" t="s">
        <v>4</v>
      </c>
      <c r="D2" s="9" t="s">
        <v>22</v>
      </c>
      <c r="E2" s="9" t="s">
        <v>28</v>
      </c>
      <c r="F2" s="9" t="s">
        <v>56</v>
      </c>
      <c r="G2" s="73" t="s">
        <v>29</v>
      </c>
      <c r="H2" s="26" t="s">
        <v>26</v>
      </c>
      <c r="K2" s="148" t="s">
        <v>52</v>
      </c>
      <c r="L2" s="148"/>
      <c r="M2" s="148"/>
      <c r="N2" s="148"/>
      <c r="O2" s="148"/>
      <c r="P2" s="148"/>
      <c r="Q2" s="148"/>
      <c r="R2" s="148"/>
      <c r="S2" s="148"/>
      <c r="T2" s="148"/>
      <c r="U2" s="148"/>
    </row>
    <row r="3" spans="1:22" ht="36" customHeight="1" x14ac:dyDescent="0.7">
      <c r="A3" s="28"/>
      <c r="B3" s="29" t="str">
        <f>'Control Entry'!N55</f>
        <v/>
      </c>
      <c r="C3" s="29" t="str">
        <f>'Control Entry'!O55</f>
        <v/>
      </c>
      <c r="D3" s="30"/>
      <c r="E3" s="31" t="str">
        <f>IF(ISBLANK('Control Entry'!F55),"",'Control Entry'!F55)</f>
        <v/>
      </c>
      <c r="F3" s="95" t="str">
        <f>IF(ISBLANK('Control Entry'!I55),"",'Control Entry'!I55)</f>
        <v/>
      </c>
      <c r="G3" s="96"/>
      <c r="H3" s="26" t="s">
        <v>26</v>
      </c>
      <c r="K3" s="13"/>
      <c r="O3" s="172" t="s">
        <v>69</v>
      </c>
      <c r="P3" s="172"/>
      <c r="Q3" s="172"/>
      <c r="R3" s="172"/>
      <c r="S3" s="84" t="str">
        <f>IF(AND('Control Entry'!D42=0,'Control Entry'!D55&lt;&gt;0),"#2",IF('Control Entry'!D55=0,"","#4"))</f>
        <v/>
      </c>
      <c r="T3" s="85"/>
      <c r="U3" s="41"/>
    </row>
    <row r="4" spans="1:22" ht="36" customHeight="1" x14ac:dyDescent="0.3">
      <c r="A4" s="37" t="str">
        <f>IF(ISBLANK('Control Entry'!D55),"",'Control Entry'!D55)</f>
        <v/>
      </c>
      <c r="B4" s="38" t="str">
        <f>'Control Entry'!N55</f>
        <v/>
      </c>
      <c r="C4" s="38" t="str">
        <f>'Control Entry'!O55</f>
        <v/>
      </c>
      <c r="D4" s="39" t="str">
        <f>IF(ISBLANK('Control Entry'!E55),"",'Control Entry'!E55)</f>
        <v/>
      </c>
      <c r="E4" s="31" t="str">
        <f>IF(ISBLANK('Control Entry'!G55),"",'Control Entry'!G55)</f>
        <v/>
      </c>
      <c r="F4" s="95" t="str">
        <f>IF(ISBLANK('Control Entry'!J55),"",'Control Entry'!J55)</f>
        <v/>
      </c>
      <c r="G4" s="96"/>
      <c r="H4" s="26" t="s">
        <v>26</v>
      </c>
      <c r="K4" s="13"/>
      <c r="M4" s="144" t="str">
        <f>IF(ISBLANK(brevet),"",brevet&amp;" km Randonnée")</f>
        <v>100 km Randonnée</v>
      </c>
      <c r="N4" s="144"/>
      <c r="O4" s="144"/>
      <c r="P4" s="144"/>
      <c r="Q4" s="144"/>
      <c r="R4" s="144"/>
      <c r="S4" s="144"/>
      <c r="T4" s="144"/>
      <c r="U4" s="42"/>
    </row>
    <row r="5" spans="1:22" ht="36" customHeight="1" thickBot="1" x14ac:dyDescent="0.4">
      <c r="A5" s="32"/>
      <c r="B5" s="33" t="str">
        <f>'Control Entry'!N55</f>
        <v/>
      </c>
      <c r="C5" s="33" t="str">
        <f>'Control Entry'!O55</f>
        <v/>
      </c>
      <c r="D5" s="34"/>
      <c r="E5" s="35" t="str">
        <f>IF(ISBLANK('Control Entry'!H55),"",'Control Entry'!H55)</f>
        <v/>
      </c>
      <c r="F5" s="100" t="str">
        <f>IF(ISBLANK('Control Entry'!K55),"",'Control Entry'!K55)</f>
        <v/>
      </c>
      <c r="G5" s="99"/>
      <c r="H5" s="26" t="s">
        <v>26</v>
      </c>
      <c r="K5" s="13"/>
      <c r="M5" s="14"/>
      <c r="N5" s="170" t="s">
        <v>44</v>
      </c>
      <c r="O5" s="170"/>
      <c r="P5" s="60">
        <f>IF(ISBLANK(Brevet_Number),"",Brevet_Number)</f>
        <v>5496</v>
      </c>
      <c r="Q5" s="61"/>
      <c r="R5" s="147">
        <f>IF(ISBLANK('Control Entry'!$B11),"",'Control Entry'!$B11)</f>
        <v>45724</v>
      </c>
      <c r="S5" s="147"/>
      <c r="T5" s="147"/>
      <c r="U5" s="147"/>
      <c r="V5" s="43"/>
    </row>
    <row r="6" spans="1:22" ht="36" customHeight="1" x14ac:dyDescent="0.4">
      <c r="A6" s="28"/>
      <c r="B6" s="29" t="str">
        <f>'Control Entry'!N56</f>
        <v/>
      </c>
      <c r="C6" s="29" t="str">
        <f>'Control Entry'!O56</f>
        <v/>
      </c>
      <c r="D6" s="36"/>
      <c r="E6" s="31" t="str">
        <f>IF(ISBLANK('Control Entry'!F56),"",'Control Entry'!F56)</f>
        <v/>
      </c>
      <c r="F6" s="95" t="str">
        <f>IF(ISBLANK('Control Entry'!I56),"",'Control Entry'!I56)</f>
        <v/>
      </c>
      <c r="G6" s="96"/>
      <c r="H6" s="26" t="s">
        <v>26</v>
      </c>
      <c r="K6" s="13"/>
      <c r="L6" s="161" t="str">
        <f>IF(ISBLANK(Brevet_Description),"",Brevet_Description)</f>
        <v>100km Gravel Permanent - Beaches &amp; Stream</v>
      </c>
      <c r="M6" s="161"/>
      <c r="N6" s="161"/>
      <c r="O6" s="161"/>
      <c r="P6" s="161"/>
      <c r="Q6" s="161"/>
      <c r="R6" s="161"/>
      <c r="S6" s="161"/>
      <c r="T6" s="161"/>
      <c r="U6" s="161"/>
    </row>
    <row r="7" spans="1:22" ht="36" customHeight="1" x14ac:dyDescent="0.3">
      <c r="A7" s="37" t="str">
        <f>IF(ISBLANK('Control Entry'!D56),"",'Control Entry'!D56)</f>
        <v/>
      </c>
      <c r="B7" s="38" t="str">
        <f>'Control Entry'!N56</f>
        <v/>
      </c>
      <c r="C7" s="38" t="str">
        <f>'Control Entry'!O56</f>
        <v/>
      </c>
      <c r="D7" s="39" t="str">
        <f>IF(ISBLANK('Control Entry'!E56),"",'Control Entry'!E56)</f>
        <v/>
      </c>
      <c r="E7" s="31" t="str">
        <f>IF(ISBLANK('Control Entry'!G56),"",'Control Entry'!G56)</f>
        <v/>
      </c>
      <c r="F7" s="95" t="str">
        <f>IF(ISBLANK('Control Entry'!J56),"",'Control Entry'!J56)</f>
        <v/>
      </c>
      <c r="G7" s="96"/>
      <c r="H7" s="26" t="s">
        <v>26</v>
      </c>
    </row>
    <row r="8" spans="1:22" ht="36" customHeight="1" thickBot="1" x14ac:dyDescent="0.4">
      <c r="A8" s="32"/>
      <c r="B8" s="33" t="str">
        <f>'Control Entry'!N56</f>
        <v/>
      </c>
      <c r="C8" s="33" t="str">
        <f>'Control Entry'!O56</f>
        <v/>
      </c>
      <c r="D8" s="34"/>
      <c r="E8" s="35" t="str">
        <f>IF(ISBLANK('Control Entry'!H56),"",'Control Entry'!H56)</f>
        <v/>
      </c>
      <c r="F8" s="100" t="str">
        <f>IF(ISBLANK('Control Entry'!K56),"",'Control Entry'!K56)</f>
        <v/>
      </c>
      <c r="G8" s="99"/>
      <c r="H8" s="26" t="s">
        <v>26</v>
      </c>
      <c r="J8" s="14" t="s">
        <v>31</v>
      </c>
      <c r="L8" s="149"/>
      <c r="M8" s="149"/>
      <c r="N8" s="149"/>
      <c r="O8" s="149"/>
      <c r="P8" s="149"/>
      <c r="Q8" s="149"/>
      <c r="R8" s="27"/>
      <c r="S8" s="44" t="s">
        <v>43</v>
      </c>
      <c r="T8" s="156"/>
      <c r="U8" s="156"/>
    </row>
    <row r="9" spans="1:22" ht="36" customHeight="1" thickBot="1" x14ac:dyDescent="0.5">
      <c r="A9" s="28"/>
      <c r="B9" s="29" t="str">
        <f>'Control Entry'!N57</f>
        <v/>
      </c>
      <c r="C9" s="29" t="str">
        <f>'Control Entry'!O57</f>
        <v/>
      </c>
      <c r="D9" s="36"/>
      <c r="E9" s="31" t="str">
        <f>IF(ISBLANK('Control Entry'!F57),"",'Control Entry'!F57)</f>
        <v/>
      </c>
      <c r="F9" s="95" t="str">
        <f>IF(ISBLANK('Control Entry'!I57),"",'Control Entry'!I57)</f>
        <v/>
      </c>
      <c r="G9" s="96"/>
      <c r="H9" s="26" t="s">
        <v>26</v>
      </c>
      <c r="J9" s="14" t="s">
        <v>32</v>
      </c>
      <c r="K9" s="14"/>
      <c r="L9" s="163" t="s">
        <v>51</v>
      </c>
      <c r="M9" s="163"/>
      <c r="N9" s="163"/>
      <c r="O9" s="163"/>
      <c r="P9" s="163"/>
      <c r="Q9" s="163"/>
      <c r="R9" s="163"/>
      <c r="S9" s="163"/>
      <c r="T9" s="163"/>
      <c r="U9" s="163"/>
    </row>
    <row r="10" spans="1:22" ht="36" customHeight="1" thickBot="1" x14ac:dyDescent="0.45">
      <c r="A10" s="37" t="str">
        <f>IF(ISBLANK('Control Entry'!D57),"",'Control Entry'!D57)</f>
        <v/>
      </c>
      <c r="B10" s="38" t="str">
        <f>'Control Entry'!N57</f>
        <v/>
      </c>
      <c r="C10" s="38" t="str">
        <f>'Control Entry'!O57</f>
        <v/>
      </c>
      <c r="D10" s="39" t="str">
        <f>IF(ISBLANK('Control Entry'!E57),"",'Control Entry'!E57)</f>
        <v/>
      </c>
      <c r="E10" s="31" t="str">
        <f>IF(ISBLANK('Control Entry'!G57),"",'Control Entry'!G57)</f>
        <v/>
      </c>
      <c r="F10" s="95" t="str">
        <f>IF(ISBLANK('Control Entry'!J57),"",'Control Entry'!J57)</f>
        <v/>
      </c>
      <c r="G10" s="96"/>
      <c r="H10" s="26" t="s">
        <v>26</v>
      </c>
      <c r="J10" s="14"/>
      <c r="K10" s="14"/>
      <c r="L10" s="158"/>
      <c r="M10" s="158"/>
      <c r="N10" s="158"/>
      <c r="O10" s="158"/>
      <c r="P10" s="158"/>
      <c r="Q10" s="158"/>
      <c r="R10" s="158"/>
      <c r="S10" s="158"/>
      <c r="T10" s="158"/>
      <c r="U10" s="158"/>
    </row>
    <row r="11" spans="1:22" ht="36" customHeight="1" thickBot="1" x14ac:dyDescent="0.45">
      <c r="A11" s="32"/>
      <c r="B11" s="33" t="str">
        <f>'Control Entry'!N57</f>
        <v/>
      </c>
      <c r="C11" s="33" t="str">
        <f>'Control Entry'!O57</f>
        <v/>
      </c>
      <c r="D11" s="34"/>
      <c r="E11" s="35" t="str">
        <f>IF(ISBLANK('Control Entry'!H57),"",'Control Entry'!H57)</f>
        <v/>
      </c>
      <c r="F11" s="100" t="str">
        <f>IF(ISBLANK('Control Entry'!K57),"",'Control Entry'!K57)</f>
        <v/>
      </c>
      <c r="G11" s="99"/>
      <c r="H11" s="26" t="s">
        <v>26</v>
      </c>
      <c r="J11" s="14" t="s">
        <v>33</v>
      </c>
      <c r="K11" s="14"/>
      <c r="L11" s="158"/>
      <c r="M11" s="158"/>
      <c r="N11" s="158"/>
      <c r="O11" s="17"/>
      <c r="P11" s="17" t="s">
        <v>34</v>
      </c>
      <c r="Q11" s="17"/>
      <c r="R11" s="17"/>
      <c r="S11" s="145"/>
      <c r="T11" s="145"/>
      <c r="U11" s="145"/>
    </row>
    <row r="12" spans="1:22" ht="36" customHeight="1" thickBot="1" x14ac:dyDescent="0.45">
      <c r="A12" s="28"/>
      <c r="B12" s="29" t="str">
        <f>'Control Entry'!N58</f>
        <v/>
      </c>
      <c r="C12" s="29" t="str">
        <f>'Control Entry'!O58</f>
        <v/>
      </c>
      <c r="D12" s="36"/>
      <c r="E12" s="31" t="str">
        <f>IF(ISBLANK('Control Entry'!F58),"",'Control Entry'!F58)</f>
        <v/>
      </c>
      <c r="F12" s="95" t="str">
        <f>IF(ISBLANK('Control Entry'!I58),"",'Control Entry'!I58)</f>
        <v/>
      </c>
      <c r="G12" s="96"/>
      <c r="H12" s="26" t="s">
        <v>26</v>
      </c>
      <c r="J12" s="14" t="s">
        <v>35</v>
      </c>
      <c r="K12" s="14"/>
      <c r="L12" s="158"/>
      <c r="M12" s="158"/>
      <c r="N12" s="158"/>
      <c r="O12" s="17"/>
      <c r="P12" s="17" t="s">
        <v>36</v>
      </c>
      <c r="Q12" s="17"/>
      <c r="R12" s="17"/>
      <c r="S12" s="145"/>
      <c r="T12" s="145"/>
      <c r="U12" s="145"/>
    </row>
    <row r="13" spans="1:22" ht="36" customHeight="1" thickBot="1" x14ac:dyDescent="0.45">
      <c r="A13" s="37" t="str">
        <f>IF(ISBLANK('Control Entry'!D58),"",'Control Entry'!D58)</f>
        <v/>
      </c>
      <c r="B13" s="38" t="str">
        <f>'Control Entry'!N58</f>
        <v/>
      </c>
      <c r="C13" s="38" t="str">
        <f>'Control Entry'!O58</f>
        <v/>
      </c>
      <c r="D13" s="39" t="str">
        <f>IF(ISBLANK('Control Entry'!E58),"",'Control Entry'!E58)</f>
        <v/>
      </c>
      <c r="E13" s="31" t="str">
        <f>IF(ISBLANK('Control Entry'!G58),"",'Control Entry'!G58)</f>
        <v/>
      </c>
      <c r="F13" s="95" t="str">
        <f>IF(ISBLANK('Control Entry'!J58),"",'Control Entry'!J58)</f>
        <v/>
      </c>
      <c r="G13" s="96"/>
      <c r="H13" s="26" t="s">
        <v>26</v>
      </c>
      <c r="J13" s="14" t="s">
        <v>37</v>
      </c>
      <c r="L13" s="166"/>
      <c r="M13" s="166"/>
      <c r="N13" s="166"/>
      <c r="O13" s="18"/>
      <c r="P13" s="17" t="s">
        <v>38</v>
      </c>
      <c r="Q13" s="17"/>
      <c r="R13" s="146"/>
      <c r="S13" s="146"/>
      <c r="T13" s="146"/>
      <c r="U13" s="146"/>
    </row>
    <row r="14" spans="1:22" ht="36" customHeight="1" thickBot="1" x14ac:dyDescent="0.4">
      <c r="A14" s="32"/>
      <c r="B14" s="33" t="str">
        <f>'Control Entry'!N58</f>
        <v/>
      </c>
      <c r="C14" s="33" t="str">
        <f>'Control Entry'!O58</f>
        <v/>
      </c>
      <c r="D14" s="34"/>
      <c r="E14" s="35" t="str">
        <f>IF(ISBLANK('Control Entry'!H58),"",'Control Entry'!H58)</f>
        <v/>
      </c>
      <c r="F14" s="100" t="str">
        <f>IF(ISBLANK('Control Entry'!K58),"",'Control Entry'!K58)</f>
        <v/>
      </c>
      <c r="G14" s="99"/>
      <c r="H14" s="26" t="s">
        <v>26</v>
      </c>
    </row>
    <row r="15" spans="1:22" ht="36" customHeight="1" x14ac:dyDescent="0.35">
      <c r="A15" s="28"/>
      <c r="B15" s="29" t="str">
        <f>'Control Entry'!N59</f>
        <v/>
      </c>
      <c r="C15" s="29" t="str">
        <f>'Control Entry'!O59</f>
        <v/>
      </c>
      <c r="D15" s="36"/>
      <c r="E15" s="31" t="str">
        <f>IF(ISBLANK('Control Entry'!F59),"",'Control Entry'!F59)</f>
        <v/>
      </c>
      <c r="F15" s="95" t="str">
        <f>IF(ISBLANK('Control Entry'!I59),"",'Control Entry'!I59)</f>
        <v/>
      </c>
      <c r="G15" s="96"/>
      <c r="H15" s="26" t="s">
        <v>26</v>
      </c>
      <c r="J15" s="14"/>
      <c r="L15" s="160" t="s">
        <v>55</v>
      </c>
      <c r="M15" s="160"/>
      <c r="N15" s="160"/>
      <c r="O15" s="160"/>
      <c r="P15" s="160"/>
      <c r="Q15" s="160"/>
      <c r="R15" s="160"/>
      <c r="S15" s="160"/>
      <c r="T15" s="160"/>
      <c r="U15" s="160"/>
    </row>
    <row r="16" spans="1:22" ht="36" customHeight="1" thickBot="1" x14ac:dyDescent="0.35">
      <c r="A16" s="37" t="str">
        <f>IF(ISBLANK('Control Entry'!D59),"",'Control Entry'!D59)</f>
        <v/>
      </c>
      <c r="B16" s="38" t="str">
        <f>'Control Entry'!N59</f>
        <v/>
      </c>
      <c r="C16" s="38" t="str">
        <f>'Control Entry'!O59</f>
        <v/>
      </c>
      <c r="D16" s="39" t="str">
        <f>IF(ISBLANK('Control Entry'!E59),"",'Control Entry'!E59)</f>
        <v/>
      </c>
      <c r="E16" s="31" t="str">
        <f>IF(ISBLANK('Control Entry'!G59),"",'Control Entry'!G59)</f>
        <v/>
      </c>
      <c r="F16" s="95" t="str">
        <f>IF(ISBLANK('Control Entry'!J59),"",'Control Entry'!J59)</f>
        <v/>
      </c>
      <c r="G16" s="96"/>
      <c r="H16" s="26" t="s">
        <v>26</v>
      </c>
      <c r="L16" s="189"/>
      <c r="M16" s="189"/>
      <c r="N16" s="189"/>
      <c r="O16" s="189"/>
      <c r="P16" s="189"/>
      <c r="Q16" s="189"/>
      <c r="R16" s="189"/>
      <c r="S16" s="189"/>
      <c r="T16" s="189"/>
      <c r="U16" s="189"/>
    </row>
    <row r="17" spans="1:22" ht="36" customHeight="1" thickBot="1" x14ac:dyDescent="0.4">
      <c r="A17" s="32"/>
      <c r="B17" s="33" t="str">
        <f>'Control Entry'!N59</f>
        <v/>
      </c>
      <c r="C17" s="33" t="str">
        <f>'Control Entry'!O59</f>
        <v/>
      </c>
      <c r="D17" s="34"/>
      <c r="E17" s="35" t="str">
        <f>IF(ISBLANK('Control Entry'!H59),"",'Control Entry'!H59)</f>
        <v/>
      </c>
      <c r="F17" s="100" t="str">
        <f>IF(ISBLANK('Control Entry'!K59),"",'Control Entry'!K59)</f>
        <v/>
      </c>
      <c r="G17" s="99"/>
      <c r="H17" s="26" t="s">
        <v>26</v>
      </c>
    </row>
    <row r="18" spans="1:22" ht="36" customHeight="1" x14ac:dyDescent="0.35">
      <c r="A18" s="28"/>
      <c r="B18" s="29" t="str">
        <f>'Control Entry'!N60</f>
        <v/>
      </c>
      <c r="C18" s="29" t="str">
        <f>'Control Entry'!O60</f>
        <v/>
      </c>
      <c r="D18" s="36"/>
      <c r="E18" s="31" t="str">
        <f>IF(ISBLANK('Control Entry'!F60),"",'Control Entry'!F60)</f>
        <v/>
      </c>
      <c r="F18" s="95" t="str">
        <f>IF(ISBLANK('Control Entry'!I60),"",'Control Entry'!I60)</f>
        <v/>
      </c>
      <c r="G18" s="96"/>
      <c r="H18" s="26" t="s">
        <v>26</v>
      </c>
    </row>
    <row r="19" spans="1:22" ht="36" customHeight="1" x14ac:dyDescent="0.3">
      <c r="A19" s="37" t="str">
        <f>IF(ISBLANK('Control Entry'!D60),"",'Control Entry'!D60)</f>
        <v/>
      </c>
      <c r="B19" s="38" t="str">
        <f>'Control Entry'!N60</f>
        <v/>
      </c>
      <c r="C19" s="38" t="str">
        <f>'Control Entry'!O60</f>
        <v/>
      </c>
      <c r="D19" s="39" t="str">
        <f>IF(ISBLANK('Control Entry'!E60),"",'Control Entry'!E60)</f>
        <v/>
      </c>
      <c r="E19" s="31" t="str">
        <f>IF(ISBLANK('Control Entry'!G60),"",'Control Entry'!G60)</f>
        <v/>
      </c>
      <c r="F19" s="95" t="str">
        <f>IF(ISBLANK('Control Entry'!J60),"",'Control Entry'!J60)</f>
        <v/>
      </c>
      <c r="G19" s="96"/>
      <c r="H19" s="26" t="s">
        <v>26</v>
      </c>
    </row>
    <row r="20" spans="1:22" ht="36" customHeight="1" thickBot="1" x14ac:dyDescent="0.4">
      <c r="A20" s="32"/>
      <c r="B20" s="33" t="str">
        <f>'Control Entry'!N60</f>
        <v/>
      </c>
      <c r="C20" s="33" t="str">
        <f>'Control Entry'!O60</f>
        <v/>
      </c>
      <c r="D20" s="34"/>
      <c r="E20" s="35" t="str">
        <f>IF(ISBLANK('Control Entry'!H60),"",'Control Entry'!H60)</f>
        <v/>
      </c>
      <c r="F20" s="100" t="str">
        <f>IF(ISBLANK('Control Entry'!K60),"",'Control Entry'!K60)</f>
        <v/>
      </c>
      <c r="G20" s="99"/>
      <c r="H20" s="26" t="s">
        <v>26</v>
      </c>
      <c r="J20" s="58" t="s">
        <v>41</v>
      </c>
      <c r="K20" s="58"/>
      <c r="L20" s="157">
        <f>IF(ISBLANK('Control Entry'!B13),"",'Control Entry'!B13)</f>
        <v>45724</v>
      </c>
      <c r="M20" s="157"/>
      <c r="N20" s="157"/>
      <c r="P20" s="17" t="s">
        <v>0</v>
      </c>
      <c r="Q20" s="17"/>
      <c r="S20" s="159">
        <f>IF(ISBLANK('Control Entry'!B14),"",'Control Entry'!B14)</f>
        <v>0.33333333333333331</v>
      </c>
      <c r="T20" s="159"/>
      <c r="U20" s="159"/>
    </row>
    <row r="21" spans="1:22" ht="36" customHeight="1" x14ac:dyDescent="0.4">
      <c r="A21" s="28"/>
      <c r="B21" s="29" t="str">
        <f>'Control Entry'!N61</f>
        <v/>
      </c>
      <c r="C21" s="29" t="str">
        <f>'Control Entry'!O61</f>
        <v/>
      </c>
      <c r="D21" s="36"/>
      <c r="E21" s="31" t="str">
        <f>IF(ISBLANK('Control Entry'!F61),"",'Control Entry'!F61)</f>
        <v/>
      </c>
      <c r="F21" s="95" t="str">
        <f>IF(ISBLANK('Control Entry'!I61),"",'Control Entry'!I61)</f>
        <v/>
      </c>
      <c r="G21" s="96"/>
      <c r="H21" s="26" t="s">
        <v>26</v>
      </c>
      <c r="J21" s="184" t="s">
        <v>85</v>
      </c>
      <c r="K21" s="184"/>
      <c r="L21" s="184"/>
      <c r="M21" s="184"/>
      <c r="N21" s="184"/>
      <c r="O21" s="184"/>
      <c r="P21" s="184"/>
      <c r="Q21" s="184"/>
      <c r="R21" s="184"/>
      <c r="S21" s="184"/>
      <c r="T21" s="184"/>
      <c r="U21" s="184"/>
      <c r="V21" s="27"/>
    </row>
    <row r="22" spans="1:22" ht="36" customHeight="1" thickBot="1" x14ac:dyDescent="0.4">
      <c r="A22" s="37" t="str">
        <f>IF(ISBLANK('Control Entry'!D61),"",'Control Entry'!D61)</f>
        <v/>
      </c>
      <c r="B22" s="38" t="str">
        <f>'Control Entry'!N61</f>
        <v/>
      </c>
      <c r="C22" s="38" t="str">
        <f>'Control Entry'!O61</f>
        <v/>
      </c>
      <c r="D22" s="39" t="str">
        <f>IF(ISBLANK('Control Entry'!E61),"",'Control Entry'!E61)</f>
        <v/>
      </c>
      <c r="E22" s="31" t="str">
        <f>IF(ISBLANK('Control Entry'!G61),"",'Control Entry'!G61)</f>
        <v/>
      </c>
      <c r="F22" s="95" t="str">
        <f>IF(ISBLANK('Control Entry'!J61),"",'Control Entry'!J61)</f>
        <v/>
      </c>
      <c r="G22" s="96"/>
      <c r="H22" s="26" t="s">
        <v>26</v>
      </c>
      <c r="J22" s="17" t="s">
        <v>42</v>
      </c>
      <c r="K22" s="17"/>
      <c r="L22" s="18"/>
      <c r="M22" s="162"/>
      <c r="N22" s="162"/>
      <c r="O22" s="162"/>
      <c r="P22" s="17" t="s">
        <v>1</v>
      </c>
      <c r="Q22" s="17"/>
      <c r="R22" s="18"/>
      <c r="S22" s="162"/>
      <c r="T22" s="162"/>
      <c r="U22" s="162"/>
    </row>
    <row r="23" spans="1:22" ht="36" customHeight="1" thickBot="1" x14ac:dyDescent="0.4">
      <c r="A23" s="32"/>
      <c r="B23" s="33" t="str">
        <f>'Control Entry'!N61</f>
        <v/>
      </c>
      <c r="C23" s="33" t="str">
        <f>'Control Entry'!O61</f>
        <v/>
      </c>
      <c r="D23" s="34"/>
      <c r="E23" s="35" t="str">
        <f>IF(ISBLANK('Control Entry'!H61),"",'Control Entry'!H61)</f>
        <v/>
      </c>
      <c r="F23" s="100" t="str">
        <f>IF(ISBLANK('Control Entry'!K61),"",'Control Entry'!K61)</f>
        <v/>
      </c>
      <c r="G23" s="99"/>
      <c r="H23" s="26" t="s">
        <v>26</v>
      </c>
      <c r="J23" s="80"/>
      <c r="K23" s="80"/>
      <c r="L23" s="56"/>
      <c r="M23" s="56"/>
      <c r="N23" s="56"/>
      <c r="O23" s="21"/>
      <c r="P23" s="55"/>
      <c r="Q23" s="55"/>
      <c r="R23" s="21"/>
      <c r="S23" s="21"/>
      <c r="T23" s="21"/>
      <c r="U23" s="21"/>
      <c r="V23" s="27"/>
    </row>
    <row r="24" spans="1:22" ht="36" customHeight="1" thickBot="1" x14ac:dyDescent="0.4">
      <c r="A24" s="28"/>
      <c r="B24" s="29" t="str">
        <f>'Control Entry'!N62</f>
        <v/>
      </c>
      <c r="C24" s="29" t="str">
        <f>'Control Entry'!O62</f>
        <v/>
      </c>
      <c r="D24" s="36"/>
      <c r="E24" s="31" t="str">
        <f>IF(ISBLANK('Control Entry'!F62),"",'Control Entry'!F62)</f>
        <v/>
      </c>
      <c r="F24" s="95" t="str">
        <f>IF(ISBLANK('Control Entry'!I62),"",'Control Entry'!I62)</f>
        <v/>
      </c>
      <c r="G24" s="96"/>
      <c r="H24" s="26" t="s">
        <v>26</v>
      </c>
      <c r="J24" s="162"/>
      <c r="K24" s="162"/>
      <c r="L24" s="162"/>
      <c r="M24" s="162"/>
      <c r="N24" s="162"/>
      <c r="O24" s="18"/>
      <c r="P24" s="17" t="s">
        <v>2</v>
      </c>
      <c r="Q24" s="17"/>
      <c r="R24" s="18"/>
      <c r="S24" s="162"/>
      <c r="T24" s="162"/>
      <c r="U24" s="162"/>
    </row>
    <row r="25" spans="1:22" ht="36" customHeight="1" x14ac:dyDescent="0.3">
      <c r="A25" s="37" t="str">
        <f>IF(ISBLANK('Control Entry'!D62),"",'Control Entry'!D62)</f>
        <v/>
      </c>
      <c r="B25" s="38" t="str">
        <f>'Control Entry'!N62</f>
        <v/>
      </c>
      <c r="C25" s="38" t="str">
        <f>'Control Entry'!O62</f>
        <v/>
      </c>
      <c r="D25" s="39" t="str">
        <f>IF(ISBLANK('Control Entry'!E62),"",'Control Entry'!E62)</f>
        <v/>
      </c>
      <c r="E25" s="31" t="str">
        <f>IF(ISBLANK('Control Entry'!G62),"",'Control Entry'!G62)</f>
        <v/>
      </c>
      <c r="F25" s="95" t="str">
        <f>IF(ISBLANK('Control Entry'!J62),"",'Control Entry'!J62)</f>
        <v/>
      </c>
      <c r="G25" s="96"/>
      <c r="H25" s="26" t="s">
        <v>26</v>
      </c>
      <c r="J25" s="171" t="s">
        <v>17</v>
      </c>
      <c r="K25" s="171"/>
      <c r="L25" s="171"/>
      <c r="M25" s="171"/>
      <c r="N25" s="171"/>
      <c r="O25" s="50"/>
      <c r="P25" s="137"/>
      <c r="Q25" s="137"/>
      <c r="R25" s="50"/>
      <c r="S25" s="135"/>
      <c r="T25" s="135"/>
      <c r="U25" s="135"/>
      <c r="V25" s="135"/>
    </row>
    <row r="26" spans="1:22" ht="36" customHeight="1" thickBot="1" x14ac:dyDescent="0.4">
      <c r="A26" s="32"/>
      <c r="B26" s="33" t="str">
        <f>'Control Entry'!N62</f>
        <v/>
      </c>
      <c r="C26" s="33" t="str">
        <f>'Control Entry'!O62</f>
        <v/>
      </c>
      <c r="D26" s="34"/>
      <c r="E26" s="35" t="str">
        <f>IF(ISBLANK('Control Entry'!H62),"",'Control Entry'!H62)</f>
        <v/>
      </c>
      <c r="F26" s="100" t="str">
        <f>IF(ISBLANK('Control Entry'!K62),"",'Control Entry'!K62)</f>
        <v/>
      </c>
      <c r="G26" s="99"/>
      <c r="H26" s="26" t="s">
        <v>26</v>
      </c>
    </row>
    <row r="27" spans="1:22" ht="36" customHeight="1" x14ac:dyDescent="0.35">
      <c r="A27" s="28"/>
      <c r="B27" s="29" t="str">
        <f>'Control Entry'!N63</f>
        <v/>
      </c>
      <c r="C27" s="29" t="str">
        <f>'Control Entry'!O63</f>
        <v/>
      </c>
      <c r="D27" s="36"/>
      <c r="E27" s="31" t="str">
        <f>IF(ISBLANK('Control Entry'!F63),"",'Control Entry'!F63)</f>
        <v/>
      </c>
      <c r="F27" s="95" t="str">
        <f>IF(ISBLANK('Control Entry'!I63),"",'Control Entry'!I63)</f>
        <v/>
      </c>
      <c r="G27" s="96"/>
      <c r="H27" s="26" t="s">
        <v>26</v>
      </c>
      <c r="K27" s="144" t="s">
        <v>53</v>
      </c>
      <c r="L27" s="137"/>
      <c r="M27" s="49" t="s">
        <v>54</v>
      </c>
      <c r="N27" s="137" t="s">
        <v>46</v>
      </c>
      <c r="O27" s="137"/>
      <c r="P27" s="137" t="s">
        <v>47</v>
      </c>
      <c r="Q27" s="137"/>
      <c r="R27" s="50" t="s">
        <v>48</v>
      </c>
      <c r="S27" s="135" t="s">
        <v>49</v>
      </c>
      <c r="T27" s="135"/>
      <c r="U27" s="135" t="s">
        <v>50</v>
      </c>
      <c r="V27" s="135"/>
    </row>
    <row r="28" spans="1:22" ht="36" customHeight="1" x14ac:dyDescent="0.3">
      <c r="A28" s="37" t="str">
        <f>IF(ISBLANK('Control Entry'!D63),"",'Control Entry'!D63)</f>
        <v/>
      </c>
      <c r="B28" s="38" t="str">
        <f>'Control Entry'!N63</f>
        <v/>
      </c>
      <c r="C28" s="38" t="str">
        <f>'Control Entry'!O63</f>
        <v/>
      </c>
      <c r="D28" s="39" t="str">
        <f>IF(ISBLANK('Control Entry'!E63),"",'Control Entry'!E63)</f>
        <v/>
      </c>
      <c r="E28" s="31" t="str">
        <f>IF(ISBLANK('Control Entry'!G63),"",'Control Entry'!G63)</f>
        <v/>
      </c>
      <c r="F28" s="95" t="str">
        <f>IF(ISBLANK('Control Entry'!J63),"",'Control Entry'!J63)</f>
        <v/>
      </c>
      <c r="G28" s="96"/>
      <c r="H28" s="26" t="s">
        <v>26</v>
      </c>
    </row>
    <row r="29" spans="1:22" ht="36" customHeight="1" thickBot="1" x14ac:dyDescent="0.4">
      <c r="A29" s="32"/>
      <c r="B29" s="33" t="str">
        <f>'Control Entry'!N63</f>
        <v/>
      </c>
      <c r="C29" s="33" t="str">
        <f>'Control Entry'!O63</f>
        <v/>
      </c>
      <c r="D29" s="34"/>
      <c r="E29" s="35" t="str">
        <f>IF(ISBLANK('Control Entry'!H63),"",'Control Entry'!H63)</f>
        <v/>
      </c>
      <c r="F29" s="100" t="str">
        <f>IF(ISBLANK('Control Entry'!K63),"",'Control Entry'!K63)</f>
        <v/>
      </c>
      <c r="G29" s="99"/>
      <c r="H29" s="26" t="s">
        <v>26</v>
      </c>
      <c r="M29" s="136" t="s">
        <v>39</v>
      </c>
      <c r="N29" s="136"/>
      <c r="O29" s="136"/>
      <c r="P29" s="136"/>
      <c r="Q29" s="136"/>
      <c r="R29" s="136"/>
      <c r="S29" s="136"/>
      <c r="T29" s="136"/>
      <c r="U29" s="53"/>
    </row>
    <row r="30" spans="1:22" ht="36" customHeight="1" x14ac:dyDescent="0.35">
      <c r="A30" s="28"/>
      <c r="B30" s="29" t="str">
        <f>'Control Entry'!N64</f>
        <v/>
      </c>
      <c r="C30" s="29" t="str">
        <f>'Control Entry'!O64</f>
        <v/>
      </c>
      <c r="D30" s="36"/>
      <c r="E30" s="31" t="str">
        <f>IF(ISBLANK('Control Entry'!F64),"",'Control Entry'!F64)</f>
        <v/>
      </c>
      <c r="F30" s="95" t="str">
        <f>IF(ISBLANK('Control Entry'!I64),"",'Control Entry'!I64)</f>
        <v/>
      </c>
      <c r="G30" s="96"/>
      <c r="H30" s="26" t="s">
        <v>26</v>
      </c>
      <c r="M30" s="15"/>
      <c r="N30" s="19"/>
      <c r="O30" s="19"/>
      <c r="P30" s="20"/>
      <c r="Q30" s="102"/>
      <c r="R30" s="19"/>
      <c r="S30" s="19"/>
      <c r="T30" s="20"/>
      <c r="U30" s="21"/>
    </row>
    <row r="31" spans="1:22" ht="36" customHeight="1" x14ac:dyDescent="0.3">
      <c r="A31" s="37" t="str">
        <f>IF(ISBLANK('Control Entry'!D64),"",'Control Entry'!D64)</f>
        <v/>
      </c>
      <c r="B31" s="38" t="str">
        <f>'Control Entry'!N64</f>
        <v/>
      </c>
      <c r="C31" s="38" t="str">
        <f>'Control Entry'!O64</f>
        <v/>
      </c>
      <c r="D31" s="39" t="str">
        <f>IF(ISBLANK('Control Entry'!E64),"",'Control Entry'!E64)</f>
        <v/>
      </c>
      <c r="E31" s="31" t="str">
        <f>IF(ISBLANK('Control Entry'!G64),"",'Control Entry'!G64)</f>
        <v/>
      </c>
      <c r="F31" s="95" t="str">
        <f>IF(ISBLANK('Control Entry'!J64),"",'Control Entry'!J64)</f>
        <v/>
      </c>
      <c r="G31" s="96"/>
      <c r="H31" s="26" t="s">
        <v>26</v>
      </c>
      <c r="M31" s="16"/>
      <c r="N31" s="21"/>
      <c r="O31" s="21"/>
      <c r="P31" s="22"/>
      <c r="Q31" s="103"/>
      <c r="R31" s="21"/>
      <c r="S31" s="21"/>
      <c r="T31" s="22"/>
      <c r="U31" s="21"/>
    </row>
    <row r="32" spans="1:22" ht="36" customHeight="1" thickBot="1" x14ac:dyDescent="0.4">
      <c r="A32" s="32"/>
      <c r="B32" s="33" t="str">
        <f>'Control Entry'!N64</f>
        <v/>
      </c>
      <c r="C32" s="33" t="str">
        <f>'Control Entry'!O64</f>
        <v/>
      </c>
      <c r="D32" s="34"/>
      <c r="E32" s="35" t="str">
        <f>IF(ISBLANK('Control Entry'!H64),"",'Control Entry'!H64)</f>
        <v/>
      </c>
      <c r="F32" s="100" t="str">
        <f>IF(ISBLANK('Control Entry'!K64),"",'Control Entry'!K64)</f>
        <v/>
      </c>
      <c r="G32" s="99"/>
      <c r="H32" s="26" t="s">
        <v>26</v>
      </c>
      <c r="M32" s="150" t="s">
        <v>78</v>
      </c>
      <c r="N32" s="151"/>
      <c r="O32" s="151"/>
      <c r="P32" s="152"/>
      <c r="Q32" s="153">
        <f>'Control Entry'!B3</f>
        <v>44990</v>
      </c>
      <c r="R32" s="154"/>
      <c r="S32" s="154"/>
      <c r="T32" s="155"/>
      <c r="U32" s="21"/>
    </row>
    <row r="33" spans="1:22" ht="36" customHeight="1" x14ac:dyDescent="0.35">
      <c r="A33" s="143" t="s">
        <v>40</v>
      </c>
      <c r="B33" s="143"/>
      <c r="C33" s="143"/>
      <c r="D33" s="143"/>
      <c r="E33" s="143"/>
      <c r="F33" s="143"/>
      <c r="G33" s="143"/>
      <c r="H33" s="40"/>
      <c r="I33" s="40"/>
      <c r="M33" s="138" t="s">
        <v>81</v>
      </c>
      <c r="N33" s="139"/>
      <c r="O33" s="139"/>
      <c r="P33" s="139"/>
      <c r="Q33" s="140">
        <f>'Control Entry'!B4</f>
        <v>44992</v>
      </c>
      <c r="R33" s="141"/>
      <c r="S33" s="141"/>
      <c r="T33" s="141"/>
      <c r="U33" s="90"/>
      <c r="V33" s="56"/>
    </row>
    <row r="34" spans="1:22" ht="36" customHeight="1" x14ac:dyDescent="0.35">
      <c r="A34"/>
      <c r="O34" s="46"/>
      <c r="P34" s="46"/>
      <c r="Q34" s="46"/>
      <c r="R34" s="45"/>
    </row>
    <row r="35" spans="1:22" ht="36" customHeight="1" x14ac:dyDescent="0.25">
      <c r="A35"/>
      <c r="N35" s="136"/>
      <c r="O35" s="136"/>
      <c r="P35" s="136"/>
      <c r="Q35" s="136"/>
      <c r="R35" s="136"/>
      <c r="S35" s="136"/>
      <c r="T35" s="136"/>
      <c r="U35" s="136"/>
    </row>
    <row r="36" spans="1:22" ht="36" customHeight="1" x14ac:dyDescent="0.25">
      <c r="A36"/>
      <c r="N36" s="27"/>
      <c r="O36" s="21"/>
      <c r="P36" s="21"/>
      <c r="Q36" s="21"/>
      <c r="R36" s="21"/>
      <c r="S36" s="21"/>
      <c r="T36" s="21"/>
      <c r="U36" s="21"/>
    </row>
    <row r="37" spans="1:22" ht="36" customHeight="1" x14ac:dyDescent="0.25">
      <c r="A37"/>
      <c r="N37" s="27"/>
      <c r="O37" s="21"/>
      <c r="P37" s="21"/>
      <c r="Q37" s="21"/>
      <c r="R37" s="21"/>
      <c r="S37" s="21"/>
      <c r="T37" s="21"/>
      <c r="U37" s="21"/>
    </row>
    <row r="38" spans="1:22" ht="36" customHeight="1" x14ac:dyDescent="0.35">
      <c r="A38"/>
      <c r="N38" s="54"/>
      <c r="O38" s="21"/>
      <c r="P38" s="21"/>
      <c r="Q38" s="21"/>
      <c r="R38" s="21"/>
      <c r="S38" s="21"/>
      <c r="T38" s="21"/>
      <c r="U38" s="21"/>
    </row>
    <row r="39" spans="1:22" ht="36" customHeight="1" x14ac:dyDescent="0.25">
      <c r="A39"/>
    </row>
    <row r="40" spans="1:22" ht="36" customHeight="1" x14ac:dyDescent="0.2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7">
      <formula>$S$3="#2"</formula>
    </cfRule>
    <cfRule type="expression" dxfId="5" priority="8">
      <formula>$S$3="#4"</formula>
    </cfRule>
  </conditionalFormatting>
  <conditionalFormatting sqref="P22:U24">
    <cfRule type="expression" dxfId="4" priority="5">
      <formula>$S$3="#2"</formula>
    </cfRule>
    <cfRule type="expression" dxfId="3" priority="6">
      <formula>$S$3="#4"</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headerFooter>
    <oddFooter>&amp;C_x000D_&amp;1#&amp;"Calibri"&amp;6&amp;K626469 Public</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31</vt:i4>
      </vt:variant>
    </vt:vector>
  </HeadingPairs>
  <TitlesOfParts>
    <vt:vector size="36"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#2'!Print_Area</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Markus Hirschbold</cp:lastModifiedBy>
  <cp:lastPrinted>2024-02-27T18:16:58Z</cp:lastPrinted>
  <dcterms:created xsi:type="dcterms:W3CDTF">1997-11-12T04:43:39Z</dcterms:created>
  <dcterms:modified xsi:type="dcterms:W3CDTF">2025-03-03T01:03:57Z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507802-f8e4-4e38-829c-ac8ea9b241e4_Enabled">
    <vt:lpwstr>true</vt:lpwstr>
  </property>
  <property fmtid="{D5CDD505-2E9C-101B-9397-08002B2CF9AE}" pid="3" name="MSIP_Label_23507802-f8e4-4e38-829c-ac8ea9b241e4_SetDate">
    <vt:lpwstr>2024-02-08T21:42:21Z</vt:lpwstr>
  </property>
  <property fmtid="{D5CDD505-2E9C-101B-9397-08002B2CF9AE}" pid="4" name="MSIP_Label_23507802-f8e4-4e38-829c-ac8ea9b241e4_Method">
    <vt:lpwstr>Privileged</vt:lpwstr>
  </property>
  <property fmtid="{D5CDD505-2E9C-101B-9397-08002B2CF9AE}" pid="5" name="MSIP_Label_23507802-f8e4-4e38-829c-ac8ea9b241e4_Name">
    <vt:lpwstr>Public v2</vt:lpwstr>
  </property>
  <property fmtid="{D5CDD505-2E9C-101B-9397-08002B2CF9AE}" pid="6" name="MSIP_Label_23507802-f8e4-4e38-829c-ac8ea9b241e4_SiteId">
    <vt:lpwstr>6e51e1ad-c54b-4b39-b598-0ffe9ae68fef</vt:lpwstr>
  </property>
  <property fmtid="{D5CDD505-2E9C-101B-9397-08002B2CF9AE}" pid="7" name="MSIP_Label_23507802-f8e4-4e38-829c-ac8ea9b241e4_ActionId">
    <vt:lpwstr>1aa42ac3-3a6f-406a-99b2-582ea314387b</vt:lpwstr>
  </property>
  <property fmtid="{D5CDD505-2E9C-101B-9397-08002B2CF9AE}" pid="8" name="MSIP_Label_23507802-f8e4-4e38-829c-ac8ea9b241e4_ContentBits">
    <vt:lpwstr>2</vt:lpwstr>
  </property>
</Properties>
</file>