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4" rupBuild="11012"/>
  <workbookPr dateCompatibility="0" showInkAnnotation="0" autoCompressPictures="0"/>
  <mc:AlternateContent xmlns:mc="http://schemas.openxmlformats.org/markup-compatibility/2006">
    <mc:Choice Requires="x15">
      <x15ac:absPath xmlns:x15ac="http://schemas.microsoft.com/office/spreadsheetml/2010/11/ac" url="/Users/stephencarol/Documents/BCR/2023/5274 Jordan River/"/>
    </mc:Choice>
  </mc:AlternateContent>
  <xr:revisionPtr revIDLastSave="0" documentId="13_ncr:9_{80FB44E4-B550-D446-852D-3DF4ACBC7D7C}" xr6:coauthVersionLast="36" xr6:coauthVersionMax="47" xr10:uidLastSave="{00000000-0000-0000-0000-000000000000}"/>
  <bookViews>
    <workbookView xWindow="0" yWindow="460" windowWidth="25600" windowHeight="15540" tabRatio="509" xr2:uid="{00000000-000D-0000-FFFF-FFFF00000000}"/>
  </bookViews>
  <sheets>
    <sheet name="Control Entry" sheetId="1" r:id="rId1"/>
    <sheet name="Control Card #1" sheetId="2" r:id="rId2"/>
    <sheet name="Control Card #2" sheetId="3" r:id="rId3"/>
    <sheet name="Control Card #3" sheetId="4" r:id="rId4"/>
    <sheet name="Control Card #4" sheetId="5" r:id="rId5"/>
  </sheets>
  <definedNames>
    <definedName name="Address_1" localSheetId="2">#REF!</definedName>
    <definedName name="Address_1" localSheetId="3">#REF!</definedName>
    <definedName name="Address_1" localSheetId="4">#REF!</definedName>
    <definedName name="Address_1">#REF!</definedName>
    <definedName name="Address_2" localSheetId="2">#REF!</definedName>
    <definedName name="Address_2" localSheetId="3">#REF!</definedName>
    <definedName name="Address_2" localSheetId="4">#REF!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2">#REF!</definedName>
    <definedName name="City" localSheetId="3">#REF!</definedName>
    <definedName name="City" localSheetId="4">#REF!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2">'Control Entry'!#REF!</definedName>
    <definedName name="Control_11" localSheetId="3">'Control Entry'!#REF!</definedName>
    <definedName name="Control_11" localSheetId="4">'Control Entry'!#REF!</definedName>
    <definedName name="Control_11">'Control Entry'!#REF!</definedName>
    <definedName name="Control_12" localSheetId="2">'Control Entry'!#REF!</definedName>
    <definedName name="Control_12" localSheetId="3">'Control Entry'!#REF!</definedName>
    <definedName name="Control_12" localSheetId="4">'Control Entry'!#REF!</definedName>
    <definedName name="Control_12">'Control Entry'!#REF!</definedName>
    <definedName name="Control_13" localSheetId="2">'Control Entry'!#REF!</definedName>
    <definedName name="Control_13" localSheetId="3">'Control Entry'!#REF!</definedName>
    <definedName name="Control_13" localSheetId="4">'Control Entry'!#REF!</definedName>
    <definedName name="Control_13">'Control Entry'!#REF!</definedName>
    <definedName name="Control_14" localSheetId="2">'Control Entry'!#REF!</definedName>
    <definedName name="Control_14" localSheetId="3">'Control Entry'!#REF!</definedName>
    <definedName name="Control_14" localSheetId="4">'Control Entry'!#REF!</definedName>
    <definedName name="Control_14">'Control Entry'!#REF!</definedName>
    <definedName name="Control_15" localSheetId="2">'Control Entry'!#REF!</definedName>
    <definedName name="Control_15" localSheetId="3">'Control Entry'!#REF!</definedName>
    <definedName name="Control_15" localSheetId="4">'Control Entry'!#REF!</definedName>
    <definedName name="Control_15">'Control Entry'!#REF!</definedName>
    <definedName name="Control_16" localSheetId="2">'Control Entry'!#REF!</definedName>
    <definedName name="Control_16" localSheetId="3">'Control Entry'!#REF!</definedName>
    <definedName name="Control_16" localSheetId="4">'Control Entry'!#REF!</definedName>
    <definedName name="Control_16">'Control Entry'!#REF!</definedName>
    <definedName name="Control_17" localSheetId="2">'Control Entry'!#REF!</definedName>
    <definedName name="Control_17" localSheetId="3">'Control Entry'!#REF!</definedName>
    <definedName name="Control_17" localSheetId="4">'Control Entry'!#REF!</definedName>
    <definedName name="Control_17">'Control Entry'!#REF!</definedName>
    <definedName name="Control_18" localSheetId="2">'Control Entry'!#REF!</definedName>
    <definedName name="Control_18" localSheetId="3">'Control Entry'!#REF!</definedName>
    <definedName name="Control_18" localSheetId="4">'Control Entry'!#REF!</definedName>
    <definedName name="Control_18">'Control Entry'!#REF!</definedName>
    <definedName name="Control_19" localSheetId="2">'Control Entry'!#REF!</definedName>
    <definedName name="Control_19" localSheetId="3">'Control Entry'!#REF!</definedName>
    <definedName name="Control_19" localSheetId="4">'Control Entry'!#REF!</definedName>
    <definedName name="Control_19">'Control Entry'!#REF!</definedName>
    <definedName name="Control_2">'Control Entry'!$D$16:$O$16</definedName>
    <definedName name="Control_20" localSheetId="2">'Control Entry'!#REF!</definedName>
    <definedName name="Control_20" localSheetId="3">'Control Entry'!#REF!</definedName>
    <definedName name="Control_20" localSheetId="4">'Control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2">#REF!</definedName>
    <definedName name="Country" localSheetId="3">#REF!</definedName>
    <definedName name="Country" localSheetId="4">#REF!</definedName>
    <definedName name="Country">#REF!</definedName>
    <definedName name="Distance">'Control Entry'!$D$15:$D$24</definedName>
    <definedName name="email" localSheetId="2">#REF!</definedName>
    <definedName name="email" localSheetId="3">#REF!</definedName>
    <definedName name="email" localSheetId="4">#REF!</definedName>
    <definedName name="email">#REF!</definedName>
    <definedName name="Establishment_1">'Control Entry'!$F$15:$F$24</definedName>
    <definedName name="Establishment_2">'Control Entry'!$G$15:$G$24</definedName>
    <definedName name="Establishment_3">'Control Entry'!$H$15:$H$24</definedName>
    <definedName name="Fax" localSheetId="2">#REF!</definedName>
    <definedName name="Fax" localSheetId="3">#REF!</definedName>
    <definedName name="Fax" localSheetId="4">#REF!</definedName>
    <definedName name="Fax">#REF!</definedName>
    <definedName name="First_Name" localSheetId="2">#REF!</definedName>
    <definedName name="First_Name" localSheetId="3">#REF!</definedName>
    <definedName name="First_Name" localSheetId="4">#REF!</definedName>
    <definedName name="First_Name">#REF!</definedName>
    <definedName name="Home_telephone" localSheetId="2">#REF!</definedName>
    <definedName name="Home_telephone" localSheetId="3">#REF!</definedName>
    <definedName name="Home_telephone" localSheetId="4">#REF!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2">#REF!</definedName>
    <definedName name="Initial" localSheetId="3">#REF!</definedName>
    <definedName name="Initial" localSheetId="4">#REF!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2">#REF!</definedName>
    <definedName name="Postal_Code" localSheetId="3">#REF!</definedName>
    <definedName name="Postal_Code" localSheetId="4">#REF!</definedName>
    <definedName name="Postal_Code">#REF!</definedName>
    <definedName name="_xlnm.Print_Titles" localSheetId="1">'Control Card #1'!$1:$2</definedName>
    <definedName name="_xlnm.Print_Titles" localSheetId="2">'Control Card #2'!$1:$2</definedName>
    <definedName name="_xlnm.Print_Titles" localSheetId="3">'Control Card #3'!$1:$2</definedName>
    <definedName name="_xlnm.Print_Titles" localSheetId="4">'Control Card #4'!$1:$2</definedName>
    <definedName name="Province_State" localSheetId="2">#REF!</definedName>
    <definedName name="Province_State" localSheetId="3">#REF!</definedName>
    <definedName name="Province_State" localSheetId="4">#REF!</definedName>
    <definedName name="Province_State">#REF!</definedName>
    <definedName name="Start_date">'Control Entry'!$B$12</definedName>
    <definedName name="Start_time">'Control Entry'!$B$13</definedName>
    <definedName name="surname" localSheetId="2">#REF!</definedName>
    <definedName name="surname" localSheetId="3">#REF!</definedName>
    <definedName name="surname" localSheetId="4">#REF!</definedName>
    <definedName name="surname">#REF!</definedName>
    <definedName name="Work_telephone" localSheetId="2">#REF!</definedName>
    <definedName name="Work_telephone" localSheetId="3">#REF!</definedName>
    <definedName name="Work_telephone" localSheetId="4">#REF!</definedName>
    <definedName name="Work_telephone">#REF!</definedName>
  </definedNames>
  <calcPr calcId="181029"/>
  <extLst>
    <ext xmlns:x14="http://schemas.microsoft.com/office/spreadsheetml/2009/9/main" uri="{79F54976-1DA5-4618-B147-4CDE4B953A38}">
      <x14:workbookPr/>
    </ext>
    <ext xmlns="http://schemas.openxmlformats.org/spreadsheetml/2006/main" xmlns:mx="http://schemas.microsoft.com/office/mac/excel/2008/main" uri="{7523E5D3-25F3-A5E0-1632-64F254C22452}">
      <mx:ArchID Flags="2"/>
    </ext>
  </extLst>
</workbook>
</file>

<file path=xl/calcChain.xml><?xml version="1.0" encoding="utf-8"?>
<calcChain xmlns="http://purl.oclc.org/ooxml/spreadsheetml/main">
  <c r="F32" i="5" l="1"/>
  <c r="F31" i="5"/>
  <c r="F30" i="5"/>
  <c r="E32" i="5"/>
  <c r="E31" i="5"/>
  <c r="E30" i="5"/>
  <c r="D31" i="5"/>
  <c r="A31" i="5"/>
  <c r="F29" i="5"/>
  <c r="F28" i="5"/>
  <c r="F27" i="5"/>
  <c r="E29" i="5"/>
  <c r="E28" i="5"/>
  <c r="E27" i="5"/>
  <c r="D28" i="5"/>
  <c r="A28" i="5"/>
  <c r="F26" i="5"/>
  <c r="F25" i="5"/>
  <c r="F24" i="5"/>
  <c r="E26" i="5"/>
  <c r="E25" i="5"/>
  <c r="E24" i="5"/>
  <c r="D25" i="5"/>
  <c r="A25" i="5"/>
  <c r="F23" i="5"/>
  <c r="F22" i="5"/>
  <c r="F21" i="5"/>
  <c r="E23" i="5"/>
  <c r="E22" i="5"/>
  <c r="E21" i="5"/>
  <c r="D22" i="5"/>
  <c r="A22" i="5"/>
  <c r="F20" i="5"/>
  <c r="F19" i="5"/>
  <c r="F18" i="5"/>
  <c r="E20" i="5"/>
  <c r="E19" i="5"/>
  <c r="E18" i="5"/>
  <c r="D19" i="5"/>
  <c r="A19" i="5" l="1"/>
  <c r="F17" i="5"/>
  <c r="F16" i="5"/>
  <c r="F15" i="5"/>
  <c r="E17" i="5"/>
  <c r="E16" i="5"/>
  <c r="E15" i="5"/>
  <c r="D16" i="5"/>
  <c r="A16" i="5"/>
  <c r="F14" i="5"/>
  <c r="F13" i="5"/>
  <c r="F12" i="5"/>
  <c r="E14" i="5"/>
  <c r="E13" i="5"/>
  <c r="E12" i="5"/>
  <c r="D13" i="5"/>
  <c r="A13" i="5"/>
  <c r="F11" i="5"/>
  <c r="F10" i="5"/>
  <c r="F9" i="5"/>
  <c r="E11" i="5"/>
  <c r="E10" i="5"/>
  <c r="E9" i="5"/>
  <c r="D10" i="5"/>
  <c r="A10" i="5"/>
  <c r="F8" i="5"/>
  <c r="F7" i="5"/>
  <c r="F6" i="5"/>
  <c r="E8" i="5"/>
  <c r="E7" i="5"/>
  <c r="E6" i="5"/>
  <c r="D7" i="5"/>
  <c r="A7" i="5"/>
  <c r="F26" i="4"/>
  <c r="F25" i="4"/>
  <c r="F24" i="4"/>
  <c r="F19" i="4"/>
  <c r="F5" i="5"/>
  <c r="F4" i="5"/>
  <c r="F3" i="5"/>
  <c r="E5" i="4"/>
  <c r="E5" i="5"/>
  <c r="E4" i="5"/>
  <c r="E3" i="5"/>
  <c r="D4" i="5"/>
  <c r="A4" i="5"/>
  <c r="S3" i="5"/>
  <c r="S3" i="4"/>
  <c r="S3" i="3"/>
  <c r="S3" i="2"/>
  <c r="Q33" i="5"/>
  <c r="Q32" i="5"/>
  <c r="S20" i="5"/>
  <c r="L20" i="5"/>
  <c r="L6" i="5"/>
  <c r="R5" i="5"/>
  <c r="P5" i="5"/>
  <c r="L63" i="1"/>
  <c r="L62" i="1"/>
  <c r="L61" i="1"/>
  <c r="L60" i="1"/>
  <c r="L59" i="1"/>
  <c r="L58" i="1"/>
  <c r="L57" i="1"/>
  <c r="L56" i="1"/>
  <c r="L55" i="1"/>
  <c r="M54" i="1"/>
  <c r="L54" i="1"/>
  <c r="Q33" i="4"/>
  <c r="Q32" i="4"/>
  <c r="Q33" i="3"/>
  <c r="Q32" i="3"/>
  <c r="Q33" i="2"/>
  <c r="Q32" i="2"/>
  <c r="M46" i="1" l="1"/>
  <c r="M47" i="1"/>
  <c r="M48" i="1"/>
  <c r="M49" i="1"/>
  <c r="M50" i="1"/>
  <c r="M41" i="1"/>
  <c r="M37" i="1"/>
  <c r="M24" i="1"/>
  <c r="S20" i="4" l="1"/>
  <c r="L20" i="4"/>
  <c r="S20" i="3"/>
  <c r="L20" i="3"/>
  <c r="S20" i="2"/>
  <c r="L20" i="2"/>
  <c r="F32" i="4" l="1"/>
  <c r="F31" i="4"/>
  <c r="F30" i="4"/>
  <c r="E32" i="4"/>
  <c r="E31" i="4"/>
  <c r="E30" i="4"/>
  <c r="D31" i="4"/>
  <c r="A31" i="4"/>
  <c r="F29" i="4"/>
  <c r="F28" i="4"/>
  <c r="F27" i="4"/>
  <c r="E29" i="4"/>
  <c r="E28" i="4"/>
  <c r="E27" i="4"/>
  <c r="D28" i="4"/>
  <c r="A28" i="4"/>
  <c r="E26" i="4"/>
  <c r="E25" i="4"/>
  <c r="E24" i="4"/>
  <c r="D25" i="4"/>
  <c r="A25" i="4"/>
  <c r="F23" i="4"/>
  <c r="F22" i="4"/>
  <c r="F21" i="4"/>
  <c r="E23" i="4"/>
  <c r="E22" i="4"/>
  <c r="E21" i="4"/>
  <c r="D22" i="4"/>
  <c r="A22" i="4"/>
  <c r="F20" i="4"/>
  <c r="F18" i="4"/>
  <c r="E20" i="4"/>
  <c r="E19" i="4"/>
  <c r="E18" i="4"/>
  <c r="D19" i="4"/>
  <c r="A19" i="4"/>
  <c r="F17" i="4"/>
  <c r="F16" i="4"/>
  <c r="F15" i="4"/>
  <c r="E17" i="4"/>
  <c r="E16" i="4"/>
  <c r="E15" i="4"/>
  <c r="D16" i="4"/>
  <c r="A16" i="4"/>
  <c r="F13" i="4"/>
  <c r="F14" i="4"/>
  <c r="F12" i="4"/>
  <c r="E14" i="4"/>
  <c r="E13" i="4"/>
  <c r="E12" i="4"/>
  <c r="D13" i="4"/>
  <c r="A13" i="4"/>
  <c r="A7" i="2" l="1"/>
  <c r="F11" i="4"/>
  <c r="F10" i="4"/>
  <c r="F9" i="4"/>
  <c r="E11" i="4"/>
  <c r="E10" i="4"/>
  <c r="E9" i="4"/>
  <c r="D10" i="4"/>
  <c r="A10" i="4"/>
  <c r="F8" i="4"/>
  <c r="F7" i="4"/>
  <c r="F6" i="4"/>
  <c r="E8" i="4"/>
  <c r="E7" i="4"/>
  <c r="E6" i="4"/>
  <c r="D7" i="4"/>
  <c r="A7" i="4"/>
  <c r="F5" i="4"/>
  <c r="F4" i="4"/>
  <c r="F3" i="4"/>
  <c r="E4" i="4"/>
  <c r="E3" i="4"/>
  <c r="D4" i="4"/>
  <c r="A4" i="4"/>
  <c r="L50" i="1" l="1"/>
  <c r="L49" i="1"/>
  <c r="L48" i="1"/>
  <c r="L47" i="1"/>
  <c r="L46" i="1"/>
  <c r="L45" i="1"/>
  <c r="L44" i="1"/>
  <c r="L43" i="1"/>
  <c r="L42" i="1"/>
  <c r="L41" i="1"/>
  <c r="L6" i="4"/>
  <c r="R5" i="4"/>
  <c r="P5" i="4"/>
  <c r="E8" i="3" l="1"/>
  <c r="E7" i="3"/>
  <c r="E5" i="3"/>
  <c r="F5" i="2" l="1"/>
  <c r="F32" i="2"/>
  <c r="F31" i="2"/>
  <c r="F30" i="2"/>
  <c r="F29" i="2"/>
  <c r="F28" i="2"/>
  <c r="F27" i="2"/>
  <c r="F26" i="2"/>
  <c r="F25" i="2"/>
  <c r="F24" i="2"/>
  <c r="F23" i="2"/>
  <c r="F22" i="2"/>
  <c r="F21" i="2"/>
  <c r="F20" i="2"/>
  <c r="F19" i="2"/>
  <c r="F18" i="2"/>
  <c r="F17" i="2"/>
  <c r="F16" i="2"/>
  <c r="F15" i="2"/>
  <c r="F14" i="2"/>
  <c r="F13" i="2"/>
  <c r="F12" i="2"/>
  <c r="F11" i="2"/>
  <c r="F10" i="2"/>
  <c r="F9" i="2"/>
  <c r="F8" i="2"/>
  <c r="F7" i="2"/>
  <c r="F6" i="2"/>
  <c r="F4" i="2"/>
  <c r="F3" i="2"/>
  <c r="L15" i="1"/>
  <c r="N15" i="1" s="1"/>
  <c r="L37" i="1"/>
  <c r="L36" i="1"/>
  <c r="L35" i="1"/>
  <c r="L34" i="1"/>
  <c r="L33" i="1"/>
  <c r="L32" i="1"/>
  <c r="L31" i="1"/>
  <c r="L30" i="1"/>
  <c r="L29" i="1"/>
  <c r="L28" i="1"/>
  <c r="F32" i="3"/>
  <c r="F31" i="3"/>
  <c r="F30" i="3"/>
  <c r="F29" i="3"/>
  <c r="F28" i="3"/>
  <c r="F27" i="3"/>
  <c r="F26" i="3"/>
  <c r="F25" i="3"/>
  <c r="F24" i="3"/>
  <c r="F23" i="3"/>
  <c r="F22" i="3"/>
  <c r="F21" i="3"/>
  <c r="F20" i="3"/>
  <c r="F19" i="3"/>
  <c r="F18" i="3"/>
  <c r="F17" i="3"/>
  <c r="F16" i="3"/>
  <c r="F15" i="3"/>
  <c r="F14" i="3"/>
  <c r="F13" i="3"/>
  <c r="F12" i="3"/>
  <c r="F11" i="3"/>
  <c r="F10" i="3"/>
  <c r="F9" i="3"/>
  <c r="F7" i="3"/>
  <c r="F8" i="3"/>
  <c r="F5" i="3"/>
  <c r="F6" i="3"/>
  <c r="F4" i="3"/>
  <c r="F3" i="3"/>
  <c r="E32" i="3"/>
  <c r="E31" i="3"/>
  <c r="E30" i="3"/>
  <c r="E29" i="3"/>
  <c r="E28" i="3"/>
  <c r="E27" i="3"/>
  <c r="E26" i="3"/>
  <c r="E25" i="3"/>
  <c r="E24" i="3"/>
  <c r="E23" i="3"/>
  <c r="E22" i="3"/>
  <c r="E21" i="3"/>
  <c r="E20" i="3"/>
  <c r="E19" i="3"/>
  <c r="E18" i="3"/>
  <c r="E17" i="3"/>
  <c r="E16" i="3"/>
  <c r="E15" i="3"/>
  <c r="E14" i="3"/>
  <c r="E13" i="3"/>
  <c r="E12" i="3"/>
  <c r="E11" i="3"/>
  <c r="E10" i="3"/>
  <c r="E9" i="3"/>
  <c r="E6" i="3"/>
  <c r="C6" i="1"/>
  <c r="E4" i="3"/>
  <c r="E3" i="3"/>
  <c r="D31" i="3"/>
  <c r="D28" i="3"/>
  <c r="D25" i="3"/>
  <c r="D22" i="3"/>
  <c r="D19" i="3"/>
  <c r="D16" i="3"/>
  <c r="D13" i="3"/>
  <c r="D10" i="3"/>
  <c r="D7" i="3"/>
  <c r="D4" i="3"/>
  <c r="A31" i="3"/>
  <c r="A28" i="3"/>
  <c r="A25" i="3"/>
  <c r="A22" i="3"/>
  <c r="A19" i="3"/>
  <c r="A16" i="3"/>
  <c r="A13" i="3"/>
  <c r="A10" i="3"/>
  <c r="A7" i="3"/>
  <c r="A4" i="3"/>
  <c r="L24" i="1"/>
  <c r="L23" i="1"/>
  <c r="L22" i="1"/>
  <c r="L21" i="1"/>
  <c r="L20" i="1"/>
  <c r="L19" i="1"/>
  <c r="L18" i="1"/>
  <c r="L17" i="1"/>
  <c r="L16" i="1"/>
  <c r="L6" i="3"/>
  <c r="R5" i="3"/>
  <c r="P5" i="3"/>
  <c r="L6" i="2"/>
  <c r="R5" i="2"/>
  <c r="P5"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D25" i="2"/>
  <c r="D28" i="2"/>
  <c r="D31" i="2"/>
  <c r="A31" i="2"/>
  <c r="A4" i="2"/>
  <c r="D19" i="2"/>
  <c r="D16" i="2"/>
  <c r="D13" i="2"/>
  <c r="D10" i="2"/>
  <c r="D7" i="2"/>
  <c r="D4" i="2"/>
  <c r="D22" i="2"/>
  <c r="A28" i="2"/>
  <c r="A25" i="2"/>
  <c r="A22" i="2"/>
  <c r="A19" i="2"/>
  <c r="A10" i="2"/>
  <c r="A16" i="2"/>
  <c r="A13" i="2"/>
  <c r="M35" i="1" l="1"/>
  <c r="M22" i="1"/>
  <c r="M33" i="1"/>
  <c r="M20" i="1"/>
  <c r="O20" i="1" s="1"/>
  <c r="M36" i="1"/>
  <c r="M23" i="1"/>
  <c r="M34" i="1"/>
  <c r="M21" i="1"/>
  <c r="O21" i="1" s="1"/>
  <c r="C23" i="2" s="1"/>
  <c r="O50" i="1"/>
  <c r="N50" i="1"/>
  <c r="N61" i="1"/>
  <c r="N60" i="1"/>
  <c r="N59" i="1"/>
  <c r="N63" i="1"/>
  <c r="N58" i="1"/>
  <c r="N62" i="1"/>
  <c r="M63" i="1"/>
  <c r="O63" i="1" s="1"/>
  <c r="M61" i="1"/>
  <c r="O61" i="1" s="1"/>
  <c r="M59" i="1"/>
  <c r="O59" i="1" s="1"/>
  <c r="M62" i="1"/>
  <c r="O62" i="1" s="1"/>
  <c r="M60" i="1"/>
  <c r="O60" i="1" s="1"/>
  <c r="M58" i="1"/>
  <c r="O58" i="1" s="1"/>
  <c r="M28" i="1"/>
  <c r="B7" i="1"/>
  <c r="M4" i="5"/>
  <c r="M57" i="1"/>
  <c r="O57" i="1" s="1"/>
  <c r="M55" i="1"/>
  <c r="O55" i="1" s="1"/>
  <c r="M56" i="1"/>
  <c r="O56" i="1"/>
  <c r="N56" i="1"/>
  <c r="N57" i="1"/>
  <c r="N55" i="1"/>
  <c r="O54" i="1"/>
  <c r="N54" i="1"/>
  <c r="M4" i="3"/>
  <c r="M42" i="1"/>
  <c r="O42" i="1" s="1"/>
  <c r="M31" i="1"/>
  <c r="M16" i="1"/>
  <c r="O16" i="1" s="1"/>
  <c r="M43" i="1"/>
  <c r="O43" i="1" s="1"/>
  <c r="M32" i="1"/>
  <c r="O32" i="1" s="1"/>
  <c r="M19" i="1"/>
  <c r="M44" i="1"/>
  <c r="O44" i="1" s="1"/>
  <c r="M29" i="1"/>
  <c r="M18" i="1"/>
  <c r="O18" i="1" s="1"/>
  <c r="M45" i="1"/>
  <c r="O45" i="1" s="1"/>
  <c r="M30" i="1"/>
  <c r="M17" i="1"/>
  <c r="O17" i="1" s="1"/>
  <c r="O46" i="1"/>
  <c r="O47" i="1"/>
  <c r="O48" i="1"/>
  <c r="O49" i="1"/>
  <c r="N48" i="1"/>
  <c r="N42" i="1"/>
  <c r="N47" i="1"/>
  <c r="N43" i="1"/>
  <c r="N45" i="1"/>
  <c r="N49" i="1"/>
  <c r="N46" i="1"/>
  <c r="N44" i="1"/>
  <c r="N41" i="1"/>
  <c r="O41" i="1"/>
  <c r="M4" i="4"/>
  <c r="M15" i="1"/>
  <c r="O15" i="1" s="1"/>
  <c r="C3" i="2" s="1"/>
  <c r="N31" i="1"/>
  <c r="B4" i="2"/>
  <c r="O19" i="1"/>
  <c r="C17" i="2" s="1"/>
  <c r="N18" i="1"/>
  <c r="B14" i="2" s="1"/>
  <c r="O23" i="1"/>
  <c r="C27" i="2" s="1"/>
  <c r="N28" i="1"/>
  <c r="N34" i="1"/>
  <c r="N22" i="1"/>
  <c r="B25" i="2" s="1"/>
  <c r="O34" i="1"/>
  <c r="B3" i="2"/>
  <c r="O22" i="1"/>
  <c r="C26" i="2" s="1"/>
  <c r="O33" i="1"/>
  <c r="B5" i="2"/>
  <c r="N17" i="1"/>
  <c r="B11" i="2" s="1"/>
  <c r="N21" i="1"/>
  <c r="B22" i="2" s="1"/>
  <c r="N24" i="1"/>
  <c r="B31" i="2" s="1"/>
  <c r="N35" i="1"/>
  <c r="O37" i="1"/>
  <c r="N37" i="1"/>
  <c r="O24" i="1"/>
  <c r="C31" i="2" s="1"/>
  <c r="N16" i="1"/>
  <c r="B6" i="2" s="1"/>
  <c r="N20" i="1"/>
  <c r="B19" i="2" s="1"/>
  <c r="N29" i="1"/>
  <c r="N32" i="1"/>
  <c r="N19" i="1"/>
  <c r="B17" i="2" s="1"/>
  <c r="N23" i="1"/>
  <c r="B27" i="2" s="1"/>
  <c r="N30" i="1"/>
  <c r="N33" i="1"/>
  <c r="N36" i="1"/>
  <c r="O30" i="1"/>
  <c r="O29" i="1"/>
  <c r="M4" i="2"/>
  <c r="O36" i="1"/>
  <c r="O28" i="1"/>
  <c r="O35" i="1"/>
  <c r="O31" i="1"/>
  <c r="C27" i="5" l="1"/>
  <c r="C29" i="5"/>
  <c r="C28" i="5"/>
  <c r="B29" i="5"/>
  <c r="B28" i="5"/>
  <c r="B27" i="5"/>
  <c r="B22" i="5"/>
  <c r="B21" i="5"/>
  <c r="B23" i="5"/>
  <c r="C20" i="5"/>
  <c r="C19" i="5"/>
  <c r="C18" i="5"/>
  <c r="B25" i="5"/>
  <c r="B24" i="5"/>
  <c r="B26" i="5"/>
  <c r="C26" i="5"/>
  <c r="C25" i="5"/>
  <c r="C24" i="5"/>
  <c r="C21" i="5"/>
  <c r="C23" i="5"/>
  <c r="C22" i="5"/>
  <c r="C31" i="5"/>
  <c r="C30" i="5"/>
  <c r="C32" i="5"/>
  <c r="B19" i="5"/>
  <c r="B18" i="5"/>
  <c r="B20" i="5"/>
  <c r="B32" i="5"/>
  <c r="B31" i="5"/>
  <c r="B30" i="5"/>
  <c r="B8" i="5"/>
  <c r="B7" i="5"/>
  <c r="B6" i="5"/>
  <c r="B14" i="5"/>
  <c r="B13" i="5"/>
  <c r="B12" i="5"/>
  <c r="C7" i="5"/>
  <c r="C8" i="5"/>
  <c r="C6" i="5"/>
  <c r="B15" i="5"/>
  <c r="B17" i="5"/>
  <c r="B16" i="5"/>
  <c r="B9" i="5"/>
  <c r="B10" i="5"/>
  <c r="B11" i="5"/>
  <c r="C13" i="5"/>
  <c r="C12" i="5"/>
  <c r="C14" i="5"/>
  <c r="C16" i="5"/>
  <c r="C15" i="5"/>
  <c r="C17" i="5"/>
  <c r="C10" i="5"/>
  <c r="C9" i="5"/>
  <c r="C11" i="5"/>
  <c r="B4" i="5"/>
  <c r="B3" i="5"/>
  <c r="B5" i="5"/>
  <c r="B31" i="4"/>
  <c r="B30" i="4"/>
  <c r="B32" i="4"/>
  <c r="C5" i="5"/>
  <c r="C3" i="5"/>
  <c r="C4" i="5"/>
  <c r="C31" i="4"/>
  <c r="C30" i="4"/>
  <c r="C32" i="4"/>
  <c r="B13" i="4"/>
  <c r="B12" i="4"/>
  <c r="B14" i="4"/>
  <c r="B29" i="4"/>
  <c r="B28" i="4"/>
  <c r="B27" i="4"/>
  <c r="C15" i="4"/>
  <c r="C17" i="4"/>
  <c r="C16" i="4"/>
  <c r="B23" i="4"/>
  <c r="B22" i="4"/>
  <c r="B21" i="4"/>
  <c r="B17" i="4"/>
  <c r="B16" i="4"/>
  <c r="B15" i="4"/>
  <c r="B25" i="4"/>
  <c r="B24" i="4"/>
  <c r="B26" i="4"/>
  <c r="C29" i="4"/>
  <c r="C28" i="4"/>
  <c r="C27" i="4"/>
  <c r="C21" i="4"/>
  <c r="C23" i="4"/>
  <c r="C22" i="4"/>
  <c r="C4" i="2"/>
  <c r="C14" i="4"/>
  <c r="C13" i="4"/>
  <c r="C12" i="4"/>
  <c r="B19" i="4"/>
  <c r="B18" i="4"/>
  <c r="B20" i="4"/>
  <c r="C20" i="4"/>
  <c r="C19" i="4"/>
  <c r="C18" i="4"/>
  <c r="C26" i="4"/>
  <c r="C25" i="4"/>
  <c r="C24" i="4"/>
  <c r="C8" i="4"/>
  <c r="C7" i="4"/>
  <c r="C6" i="4"/>
  <c r="C10" i="4"/>
  <c r="C9" i="4"/>
  <c r="C11" i="4"/>
  <c r="B8" i="4"/>
  <c r="B7" i="4"/>
  <c r="B6" i="4"/>
  <c r="B9" i="4"/>
  <c r="B11" i="4"/>
  <c r="B10" i="4"/>
  <c r="B5" i="4"/>
  <c r="B4" i="4"/>
  <c r="B3" i="4"/>
  <c r="C3" i="4"/>
  <c r="C5" i="4"/>
  <c r="C4" i="4"/>
  <c r="C19" i="3"/>
  <c r="B21" i="3"/>
  <c r="B29" i="3"/>
  <c r="B6" i="3"/>
  <c r="B26" i="3"/>
  <c r="B5" i="3"/>
  <c r="B11" i="3"/>
  <c r="C23" i="3"/>
  <c r="B32" i="3"/>
  <c r="B16" i="3"/>
  <c r="C31" i="3"/>
  <c r="C5" i="2"/>
  <c r="B19" i="3"/>
  <c r="B14" i="3"/>
  <c r="B25" i="3"/>
  <c r="C16" i="2"/>
  <c r="B13" i="3"/>
  <c r="B12" i="3"/>
  <c r="B21" i="2"/>
  <c r="B26" i="2"/>
  <c r="C15" i="2"/>
  <c r="C30" i="3"/>
  <c r="B3" i="3"/>
  <c r="C25" i="2"/>
  <c r="B8" i="2"/>
  <c r="B12" i="2"/>
  <c r="B13" i="2"/>
  <c r="B22" i="3"/>
  <c r="B30" i="3"/>
  <c r="B27" i="3"/>
  <c r="B8" i="3"/>
  <c r="C29" i="2"/>
  <c r="B18" i="3"/>
  <c r="B29" i="2"/>
  <c r="B15" i="2"/>
  <c r="B31" i="3"/>
  <c r="B18" i="2"/>
  <c r="B10" i="3"/>
  <c r="B32" i="2"/>
  <c r="C28" i="2"/>
  <c r="C24" i="2"/>
  <c r="C30" i="2"/>
  <c r="B20" i="2"/>
  <c r="C22" i="3"/>
  <c r="B24" i="3"/>
  <c r="B28" i="3"/>
  <c r="B7" i="3"/>
  <c r="B4" i="3"/>
  <c r="B16" i="2"/>
  <c r="B7" i="2"/>
  <c r="C19" i="2"/>
  <c r="C18" i="2"/>
  <c r="C20" i="2"/>
  <c r="C13" i="2"/>
  <c r="C12" i="2"/>
  <c r="C14" i="2"/>
  <c r="B23" i="3"/>
  <c r="B9" i="2"/>
  <c r="B30" i="2"/>
  <c r="C32" i="2"/>
  <c r="B10" i="2"/>
  <c r="B9" i="3"/>
  <c r="B24" i="2"/>
  <c r="C21" i="3"/>
  <c r="C18" i="3"/>
  <c r="B20" i="3"/>
  <c r="C9" i="2"/>
  <c r="C10" i="2"/>
  <c r="B28" i="2"/>
  <c r="B23" i="2"/>
  <c r="B17" i="3"/>
  <c r="C8" i="2"/>
  <c r="C7" i="2"/>
  <c r="C22" i="2"/>
  <c r="C21" i="2"/>
  <c r="C11" i="2"/>
  <c r="C20" i="3"/>
  <c r="B15" i="3"/>
  <c r="C32" i="3"/>
  <c r="C6" i="2"/>
  <c r="C6" i="3"/>
  <c r="C7" i="3"/>
  <c r="C8" i="3"/>
  <c r="C11" i="3"/>
  <c r="C9" i="3"/>
  <c r="C10" i="3"/>
  <c r="C13" i="3"/>
  <c r="C14" i="3"/>
  <c r="C12" i="3"/>
  <c r="C4" i="3"/>
  <c r="C5" i="3"/>
  <c r="C3" i="3"/>
  <c r="C25" i="3"/>
  <c r="C26" i="3"/>
  <c r="C24" i="3"/>
  <c r="C15" i="3"/>
  <c r="C16" i="3"/>
  <c r="C17" i="3"/>
  <c r="C27" i="3"/>
  <c r="C28" i="3"/>
  <c r="C29" i="3"/>
</calcChain>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Stephen Hinde</author>
    <author>A satisfied Microsoft Office user</author>
  </authors>
  <commentList>
    <comment ref="B4" authorId="0" shapeId="1025" xr:uid="{4563209B-AACD-704D-A715-734D9228E28F}">
      <text>
        <r>
          <rPr>
            <b/>
            <sz val="10"/>
            <color rgb="FF000000"/>
            <rFont val="Tahoma"/>
            <family val="2"/>
          </rPr>
          <t>Stephen Hinde:</t>
        </r>
        <r>
          <rPr>
            <sz val="10"/>
            <color rgb="FF000000"/>
            <rFont val="Tahoma"/>
            <family val="2"/>
          </rPr>
          <t xml:space="preserve">Revision date of the brevet details on this sheet
</t>
        </r>
      </text>
      <mc:AlternateContent xmlns:mc="http://schemas.openxmlformats.org/markup-compatibility/2006">
        <mc:Choice Requires="v"/>
        <mc:Fallback>
          <commentPr defaultSize="0" autoFill="0" autoLine="0">
            <anchor>
              <from>
                <xdr:col>3</xdr:col>
                <xdr:colOff>165100</xdr:colOff>
                <xdr:row>2</xdr:row>
                <xdr:rowOff>38100</xdr:rowOff>
              </from>
              <to>
                <xdr:col>4</xdr:col>
                <xdr:colOff>838200</xdr:colOff>
                <xdr:row>6</xdr:row>
                <xdr:rowOff>165100</xdr:rowOff>
              </to>
            </anchor>
          </commentPr>
        </mc:Fallback>
      </mc:AlternateContent>
    </comment>
    <comment ref="B6" authorId="0" shapeId="1026"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
</t>
        </r>
        <r>
          <rPr>
            <sz val="10"/>
            <color rgb="FF000000"/>
            <rFont val="Tahoma"/>
            <family val="2"/>
          </rPr>
          <t>eg 200, 300, 400, 600</t>
        </r>
      </text>
      <mc:AlternateContent xmlns:mc="http://schemas.openxmlformats.org/markup-compatibility/2006">
        <mc:Choice Requires="v"/>
        <mc:Fallback>
          <commentPr defaultSize="0" autoFill="0" autoLine="0">
            <anchor>
              <from>
                <xdr:col>3</xdr:col>
                <xdr:colOff>165100</xdr:colOff>
                <xdr:row>4</xdr:row>
                <xdr:rowOff>38100</xdr:rowOff>
              </from>
              <to>
                <xdr:col>4</xdr:col>
                <xdr:colOff>825500</xdr:colOff>
                <xdr:row>7</xdr:row>
                <xdr:rowOff>25400</xdr:rowOff>
              </to>
            </anchor>
          </commentPr>
        </mc:Fallback>
      </mc:AlternateContent>
    </comment>
    <comment ref="B7" authorId="1" shapeId="1027" xr:uid="{00000000-0006-0000-0000-000002000000}">
      <text>
        <r>
          <rPr>
            <sz val="8"/>
            <color rgb="FF000000"/>
            <rFont val="Tahoma"/>
            <family val="2"/>
          </rPr>
          <t>Autocalculated based on ACP specified times</t>
        </r>
      </text>
      <mc:AlternateContent xmlns:mc="http://schemas.openxmlformats.org/markup-compatibility/2006">
        <mc:Choice Requires="v"/>
        <mc:Fallback>
          <commentPr defaultSize="0" autoFill="0" autoLine="0">
            <anchor>
              <from>
                <xdr:col>3</xdr:col>
                <xdr:colOff>165100</xdr:colOff>
                <xdr:row>5</xdr:row>
                <xdr:rowOff>76200</xdr:rowOff>
              </from>
              <to>
                <xdr:col>4</xdr:col>
                <xdr:colOff>927100</xdr:colOff>
                <xdr:row>7</xdr:row>
                <xdr:rowOff>114300</xdr:rowOff>
              </to>
            </anchor>
          </commentPr>
        </mc:Fallback>
      </mc:AlternateContent>
    </comment>
    <comment ref="B9" authorId="0" shapeId="1028"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mc:AlternateContent xmlns:mc="http://schemas.openxmlformats.org/markup-compatibility/2006">
        <mc:Choice Requires="v"/>
        <mc:Fallback>
          <commentPr defaultSize="0" autoFill="0" autoLine="0">
            <anchor>
              <from>
                <xdr:col>3</xdr:col>
                <xdr:colOff>165100</xdr:colOff>
                <xdr:row>7</xdr:row>
                <xdr:rowOff>114300</xdr:rowOff>
              </from>
              <to>
                <xdr:col>4</xdr:col>
                <xdr:colOff>825500</xdr:colOff>
                <xdr:row>12</xdr:row>
                <xdr:rowOff>203200</xdr:rowOff>
              </to>
            </anchor>
          </commentPr>
        </mc:Fallback>
      </mc:AlternateContent>
    </comment>
    <comment ref="B10" authorId="0" shapeId="1029"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mc:AlternateContent xmlns:mc="http://schemas.openxmlformats.org/markup-compatibility/2006">
        <mc:Choice Requires="v"/>
        <mc:Fallback>
          <commentPr defaultSize="0" autoFill="0" autoLine="0">
            <anchor>
              <from>
                <xdr:col>3</xdr:col>
                <xdr:colOff>165100</xdr:colOff>
                <xdr:row>7</xdr:row>
                <xdr:rowOff>63500</xdr:rowOff>
              </from>
              <to>
                <xdr:col>4</xdr:col>
                <xdr:colOff>825500</xdr:colOff>
                <xdr:row>12</xdr:row>
                <xdr:rowOff>25400</xdr:rowOff>
              </to>
            </anchor>
          </commentPr>
        </mc:Fallback>
      </mc:AlternateContent>
    </comment>
    <comment ref="B12" authorId="0" shapeId="1030" xr:uid="{23558CA1-4512-6144-8D64-23E7C0C33489}">
      <text>
        <r>
          <rPr>
            <b/>
            <sz val="10"/>
            <color rgb="FF000000"/>
            <rFont val="Tahoma"/>
            <family val="2"/>
          </rPr>
          <t>Stephen Hinde:</t>
        </r>
        <r>
          <rPr>
            <sz val="10"/>
            <color rgb="FF000000"/>
            <rFont val="Tahoma"/>
            <family val="2"/>
          </rPr>
          <t xml:space="preserve">
</t>
        </r>
        <r>
          <rPr>
            <sz val="10"/>
            <color rgb="FF000000"/>
            <rFont val="Tahoma"/>
            <family val="2"/>
          </rPr>
          <t xml:space="preserve">Ride date
</t>
        </r>
      </text>
      <mc:AlternateContent xmlns:mc="http://schemas.openxmlformats.org/markup-compatibility/2006">
        <mc:Choice Requires="v"/>
        <mc:Fallback>
          <commentPr defaultSize="0" autoFill="0" autoLine="0">
            <anchor>
              <from>
                <xdr:col>3</xdr:col>
                <xdr:colOff>165100</xdr:colOff>
                <xdr:row>8</xdr:row>
                <xdr:rowOff>127000</xdr:rowOff>
              </from>
              <to>
                <xdr:col>4</xdr:col>
                <xdr:colOff>825500</xdr:colOff>
                <xdr:row>14</xdr:row>
                <xdr:rowOff>127000</xdr:rowOff>
              </to>
            </anchor>
          </commentPr>
        </mc:Fallback>
      </mc:AlternateContent>
    </comment>
    <comment ref="B13" authorId="0" shapeId="1031"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mc:AlternateContent xmlns:mc="http://schemas.openxmlformats.org/markup-compatibility/2006">
        <mc:Choice Requires="v"/>
        <mc:Fallback>
          <commentPr defaultSize="0" autoFill="0" autoLine="0">
            <anchor>
              <from>
                <xdr:col>3</xdr:col>
                <xdr:colOff>165100</xdr:colOff>
                <xdr:row>11</xdr:row>
                <xdr:rowOff>88900</xdr:rowOff>
              </from>
              <to>
                <xdr:col>4</xdr:col>
                <xdr:colOff>838200</xdr:colOff>
                <xdr:row>14</xdr:row>
                <xdr:rowOff>203200</xdr:rowOff>
              </to>
            </anchor>
          </commentPr>
        </mc:Fallback>
      </mc:AlternateContent>
    </comment>
  </commentList>
</comments>
</file>

<file path=xl/sharedStrings.xml><?xml version="1.0" encoding="utf-8"?>
<sst xmlns="http://purl.oclc.org/ooxml/spreadsheetml/main" count="442" uniqueCount="145">
  <si>
    <t>Start time</t>
  </si>
  <si>
    <t>Finish time</t>
  </si>
  <si>
    <t>Elapsed time</t>
  </si>
  <si>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</si>
  <si>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</si>
  <si>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</si>
  <si>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</si>
  <si>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</si>
  <si>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</si>
  <si>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</si>
  <si>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</si>
  <si>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</si>
  <si>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</si>
  <si>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</si>
  <si>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</si>
  <si>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</si>
  <si>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</si>
  <si>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</si>
  <si>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</si>
  <si>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</si>
  <si>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</si>
  <si>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</si>
  <si>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</si>
  <si>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</si>
  <si>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</si>
  <si>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</si>
  <si>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</si>
  <si>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</si>
  <si>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</si>
  <si>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t>
  </si>
  <si>
    <t>DIST (km)</t>
  </si>
  <si>
    <t>Establishment</t>
  </si>
  <si>
    <t>Time of Passage</t>
  </si>
  <si>
    <t>Control Card</t>
  </si>
  <si>
    <t>Name</t>
  </si>
  <si>
    <t>Address</t>
  </si>
  <si>
    <t>City</t>
  </si>
  <si>
    <t>Province/State</t>
  </si>
  <si>
    <t>Country</t>
  </si>
  <si>
    <t>Postal Code</t>
  </si>
  <si>
    <t>Telephone</t>
  </si>
  <si>
    <t>email</t>
  </si>
  <si>
    <t>Randonneur Committee Authorization</t>
  </si>
  <si>
    <t>Report results or abandonment through registration email link</t>
  </si>
  <si>
    <t>Start Date</t>
  </si>
  <si>
    <t>Finish Date</t>
  </si>
  <si>
    <t>Member #</t>
  </si>
  <si>
    <t xml:space="preserve">Brevet No. </t>
  </si>
  <si>
    <t>Schedule date:</t>
  </si>
  <si>
    <t>Single</t>
  </si>
  <si>
    <t>Tandem</t>
  </si>
  <si>
    <t>Fixed</t>
  </si>
  <si>
    <t>Recumbent</t>
  </si>
  <si>
    <t>Velomobile</t>
  </si>
  <si>
    <t>(only add if change needed to database)</t>
  </si>
  <si>
    <t>Founding member of LES RANDONNEURS MONDIAUX (1983)</t>
  </si>
  <si>
    <t>Bicycle Type
Circle one</t>
  </si>
  <si>
    <t>-------&gt;</t>
  </si>
  <si>
    <t>Ride Day Emergency Contact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</si>
  <si>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</si>
  <si>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</si>
  <si>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</si>
  <si>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</si>
  <si>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</si>
  <si>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</si>
  <si>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</si>
  <si>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</si>
  <si>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</si>
  <si>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</si>
  <si>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Fill in the control distance.  The opening and closing times will be automatically calculated based on the start time and the brevet distance.  If you need more than 10 controls, use card #2, otherwise leave that section blank.</t>
  </si>
  <si>
    <t>When using information controls, you can put your question in the Signature/Answer section eg Sig/Ans.1 Sign on main door  Sig/Ans. 2  This week's special is?  Sig/Ans. 3 ________________</t>
  </si>
  <si>
    <t>Control Card #1 Information Control Question (optional)</t>
  </si>
  <si>
    <t>Control Card #2 Information Control Question (optional)</t>
  </si>
  <si>
    <t xml:space="preserve">Control Card </t>
  </si>
  <si>
    <r>
      <t xml:space="preserve">At each control, please have signed or </t>
    </r>
    <r>
      <rPr>
        <b/>
        <i/>
        <sz val="16"/>
        <rFont val="Arial"/>
        <family val="2"/>
      </rPr>
      <t>answer question</t>
    </r>
    <r>
      <rPr>
        <i/>
        <sz val="16"/>
        <rFont val="Arial"/>
        <family val="2"/>
      </rPr>
      <t xml:space="preserve"> and</t>
    </r>
    <r>
      <rPr>
        <b/>
        <i/>
        <sz val="16"/>
        <rFont val="Arial"/>
        <family val="2"/>
      </rPr>
      <t xml:space="preserve"> note time of day</t>
    </r>
  </si>
  <si>
    <t>Enter the start time.  This will be the official ACP listed start time found on the event page, unless a ride window has been enabled.</t>
  </si>
  <si>
    <t>Enter the start date.  This will be the same as the schedule date, exceot for pre-rides or unless a ride window has been enabled.</t>
  </si>
  <si>
    <t>Control Card #2</t>
  </si>
  <si>
    <t>Control Card #3 Information Control Question (optional)</t>
  </si>
  <si>
    <t>Control Card #3</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</si>
  <si>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</si>
  <si>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</si>
  <si>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</si>
  <si>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DO NOT DELETE OR MOVE ROWS OR COLUMNS (delete contents of cells only)</t>
  </si>
  <si>
    <t>Fill in the Locale (city) for each control.  Establishment 1, 2, and 3 can be used to describe the control itself eg Locale HOPE  Est.1 Dairy Queen Est.2 817 Water Ave Est. 3 (left blank)</t>
  </si>
  <si>
    <t>Scroll right to see further instructions</t>
  </si>
  <si>
    <t xml:space="preserve">Card Revised:  </t>
  </si>
  <si>
    <t>Control Card #4</t>
  </si>
  <si>
    <t>Control Card #4 Information Control Question (optional)</t>
  </si>
  <si>
    <t>You can create 4 control cards  (upto 40 controls) for one event, or 4 control cards (up to 10 controls) with different start loctions for a single event, or 2 sets of 2 control cards.  Control Card #1 will only show '#1' if a distance, not zero, is entered into the first distance box for Control Card #2.  Similarly for Control Card #3 and Control Card #4.  If CC#3 starts at distance 0 and CC#4 has a distance greater than 0, then CC#3 will display as CC#1 and CC#4 will display as CC#2.  This allows for 2 cards for start location 1 and two cards for start location 2.</t>
  </si>
  <si>
    <t>SIGN HERE AND RECORD RESULTS ON CARD #1</t>
  </si>
  <si>
    <t>NORTH SAANICH</t>
  </si>
  <si>
    <t>SAANICH</t>
  </si>
  <si>
    <t>VICTORIA</t>
  </si>
  <si>
    <t>SECRET</t>
  </si>
  <si>
    <t>Jordan River Jaunt</t>
  </si>
  <si>
    <t>EAST SOOKE</t>
  </si>
  <si>
    <t>JORDAN RIVER</t>
  </si>
  <si>
    <t>LANGFORD</t>
  </si>
  <si>
    <t>HIGHLANDS</t>
  </si>
  <si>
    <t>VICTORIA WEST</t>
  </si>
  <si>
    <t>Shell Gas</t>
  </si>
  <si>
    <t>100 Esquimalt Rd</t>
  </si>
  <si>
    <t>East Sooke Grocer and General Store</t>
  </si>
  <si>
    <t>BUSINESS</t>
  </si>
  <si>
    <t>INFORMATION</t>
  </si>
  <si>
    <t>Cold Shoulder Café</t>
  </si>
  <si>
    <t>5611 East Sooke Rd</t>
  </si>
  <si>
    <t>11950 West Coast Rd</t>
  </si>
  <si>
    <t>Humpback Rd</t>
  </si>
  <si>
    <t>Mt. Work Regional Park</t>
  </si>
  <si>
    <t>Ross Durance Rd</t>
  </si>
  <si>
    <t>West Saanich Rd @ Lands End Rd</t>
  </si>
  <si>
    <t>Stop sign</t>
  </si>
  <si>
    <t>End of road</t>
  </si>
  <si>
    <t>Clover Point loop</t>
  </si>
  <si>
    <t>Crosswalk after roundabout</t>
  </si>
  <si>
    <t>3081 Glen Lake Rd</t>
  </si>
  <si>
    <t>Small yellow sign at entrance</t>
  </si>
  <si>
    <t>KIDS       DOGS        SASQUATCH</t>
  </si>
  <si>
    <t>Crossing warning for ???</t>
  </si>
  <si>
    <t>Facing store, bench to right</t>
  </si>
  <si>
    <t>Name on bench???</t>
  </si>
  <si>
    <t>CHEV         DODGE         FORD</t>
  </si>
  <si>
    <t>Blue sign to right of gate</t>
  </si>
  <si>
    <t>Park opening hour?</t>
  </si>
  <si>
    <t>SUNRISE         DAWN       7AM</t>
  </si>
  <si>
    <t>Blue Park Open hours sign</t>
  </si>
  <si>
    <t>TREE       BIKE       CARTOON</t>
  </si>
  <si>
    <t>Symbol on back lower right</t>
  </si>
  <si>
    <t>Power pole across Lands End Rd</t>
  </si>
  <si>
    <t>Bottom sign</t>
  </si>
  <si>
    <t>Pacifica __________________?</t>
  </si>
  <si>
    <t>Within closed road area</t>
  </si>
  <si>
    <t>How many red chairs?</t>
  </si>
  <si>
    <t>NONE         SOME        DOZENS</t>
  </si>
  <si>
    <t>At crosswalk AFTER roundabout</t>
  </si>
  <si>
    <t>Opposite side.  How many mail boxes?</t>
  </si>
  <si>
    <t>TWO       THREE       FOUR</t>
  </si>
  <si>
    <t>Mt. Wells Regional Park</t>
  </si>
  <si>
    <t>Whitehead Park</t>
  </si>
  <si>
    <t>Goward @ Prospect Lake</t>
  </si>
  <si>
    <t>Goward parking lot, left side from road</t>
  </si>
  <si>
    <t>Number at bottom left of mailboxes</t>
  </si>
  <si>
    <t>V9E00 ______    _______</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</si>
</sst>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
  </numFmts>
  <fonts count="33"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0"/>
      <color rgb="FFFF0000"/>
      <name val="Arial"/>
      <family val="2"/>
    </font>
    <font>
      <sz val="20"/>
      <color theme="0" tint="-0.249977111117893"/>
      <name val="Impact"/>
      <family val="2"/>
    </font>
    <font>
      <sz val="16"/>
      <color rgb="FFFF0000"/>
      <name val="Arial"/>
      <family val="2"/>
    </font>
    <font>
      <sz val="9"/>
      <name val="Arial"/>
      <family val="2"/>
    </font>
    <font>
      <sz val="11"/>
      <name val="Arial Narrow"/>
      <family val="2"/>
    </font>
  </fonts>
  <fills count="3">
    <fill>
      <patternFill patternType="none"/>
    </fill>
    <fill>
      <patternFill patternType="gray125"/>
    </fill>
    <fill>
      <patternFill patternType="solid">
        <fgColor indexed="22"/>
        <bgColor indexed="64"/>
      </patternFill>
    </fill>
  </fills>
  <borders count="30">
    <border>
      <start/>
      <end/>
      <top/>
      <bottom/>
      <diagonal/>
    </border>
    <border>
      <start style="medium">
        <color auto="1"/>
      </start>
      <end style="medium">
        <color auto="1"/>
      </end>
      <top style="medium">
        <color auto="1"/>
      </top>
      <bottom style="thin">
        <color auto="1"/>
      </bottom>
      <diagonal/>
    </border>
    <border>
      <start/>
      <end style="medium">
        <color auto="1"/>
      </end>
      <top style="medium">
        <color auto="1"/>
      </top>
      <bottom style="thin">
        <color auto="1"/>
      </bottom>
      <diagonal/>
    </border>
    <border>
      <start style="medium">
        <color auto="1"/>
      </start>
      <end style="medium">
        <color auto="1"/>
      </end>
      <top/>
      <bottom style="thin">
        <color auto="1"/>
      </bottom>
      <diagonal/>
    </border>
    <border>
      <start/>
      <end style="medium">
        <color auto="1"/>
      </end>
      <top/>
      <bottom style="thin">
        <color auto="1"/>
      </bottom>
      <diagonal/>
    </border>
    <border>
      <start/>
      <end/>
      <top style="medium">
        <color auto="1"/>
      </top>
      <bottom style="medium">
        <color auto="1"/>
      </bottom>
      <diagonal/>
    </border>
    <border>
      <start style="medium">
        <color auto="1"/>
      </start>
      <end/>
      <top/>
      <bottom/>
      <diagonal/>
    </border>
    <border>
      <start style="medium">
        <color auto="1"/>
      </start>
      <end style="medium">
        <color auto="1"/>
      </end>
      <top/>
      <bottom style="medium">
        <color auto="1"/>
      </bottom>
      <diagonal/>
    </border>
    <border>
      <start/>
      <end style="medium">
        <color auto="1"/>
      </end>
      <top/>
      <bottom style="medium">
        <color auto="1"/>
      </bottom>
      <diagonal/>
    </border>
    <border>
      <start style="medium">
        <color auto="1"/>
      </start>
      <end/>
      <top style="medium">
        <color auto="1"/>
      </top>
      <bottom style="medium">
        <color auto="1"/>
      </bottom>
      <diagonal/>
    </border>
    <border>
      <start/>
      <end style="medium">
        <color auto="1"/>
      </end>
      <top style="medium">
        <color auto="1"/>
      </top>
      <bottom style="medium">
        <color auto="1"/>
      </bottom>
      <diagonal/>
    </border>
    <border>
      <start style="medium">
        <color auto="1"/>
      </start>
      <end style="thin">
        <color auto="1"/>
      </end>
      <top style="medium">
        <color auto="1"/>
      </top>
      <bottom style="medium">
        <color auto="1"/>
      </bottom>
      <diagonal/>
    </border>
    <border>
      <start/>
      <end style="thin">
        <color auto="1"/>
      </end>
      <top style="medium">
        <color auto="1"/>
      </top>
      <bottom style="medium">
        <color auto="1"/>
      </bottom>
      <diagonal/>
    </border>
    <border>
      <start style="medium">
        <color auto="1"/>
      </start>
      <end style="thin">
        <color auto="1"/>
      </end>
      <top/>
      <bottom style="thin">
        <color auto="1"/>
      </bottom>
      <diagonal/>
    </border>
    <border>
      <start/>
      <end style="thin">
        <color auto="1"/>
      </end>
      <top/>
      <bottom style="thin">
        <color auto="1"/>
      </bottom>
      <diagonal/>
    </border>
    <border>
      <start style="medium">
        <color auto="1"/>
      </start>
      <end style="medium">
        <color auto="1"/>
      </end>
      <top style="medium">
        <color auto="1"/>
      </top>
      <bottom style="medium">
        <color auto="1"/>
      </bottom>
      <diagonal/>
    </border>
    <border>
      <start style="medium">
        <color auto="1"/>
      </start>
      <end style="medium">
        <color auto="1"/>
      </end>
      <top/>
      <bottom/>
      <diagonal/>
    </border>
    <border>
      <start/>
      <end style="medium">
        <color auto="1"/>
      </end>
      <top/>
      <bottom/>
      <diagonal/>
    </border>
    <border>
      <start/>
      <end/>
      <top/>
      <bottom style="medium">
        <color auto="1"/>
      </bottom>
      <diagonal/>
    </border>
    <border>
      <start style="medium">
        <color auto="1"/>
      </start>
      <end/>
      <top style="medium">
        <color auto="1"/>
      </top>
      <bottom/>
      <diagonal/>
    </border>
    <border>
      <start/>
      <end/>
      <top style="medium">
        <color auto="1"/>
      </top>
      <bottom/>
      <diagonal/>
    </border>
    <border>
      <start/>
      <end style="medium">
        <color auto="1"/>
      </end>
      <top style="medium">
        <color auto="1"/>
      </top>
      <bottom/>
      <diagonal/>
    </border>
    <border>
      <start style="medium">
        <color auto="1"/>
      </start>
      <end/>
      <top/>
      <bottom style="medium">
        <color auto="1"/>
      </bottom>
      <diagonal/>
    </border>
    <border>
      <start/>
      <end style="medium">
        <color auto="1"/>
      </end>
      <top style="thin">
        <color auto="1"/>
      </top>
      <bottom style="medium">
        <color auto="1"/>
      </bottom>
      <diagonal/>
    </border>
    <border>
      <start style="medium">
        <color auto="1"/>
      </start>
      <end style="thin">
        <color auto="1"/>
      </end>
      <top style="thin">
        <color auto="1"/>
      </top>
      <bottom style="medium">
        <color auto="1"/>
      </bottom>
      <diagonal/>
    </border>
    <border>
      <start/>
      <end style="thin">
        <color auto="1"/>
      </end>
      <top style="thin">
        <color auto="1"/>
      </top>
      <bottom style="medium">
        <color auto="1"/>
      </bottom>
      <diagonal/>
    </border>
    <border>
      <start style="thin">
        <color auto="1"/>
      </start>
      <end style="medium">
        <color auto="1"/>
      </end>
      <top style="medium">
        <color auto="1"/>
      </top>
      <bottom style="medium">
        <color indexed="64"/>
      </bottom>
      <diagonal/>
    </border>
    <border>
      <start style="thin">
        <color indexed="64"/>
      </start>
      <end style="thin">
        <color indexed="64"/>
      </end>
      <top style="thin">
        <color indexed="64"/>
      </top>
      <bottom style="thin">
        <color indexed="64"/>
      </bottom>
      <diagonal/>
    </border>
    <border>
      <start style="medium">
        <color auto="1"/>
      </start>
      <end/>
      <top style="thin">
        <color auto="1"/>
      </top>
      <bottom style="thin">
        <color auto="1"/>
      </bottom>
      <diagonal/>
    </border>
    <border>
      <start style="medium">
        <color auto="1"/>
      </start>
      <end/>
      <top style="medium">
        <color auto="1"/>
      </top>
      <bottom style="thin">
        <color auto="1"/>
      </bottom>
      <diagonal/>
    </border>
  </borders>
  <cellStyleXfs count="356">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xf numFmtId="0" fontId="4" fillId="0" borderId="0"/>
    <xf numFmtId="0" fontId="5" fillId="0" borderId="0"/>
    <xf numFmtId="0" fontId="3" fillId="0" borderId="0"/>
    <xf numFmtId="0" fontId="2"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42">
    <xf numFmtId="0" fontId="0" fillId="0" borderId="0" xfId="0"/>
    <xf numFmtId="0" fontId="0" fillId="0" borderId="16" xfId="0" applyBorder="1"/>
    <xf numFmtId="0" fontId="0" fillId="0" borderId="0" xfId="0" applyAlignment="1">
      <alignment horizontal="right"/>
    </xf>
    <xf numFmtId="0" fontId="0" fillId="0" borderId="0" xfId="0" applyProtection="1">
      <protection hidden="1"/>
    </xf>
    <xf numFmtId="164" fontId="0" fillId="0" borderId="0" xfId="0" applyNumberFormat="1"/>
    <xf numFmtId="164" fontId="0" fillId="0" borderId="0" xfId="0" applyNumberFormat="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2" borderId="4" xfId="0" applyFill="1" applyBorder="1"/>
    <xf numFmtId="0" fontId="0" fillId="0" borderId="0" xfId="0" applyAlignment="1">
      <alignment vertical="top" textRotation="90"/>
    </xf>
    <xf numFmtId="0" fontId="10" fillId="0" borderId="0" xfId="0" applyFont="1"/>
    <xf numFmtId="0" fontId="0" fillId="0" borderId="19" xfId="0" applyBorder="1"/>
    <xf numFmtId="0" fontId="0" fillId="0" borderId="6" xfId="0" applyBorder="1"/>
    <xf numFmtId="0" fontId="0" fillId="0" borderId="20" xfId="0" applyBorder="1"/>
    <xf numFmtId="0" fontId="0" fillId="0" borderId="21" xfId="0" applyBorder="1"/>
    <xf numFmtId="0" fontId="0" fillId="0" borderId="17" xfId="0" applyBorder="1"/>
    <xf numFmtId="0" fontId="0" fillId="0" borderId="0" xfId="0" applyAlignment="1" applyProtection="1">
      <alignment horizontal="centerContinuous"/>
      <protection hidden="1"/>
    </xf>
    <xf numFmtId="0" fontId="0" fillId="0" borderId="0" xfId="0" applyAlignment="1">
      <alignment horizontal="centerContinuous"/>
    </xf>
    <xf numFmtId="167" fontId="0" fillId="0" borderId="13" xfId="0" applyNumberFormat="1" applyBorder="1" applyProtection="1">
      <protection locked="0"/>
    </xf>
    <xf numFmtId="0" fontId="0" fillId="0" borderId="0" xfId="0" applyAlignment="1">
      <alignment horizontal="center"/>
    </xf>
    <xf numFmtId="167" fontId="13" fillId="0" borderId="16" xfId="0" applyNumberFormat="1" applyFont="1" applyBorder="1" applyAlignment="1">
      <alignment horizontal="center" wrapText="1"/>
    </xf>
    <xf numFmtId="166" fontId="13" fillId="0" borderId="16" xfId="0" applyNumberFormat="1" applyFont="1" applyBorder="1" applyAlignment="1">
      <alignment horizontal="center" vertical="center" wrapText="1"/>
    </xf>
    <xf numFmtId="0" fontId="13" fillId="0" borderId="17" xfId="0" applyFont="1" applyBorder="1" applyAlignment="1">
      <alignment horizontal="center" vertical="center"/>
    </xf>
    <xf numFmtId="0" fontId="14" fillId="0" borderId="16" xfId="0" applyFont="1" applyBorder="1" applyAlignment="1">
      <alignment horizontal="center" vertical="center" wrapText="1"/>
    </xf>
    <xf numFmtId="167" fontId="13" fillId="0" borderId="7" xfId="0" applyNumberFormat="1" applyFont="1" applyBorder="1"/>
    <xf numFmtId="165" fontId="13" fillId="0" borderId="7" xfId="0" applyNumberFormat="1" applyFont="1" applyBorder="1" applyAlignment="1">
      <alignment horizontal="center" vertical="center" wrapText="1"/>
    </xf>
    <xf numFmtId="0" fontId="13" fillId="0" borderId="18" xfId="0" applyFont="1" applyBorder="1" applyAlignment="1">
      <alignment horizontal="center" vertical="center"/>
    </xf>
    <xf numFmtId="0" fontId="14" fillId="0" borderId="7" xfId="0" applyFont="1" applyBorder="1" applyAlignment="1">
      <alignment horizontal="center" vertical="center" wrapText="1"/>
    </xf>
    <xf numFmtId="0" fontId="13" fillId="0" borderId="16" xfId="0" applyFont="1" applyBorder="1" applyAlignment="1">
      <alignment horizontal="center" vertical="center"/>
    </xf>
    <xf numFmtId="167" fontId="15" fillId="0" borderId="16" xfId="0" applyNumberFormat="1" applyFont="1" applyBorder="1" applyAlignment="1">
      <alignment horizontal="center" vertical="center"/>
    </xf>
    <xf numFmtId="18" fontId="15"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167" fontId="12"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justify"/>
    </xf>
    <xf numFmtId="0" fontId="10" fillId="0" borderId="0" xfId="0" applyFont="1" applyAlignment="1">
      <alignment horizontal="right"/>
    </xf>
    <xf numFmtId="0" fontId="10" fillId="0" borderId="0" xfId="0" applyFont="1" applyAlignment="1">
      <alignment horizontal="left"/>
    </xf>
    <xf numFmtId="0" fontId="5" fillId="2" borderId="3" xfId="0" applyFont="1" applyFill="1" applyBorder="1" applyAlignment="1">
      <alignment horizontal="right"/>
    </xf>
    <xf numFmtId="168" fontId="10" fillId="0" borderId="0" xfId="0" applyNumberFormat="1" applyFont="1" applyAlignment="1">
      <alignment horizontal="center"/>
    </xf>
    <xf numFmtId="0" fontId="10" fillId="0" borderId="0" xfId="0" quotePrefix="1" applyFont="1" applyAlignment="1">
      <alignment horizontal="right" vertical="center"/>
    </xf>
    <xf numFmtId="0" fontId="10" fillId="0" borderId="0" xfId="0" applyFont="1" applyAlignment="1">
      <alignment vertical="center"/>
    </xf>
    <xf numFmtId="167" fontId="0" fillId="0" borderId="24" xfId="0" applyNumberFormat="1" applyBorder="1" applyProtection="1">
      <protection locked="0"/>
    </xf>
    <xf numFmtId="0" fontId="14" fillId="0" borderId="16" xfId="0" applyFont="1" applyBorder="1" applyAlignment="1">
      <alignment horizontal="center" vertical="top" wrapText="1"/>
    </xf>
    <xf numFmtId="0" fontId="6" fillId="0" borderId="0" xfId="0" applyFont="1" applyAlignment="1">
      <alignment wrapText="1"/>
    </xf>
    <xf numFmtId="0" fontId="10" fillId="0" borderId="0" xfId="0" applyFont="1" applyAlignment="1">
      <alignment horizontal="center"/>
    </xf>
    <xf numFmtId="18" fontId="23" fillId="0" borderId="0" xfId="0" applyNumberFormat="1" applyFont="1" applyAlignment="1">
      <alignment horizontal="center" wrapText="1"/>
    </xf>
    <xf numFmtId="0" fontId="10" fillId="0" borderId="0" xfId="0" applyFont="1" applyAlignment="1">
      <alignment horizontal="left" vertical="center"/>
    </xf>
    <xf numFmtId="169" fontId="10" fillId="0" borderId="0" xfId="0" applyNumberFormat="1" applyFont="1" applyAlignment="1">
      <alignment horizontal="left" vertical="center"/>
    </xf>
    <xf numFmtId="0" fontId="27" fillId="2" borderId="12" xfId="0" applyFont="1" applyFill="1" applyBorder="1"/>
    <xf numFmtId="0" fontId="27" fillId="2" borderId="10" xfId="0" applyFont="1" applyFill="1" applyBorder="1"/>
    <xf numFmtId="167" fontId="0" fillId="0" borderId="22" xfId="0" applyNumberFormat="1" applyBorder="1" applyProtection="1">
      <protection locked="0"/>
    </xf>
    <xf numFmtId="0" fontId="13" fillId="0" borderId="18" xfId="0" applyFont="1" applyBorder="1" applyProtection="1">
      <protection locked="0"/>
    </xf>
    <xf numFmtId="49" fontId="13" fillId="0" borderId="1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0" fontId="13" fillId="0" borderId="2" xfId="0" applyFont="1" applyBorder="1" applyProtection="1">
      <protection locked="0"/>
    </xf>
    <xf numFmtId="1" fontId="13" fillId="0" borderId="4" xfId="0" applyNumberFormat="1" applyFont="1" applyBorder="1" applyProtection="1">
      <protection locked="0"/>
    </xf>
    <xf numFmtId="15" fontId="13" fillId="0" borderId="4" xfId="0" applyNumberFormat="1" applyFont="1" applyBorder="1" applyProtection="1">
      <protection locked="0"/>
    </xf>
    <xf numFmtId="20" fontId="13" fillId="0" borderId="8" xfId="0" applyNumberFormat="1" applyFont="1" applyBorder="1" applyProtection="1">
      <protection locked="0"/>
    </xf>
    <xf numFmtId="0" fontId="28" fillId="0" borderId="0" xfId="0" applyFont="1"/>
    <xf numFmtId="0" fontId="7" fillId="2" borderId="15" xfId="0" applyFont="1" applyFill="1" applyBorder="1" applyAlignment="1">
      <alignment horizontal="center" vertical="center" wrapText="1"/>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5" xfId="0" applyFont="1" applyBorder="1" applyProtection="1">
      <protection locked="0"/>
    </xf>
    <xf numFmtId="49" fontId="5" fillId="0" borderId="25" xfId="0" applyNumberFormat="1" applyFont="1" applyBorder="1" applyAlignment="1" applyProtection="1">
      <alignment horizontal="center"/>
      <protection locked="0"/>
    </xf>
    <xf numFmtId="49" fontId="5" fillId="0" borderId="23" xfId="0" applyNumberFormat="1" applyFont="1" applyBorder="1" applyAlignment="1" applyProtection="1">
      <alignment horizontal="center"/>
      <protection locked="0"/>
    </xf>
    <xf numFmtId="167" fontId="0" fillId="0" borderId="0" xfId="0" applyNumberFormat="1"/>
    <xf numFmtId="0" fontId="14" fillId="0" borderId="7" xfId="0" applyFont="1" applyBorder="1" applyAlignment="1">
      <alignment horizontal="center" vertical="top" wrapText="1"/>
    </xf>
    <xf numFmtId="2" fontId="0" fillId="0" borderId="0" xfId="0" applyNumberFormat="1"/>
    <xf numFmtId="0" fontId="9" fillId="0" borderId="0" xfId="0" applyFont="1" applyAlignment="1">
      <alignment horizontal="center" wrapText="1"/>
    </xf>
    <xf numFmtId="0" fontId="9" fillId="0" borderId="0" xfId="0" applyFont="1"/>
    <xf numFmtId="0" fontId="5" fillId="0" borderId="0" xfId="0" applyFont="1"/>
    <xf numFmtId="0" fontId="27" fillId="2" borderId="26" xfId="0" applyFont="1" applyFill="1" applyBorder="1"/>
    <xf numFmtId="0" fontId="0" fillId="2" borderId="28" xfId="0" applyFill="1" applyBorder="1" applyAlignment="1">
      <alignment horizontal="right"/>
    </xf>
    <xf numFmtId="15" fontId="13" fillId="0" borderId="27" xfId="0" applyNumberFormat="1" applyFont="1" applyBorder="1" applyProtection="1">
      <protection locked="0"/>
    </xf>
    <xf numFmtId="0" fontId="5" fillId="2" borderId="29" xfId="0" applyFont="1" applyFill="1" applyBorder="1" applyAlignment="1">
      <alignment horizontal="right"/>
    </xf>
    <xf numFmtId="0" fontId="6" fillId="0" borderId="0" xfId="0" applyFont="1" applyAlignment="1">
      <alignment vertical="top" wrapText="1"/>
    </xf>
    <xf numFmtId="0" fontId="5" fillId="0" borderId="0" xfId="0" applyFont="1" applyAlignment="1">
      <alignment wrapText="1"/>
    </xf>
    <xf numFmtId="0" fontId="0" fillId="0" borderId="0" xfId="0" applyProtection="1">
      <protection locked="0"/>
    </xf>
    <xf numFmtId="0" fontId="14" fillId="0" borderId="16" xfId="0" applyFont="1" applyBorder="1" applyAlignment="1" applyProtection="1">
      <alignment horizontal="center" vertical="center" wrapText="1"/>
      <protection locked="0"/>
    </xf>
    <xf numFmtId="0" fontId="7" fillId="0" borderId="16" xfId="0" applyFont="1" applyBorder="1" applyAlignment="1" applyProtection="1">
      <alignment horizontal="center" wrapText="1"/>
      <protection locked="0"/>
    </xf>
    <xf numFmtId="0" fontId="14" fillId="0" borderId="16" xfId="0" applyFont="1" applyBorder="1" applyAlignment="1" applyProtection="1">
      <alignment horizontal="center" vertical="top" wrapText="1"/>
      <protection locked="0"/>
    </xf>
    <xf numFmtId="0" fontId="7" fillId="0" borderId="7" xfId="0" applyFont="1" applyBorder="1" applyProtection="1">
      <protection locked="0"/>
    </xf>
    <xf numFmtId="0" fontId="14" fillId="0" borderId="7" xfId="0" applyFont="1" applyBorder="1" applyAlignment="1" applyProtection="1">
      <alignment horizontal="center" vertical="center" wrapText="1"/>
      <protection locked="0"/>
    </xf>
    <xf numFmtId="168" fontId="10" fillId="0" borderId="18" xfId="0" applyNumberFormat="1" applyFont="1" applyBorder="1" applyAlignment="1" applyProtection="1">
      <alignment horizontal="center"/>
      <protection locked="0"/>
    </xf>
    <xf numFmtId="15" fontId="32" fillId="0" borderId="4" xfId="0" applyNumberFormat="1" applyFont="1" applyBorder="1" applyAlignment="1" applyProtection="1">
      <alignment horizontal="center"/>
      <protection locked="0"/>
    </xf>
    <xf numFmtId="0" fontId="31" fillId="2" borderId="29" xfId="0" applyFont="1" applyFill="1" applyBorder="1" applyAlignment="1">
      <alignment horizontal="right"/>
    </xf>
    <xf numFmtId="15" fontId="31" fillId="2" borderId="2" xfId="0" applyNumberFormat="1" applyFont="1" applyFill="1" applyBorder="1" applyAlignment="1">
      <alignment horizontal="left"/>
    </xf>
    <xf numFmtId="0" fontId="31" fillId="0" borderId="0" xfId="0" applyFont="1"/>
    <xf numFmtId="0" fontId="31" fillId="0" borderId="0" xfId="0" applyFont="1" applyAlignment="1">
      <alignment wrapText="1"/>
    </xf>
    <xf numFmtId="167" fontId="0" fillId="0" borderId="13" xfId="0" applyNumberFormat="1" applyBorder="1"/>
    <xf numFmtId="0" fontId="5" fillId="2" borderId="9" xfId="0" applyFont="1" applyFill="1" applyBorder="1" applyAlignment="1">
      <alignment horizontal="center"/>
    </xf>
    <xf numFmtId="0" fontId="0" fillId="2" borderId="5" xfId="0" applyFill="1" applyBorder="1" applyAlignment="1">
      <alignment horizontal="center"/>
    </xf>
    <xf numFmtId="0" fontId="0" fillId="2" borderId="10" xfId="0" applyFill="1" applyBorder="1" applyAlignment="1">
      <alignment horizontal="center"/>
    </xf>
    <xf numFmtId="0" fontId="31" fillId="0" borderId="0" xfId="0" applyFont="1" applyAlignment="1">
      <alignment horizontal="left" vertical="top" wrapText="1"/>
    </xf>
    <xf numFmtId="0" fontId="30" fillId="0" borderId="0" xfId="0" applyFont="1" applyAlignment="1">
      <alignment horizontal="left"/>
    </xf>
    <xf numFmtId="0" fontId="13" fillId="0" borderId="9" xfId="0" applyFont="1" applyBorder="1" applyAlignment="1" applyProtection="1">
      <alignment horizontal="left"/>
      <protection locked="0"/>
    </xf>
    <xf numFmtId="0" fontId="13" fillId="0" borderId="5" xfId="0" applyFont="1" applyBorder="1" applyAlignment="1" applyProtection="1">
      <alignment horizontal="left"/>
      <protection locked="0"/>
    </xf>
    <xf numFmtId="0" fontId="13" fillId="0" borderId="10" xfId="0" applyFont="1" applyBorder="1" applyAlignment="1" applyProtection="1">
      <alignment horizontal="left"/>
      <protection locked="0"/>
    </xf>
    <xf numFmtId="0" fontId="28" fillId="0" borderId="0" xfId="0" applyFont="1" applyAlignment="1">
      <alignment horizontal="right"/>
    </xf>
    <xf numFmtId="0" fontId="0" fillId="2" borderId="9" xfId="0" applyFill="1" applyBorder="1" applyAlignment="1">
      <alignment horizontal="center"/>
    </xf>
    <xf numFmtId="0" fontId="10" fillId="0" borderId="0" xfId="0" applyFont="1" applyAlignment="1">
      <alignment horizontal="right" vertical="center"/>
    </xf>
    <xf numFmtId="0" fontId="6" fillId="0" borderId="0" xfId="0" applyFont="1" applyAlignment="1">
      <alignment horizontal="center" wrapText="1"/>
    </xf>
    <xf numFmtId="0" fontId="10" fillId="0" borderId="0" xfId="0" applyFont="1" applyAlignment="1">
      <alignment horizontal="center" vertical="center"/>
    </xf>
    <xf numFmtId="0" fontId="5" fillId="0" borderId="0" xfId="0" applyFont="1" applyAlignment="1">
      <alignment horizontal="right" vertical="top"/>
    </xf>
    <xf numFmtId="0" fontId="0" fillId="0" borderId="0" xfId="0" applyAlignment="1">
      <alignment horizontal="right" vertical="top"/>
    </xf>
    <xf numFmtId="15" fontId="0" fillId="0" borderId="0" xfId="0" applyNumberFormat="1" applyAlignment="1">
      <alignment horizontal="left" vertical="top"/>
    </xf>
    <xf numFmtId="0" fontId="0" fillId="0" borderId="0" xfId="0" applyAlignment="1">
      <alignment horizontal="left" vertical="top"/>
    </xf>
    <xf numFmtId="0" fontId="21" fillId="0" borderId="18" xfId="0" applyFont="1" applyBorder="1" applyAlignment="1">
      <alignment horizontal="center" vertical="center"/>
    </xf>
    <xf numFmtId="167" fontId="12" fillId="0" borderId="20" xfId="0" applyNumberFormat="1" applyFont="1" applyBorder="1" applyAlignment="1">
      <alignment horizontal="center" vertical="center"/>
    </xf>
    <xf numFmtId="0" fontId="10" fillId="0" borderId="0" xfId="0" applyFont="1" applyAlignment="1">
      <alignment horizontal="center" vertical="center" wrapText="1"/>
    </xf>
    <xf numFmtId="0" fontId="10" fillId="0" borderId="5" xfId="0" applyFont="1" applyBorder="1" applyAlignment="1" applyProtection="1">
      <alignment horizontal="left"/>
      <protection locked="0"/>
    </xf>
    <xf numFmtId="0" fontId="12" fillId="0" borderId="18" xfId="0" applyFont="1" applyBorder="1" applyAlignment="1" applyProtection="1">
      <alignment horizontal="left"/>
      <protection locked="0"/>
    </xf>
    <xf numFmtId="168" fontId="10" fillId="0" borderId="0" xfId="0" applyNumberFormat="1" applyFont="1" applyAlignment="1">
      <alignment horizontal="left" vertical="center"/>
    </xf>
    <xf numFmtId="0" fontId="10" fillId="0" borderId="18" xfId="0" applyFont="1" applyBorder="1" applyAlignment="1" applyProtection="1">
      <alignment horizontal="left"/>
      <protection locked="0"/>
    </xf>
    <xf numFmtId="0" fontId="5" fillId="0" borderId="22" xfId="0" applyFont="1" applyBorder="1" applyAlignment="1">
      <alignment horizontal="right"/>
    </xf>
    <xf numFmtId="0" fontId="0" fillId="0" borderId="18" xfId="0" applyBorder="1" applyAlignment="1">
      <alignment horizontal="right"/>
    </xf>
    <xf numFmtId="0" fontId="0" fillId="0" borderId="8" xfId="0" applyBorder="1" applyAlignment="1">
      <alignment horizontal="right"/>
    </xf>
    <xf numFmtId="15" fontId="0" fillId="0" borderId="22" xfId="0" applyNumberFormat="1" applyBorder="1" applyAlignment="1">
      <alignment horizontal="left"/>
    </xf>
    <xf numFmtId="0" fontId="0" fillId="0" borderId="18" xfId="0" applyBorder="1" applyAlignment="1">
      <alignment horizontal="left"/>
    </xf>
    <xf numFmtId="0" fontId="0" fillId="0" borderId="8" xfId="0" applyBorder="1" applyAlignment="1">
      <alignment horizontal="left"/>
    </xf>
    <xf numFmtId="0" fontId="10" fillId="0" borderId="18" xfId="0" applyFont="1" applyBorder="1" applyProtection="1">
      <protection locked="0"/>
    </xf>
    <xf numFmtId="168" fontId="10" fillId="0" borderId="18" xfId="0" applyNumberFormat="1" applyFont="1" applyBorder="1" applyAlignment="1" applyProtection="1">
      <alignment horizontal="center"/>
      <protection locked="0"/>
    </xf>
    <xf numFmtId="0" fontId="8" fillId="0" borderId="5" xfId="0" applyFont="1" applyBorder="1" applyAlignment="1" applyProtection="1">
      <alignment horizontal="left"/>
      <protection locked="0"/>
    </xf>
    <xf numFmtId="0" fontId="6" fillId="0" borderId="20" xfId="0" applyFont="1" applyBorder="1" applyAlignment="1">
      <alignment horizontal="center" vertical="top"/>
    </xf>
    <xf numFmtId="0" fontId="9" fillId="0" borderId="0" xfId="0" applyFont="1" applyAlignment="1">
      <alignment horizontal="center"/>
    </xf>
    <xf numFmtId="18" fontId="23" fillId="0" borderId="18" xfId="0" applyNumberFormat="1" applyFont="1" applyBorder="1" applyAlignment="1">
      <alignment horizontal="center" wrapText="1"/>
    </xf>
    <xf numFmtId="0" fontId="19" fillId="0" borderId="0" xfId="0" applyFont="1" applyAlignment="1">
      <alignment horizontal="center" vertical="top"/>
    </xf>
    <xf numFmtId="0" fontId="19" fillId="0" borderId="0" xfId="0" applyFont="1" applyAlignment="1">
      <alignment horizontal="center"/>
    </xf>
    <xf numFmtId="0" fontId="0" fillId="0" borderId="18" xfId="0" applyBorder="1" applyAlignment="1" applyProtection="1">
      <alignment horizontal="left"/>
      <protection locked="0"/>
    </xf>
    <xf numFmtId="0" fontId="29" fillId="0" borderId="18" xfId="0" applyFont="1" applyBorder="1" applyAlignment="1" applyProtection="1">
      <alignment horizontal="left"/>
      <protection locked="0"/>
    </xf>
    <xf numFmtId="0" fontId="7" fillId="0" borderId="18" xfId="0" applyFont="1" applyBorder="1" applyAlignment="1" applyProtection="1">
      <alignment horizontal="center" wrapText="1"/>
      <protection locked="0"/>
    </xf>
    <xf numFmtId="168" fontId="10" fillId="0" borderId="18" xfId="0" applyNumberFormat="1" applyFont="1" applyBorder="1" applyAlignment="1" applyProtection="1">
      <alignment horizontal="left"/>
      <protection locked="0"/>
    </xf>
    <xf numFmtId="169" fontId="12" fillId="0" borderId="5" xfId="0" applyNumberFormat="1" applyFont="1" applyBorder="1" applyAlignment="1" applyProtection="1">
      <alignment horizontal="left"/>
      <protection locked="0"/>
    </xf>
    <xf numFmtId="168" fontId="10" fillId="0" borderId="18" xfId="0" applyNumberFormat="1" applyFont="1" applyBorder="1" applyAlignment="1">
      <alignment horizontal="center"/>
    </xf>
    <xf numFmtId="0" fontId="7" fillId="0" borderId="18" xfId="0" applyFont="1" applyBorder="1" applyAlignment="1" applyProtection="1">
      <alignment horizontal="left" wrapText="1"/>
      <protection locked="0"/>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15">
    <dxf>
      <font>
        <color theme="0"/>
      </font>
      <fill>
        <patternFill patternType="none">
          <bgColor auto="1"/>
        </patternFill>
      </fill>
      <border>
        <start/>
        <end/>
        <top/>
        <bottom/>
      </border>
    </dxf>
    <dxf>
      <font>
        <color theme="0"/>
      </font>
      <fill>
        <patternFill patternType="none">
          <bgColor auto="1"/>
        </patternFill>
      </fill>
      <border>
        <start/>
        <end/>
        <top/>
        <bottom/>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start/>
        <end/>
        <top/>
        <bottom/>
      </border>
    </dxf>
    <dxf>
      <font>
        <color theme="0"/>
      </font>
      <fill>
        <patternFill patternType="none">
          <bgColor auto="1"/>
        </patternFill>
      </fill>
      <border>
        <start/>
        <end/>
        <top/>
        <bottom/>
      </border>
    </dxf>
    <dxf>
      <font>
        <color theme="0"/>
      </font>
      <fill>
        <patternFill patternType="none">
          <bgColor auto="1"/>
        </patternFill>
      </fill>
      <border>
        <start/>
        <end/>
        <top/>
        <bottom/>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start/>
        <end/>
        <top/>
        <bottom/>
      </border>
    </dxf>
    <dxf>
      <font>
        <color theme="0"/>
      </font>
      <fill>
        <patternFill patternType="none">
          <bgColor auto="1"/>
        </patternFill>
      </fill>
      <border>
        <start/>
        <end/>
        <top/>
        <bottom/>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start/>
        <end/>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sharedStrings" Target="sharedStrings.xml"/><Relationship Id="rId3" Type="http://purl.oclc.org/ooxml/officeDocument/relationships/worksheet" Target="worksheets/sheet3.xml"/><Relationship Id="rId7" Type="http://purl.oclc.org/ooxml/officeDocument/relationships/styles" Target="styles.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theme" Target="theme/theme1.xml"/><Relationship Id="rId5" Type="http://purl.oclc.org/ooxml/officeDocument/relationships/worksheet" Target="worksheets/sheet5.xml"/><Relationship Id="rId4" Type="http://purl.oclc.org/ooxml/officeDocument/relationships/worksheet" Target="worksheets/sheet4.xml"/><Relationship Id="rId9" Type="http://purl.oclc.org/ooxml/officeDocument/relationships/calcChain" Target="calcChain.xml"/></Relationships>
</file>

<file path=xl/drawings/_rels/drawing2.xml.rels><?xml version="1.0" encoding="UTF-8" standalone="yes"?>
<Relationships xmlns="http://schemas.openxmlformats.org/package/2006/relationships"><Relationship Id="rId1" Type="http://purl.oclc.org/ooxml/officeDocument/relationships/image" Target="../media/image1.png"/></Relationships>
</file>

<file path=xl/drawings/_rels/drawing3.xml.rels><?xml version="1.0" encoding="UTF-8" standalone="yes"?>
<Relationships xmlns="http://schemas.openxmlformats.org/package/2006/relationships"><Relationship Id="rId1" Type="http://purl.oclc.org/ooxml/officeDocument/relationships/image" Target="../media/image1.png"/></Relationships>
</file>

<file path=xl/drawings/_rels/drawing4.xml.rels><?xml version="1.0" encoding="UTF-8" standalone="yes"?>
<Relationships xmlns="http://schemas.openxmlformats.org/package/2006/relationships"><Relationship Id="rId1" Type="http://purl.oclc.org/ooxml/officeDocument/relationships/image" Target="../media/image1.png"/></Relationships>
</file>

<file path=xl/drawings/_rels/drawing5.xml.rels><?xml version="1.0" encoding="UTF-8" standalone="yes"?>
<Relationships xmlns="http://schemas.openxmlformats.org/package/2006/relationships"><Relationship Id="rId1" Type="http://purl.oclc.org/ooxml/officeDocument/relationships/image" Target="../media/image1.png"/></Relationships>
</file>

<file path=xl/drawings/drawing1.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3</xdr:col>
          <xdr:colOff>165100</xdr:colOff>
          <xdr:row>2</xdr:row>
          <xdr:rowOff>38100</xdr:rowOff>
        </xdr:from>
        <xdr:to>
          <xdr:col>4</xdr:col>
          <xdr:colOff>838200</xdr:colOff>
          <xdr:row>6</xdr:row>
          <xdr:rowOff>165100</xdr:rowOff>
        </xdr:to>
        <xdr:sp macro="" textlink="">
          <xdr:nvSpPr>
            <xdr:cNvPr id="1025" name="Comment 10" hidden="1">
              <a:extLst>
                <a:ext uri="{FF2B5EF4-FFF2-40B4-BE49-F238E27FC236}">
                  <a16:creationId xmlns:a16="http://schemas.microsoft.com/office/drawing/2014/main" id="{811AB5CD-D084-954D-8092-ABECA0C3AB17}"/>
                </a:ext>
              </a:extLst>
            </xdr:cNvPr>
            <xdr:cNvSpPr txBox="1">
              <a:spLocks noChangeArrowheads="1"/>
            </xdr:cNvSpPr>
          </xdr:nvSpPr>
          <xdr:spPr bwMode="auto">
            <a:xfrm>
              <a:off x="2247900" y="457200"/>
              <a:ext cx="1308100" cy="8636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1" i="0" u="none" strike="noStrike" baseline="0%">
                  <a:solidFill>
                    <a:srgbClr val="000000"/>
                  </a:solidFill>
                  <a:latin typeface="Tahoma" pitchFamily="2" charset="0"/>
                  <a:ea typeface="Tahoma" pitchFamily="2" charset="0"/>
                  <a:cs typeface="Tahoma" pitchFamily="2" charset="0"/>
                </a:rPr>
                <a:t>Stephen Hinde:</a:t>
              </a:r>
              <a:r>
                <a:rPr lang="en-US" sz="1000" b="0" i="0" u="none" strike="noStrike" baseline="0%">
                  <a:solidFill>
                    <a:srgbClr val="000000"/>
                  </a:solidFill>
                  <a:latin typeface="Tahoma" pitchFamily="2" charset="0"/>
                  <a:ea typeface="Tahoma" pitchFamily="2" charset="0"/>
                  <a:cs typeface="Tahoma" pitchFamily="2" charset="0"/>
                </a:rPr>
                <a:t>Revision date of the brevet details on this sheet</a:t>
              </a:r>
            </a:p>
            <a:p>
              <a:pPr algn="l" rtl="0">
                <a:defRPr sz="1000"/>
              </a:pPr>
              <a:endParaRPr lang="en-US" sz="10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165100</xdr:colOff>
          <xdr:row>4</xdr:row>
          <xdr:rowOff>38100</xdr:rowOff>
        </xdr:from>
        <xdr:to>
          <xdr:col>4</xdr:col>
          <xdr:colOff>825500</xdr:colOff>
          <xdr:row>7</xdr:row>
          <xdr:rowOff>25400</xdr:rowOff>
        </xdr:to>
        <xdr:sp macro="" textlink="">
          <xdr:nvSpPr>
            <xdr:cNvPr id="1026" name="Comment 7" hidden="1">
              <a:extLst>
                <a:ext uri="{FF2B5EF4-FFF2-40B4-BE49-F238E27FC236}">
                  <a16:creationId xmlns:a16="http://schemas.microsoft.com/office/drawing/2014/main" id="{88EFDC7D-A847-0A47-83FD-0C12D5E191C5}"/>
                </a:ext>
              </a:extLst>
            </xdr:cNvPr>
            <xdr:cNvSpPr txBox="1">
              <a:spLocks noChangeArrowheads="1"/>
            </xdr:cNvSpPr>
          </xdr:nvSpPr>
          <xdr:spPr bwMode="auto">
            <a:xfrm>
              <a:off x="2247900" y="787400"/>
              <a:ext cx="1295400" cy="5715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1" i="0" u="none" strike="noStrike" baseline="0%">
                  <a:solidFill>
                    <a:srgbClr val="000000"/>
                  </a:solidFill>
                  <a:latin typeface="Tahoma" pitchFamily="2" charset="0"/>
                  <a:ea typeface="Tahoma" pitchFamily="2" charset="0"/>
                  <a:cs typeface="Tahoma" pitchFamily="2" charset="0"/>
                </a:rPr>
                <a:t>Stephen Hinde:</a:t>
              </a:r>
              <a:endParaRPr lang="en-US" sz="10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1000" b="0" i="0" u="none" strike="noStrike" baseline="0%">
                  <a:solidFill>
                    <a:srgbClr val="000000"/>
                  </a:solidFill>
                  <a:latin typeface="Tahoma" pitchFamily="2" charset="0"/>
                  <a:ea typeface="Tahoma" pitchFamily="2" charset="0"/>
                  <a:cs typeface="Tahoma" pitchFamily="2" charset="0"/>
                </a:rPr>
                <a:t>Nominal ACP distance</a:t>
              </a:r>
            </a:p>
            <a:p>
              <a:pPr algn="l" rtl="0">
                <a:defRPr sz="1000"/>
              </a:pPr>
              <a:endParaRPr lang="en-US" sz="10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1000" b="0" i="0" u="none" strike="noStrike" baseline="0%">
                  <a:solidFill>
                    <a:srgbClr val="000000"/>
                  </a:solidFill>
                  <a:latin typeface="Tahoma" pitchFamily="2" charset="0"/>
                  <a:ea typeface="Tahoma" pitchFamily="2" charset="0"/>
                  <a:cs typeface="Tahoma" pitchFamily="2" charset="0"/>
                </a:rPr>
                <a:t>eg 200, 300, 400, 600</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165100</xdr:colOff>
          <xdr:row>5</xdr:row>
          <xdr:rowOff>76200</xdr:rowOff>
        </xdr:from>
        <xdr:to>
          <xdr:col>4</xdr:col>
          <xdr:colOff>927100</xdr:colOff>
          <xdr:row>7</xdr:row>
          <xdr:rowOff>114300</xdr:rowOff>
        </xdr:to>
        <xdr:sp macro="" textlink="">
          <xdr:nvSpPr>
            <xdr:cNvPr id="1027" name="Comment 3" hidden="1">
              <a:extLst>
                <a:ext uri="{FF2B5EF4-FFF2-40B4-BE49-F238E27FC236}">
                  <a16:creationId xmlns:a16="http://schemas.microsoft.com/office/drawing/2014/main" id="{2AAC7C2C-527E-7946-A88D-9037D9C7083A}"/>
                </a:ext>
              </a:extLst>
            </xdr:cNvPr>
            <xdr:cNvSpPr txBox="1">
              <a:spLocks noChangeArrowheads="1"/>
            </xdr:cNvSpPr>
          </xdr:nvSpPr>
          <xdr:spPr bwMode="auto">
            <a:xfrm>
              <a:off x="2247900" y="1003300"/>
              <a:ext cx="1397000" cy="444500"/>
            </a:xfrm>
            <a:prstGeom prst="rect">
              <a:avLst/>
            </a:prstGeom>
            <a:solidFill>
              <a:srgbClr val="FFFFA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18288" tIns="18288" rIns="0" bIns="0" anchor="t"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Autocalculated based on ACP specified times</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165100</xdr:colOff>
          <xdr:row>7</xdr:row>
          <xdr:rowOff>114300</xdr:rowOff>
        </xdr:from>
        <xdr:to>
          <xdr:col>4</xdr:col>
          <xdr:colOff>825500</xdr:colOff>
          <xdr:row>12</xdr:row>
          <xdr:rowOff>203200</xdr:rowOff>
        </xdr:to>
        <xdr:sp macro="" textlink="">
          <xdr:nvSpPr>
            <xdr:cNvPr id="1028" name="Comment 6" hidden="1">
              <a:extLst>
                <a:ext uri="{FF2B5EF4-FFF2-40B4-BE49-F238E27FC236}">
                  <a16:creationId xmlns:a16="http://schemas.microsoft.com/office/drawing/2014/main" id="{1A935822-0833-FC4E-9820-06C8E19121CF}"/>
                </a:ext>
              </a:extLst>
            </xdr:cNvPr>
            <xdr:cNvSpPr txBox="1">
              <a:spLocks noChangeArrowheads="1"/>
            </xdr:cNvSpPr>
          </xdr:nvSpPr>
          <xdr:spPr bwMode="auto">
            <a:xfrm>
              <a:off x="2247900" y="1447800"/>
              <a:ext cx="1295400" cy="10922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1" i="0" u="none" strike="noStrike" baseline="0%">
                  <a:solidFill>
                    <a:srgbClr val="000000"/>
                  </a:solidFill>
                  <a:latin typeface="Tahoma" pitchFamily="2" charset="0"/>
                  <a:ea typeface="Tahoma" pitchFamily="2" charset="0"/>
                  <a:cs typeface="Tahoma" pitchFamily="2" charset="0"/>
                </a:rPr>
                <a:t>Stephen Hinde:</a:t>
              </a:r>
              <a:endParaRPr lang="en-US" sz="10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1000" b="0" i="0" u="none" strike="noStrike" baseline="0%">
                  <a:solidFill>
                    <a:srgbClr val="000000"/>
                  </a:solidFill>
                  <a:latin typeface="Tahoma" pitchFamily="2" charset="0"/>
                  <a:ea typeface="Tahoma" pitchFamily="2" charset="0"/>
                  <a:cs typeface="Tahoma" pitchFamily="2" charset="0"/>
                </a:rPr>
                <a:t>On event page</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165100</xdr:colOff>
          <xdr:row>7</xdr:row>
          <xdr:rowOff>63500</xdr:rowOff>
        </xdr:from>
        <xdr:to>
          <xdr:col>4</xdr:col>
          <xdr:colOff>825500</xdr:colOff>
          <xdr:row>12</xdr:row>
          <xdr:rowOff>25400</xdr:rowOff>
        </xdr:to>
        <xdr:sp macro="" textlink="">
          <xdr:nvSpPr>
            <xdr:cNvPr id="1029" name="Comment 4" hidden="1">
              <a:extLst>
                <a:ext uri="{FF2B5EF4-FFF2-40B4-BE49-F238E27FC236}">
                  <a16:creationId xmlns:a16="http://schemas.microsoft.com/office/drawing/2014/main" id="{0D4BFA2B-80EF-E045-B387-440D99EEAFEA}"/>
                </a:ext>
              </a:extLst>
            </xdr:cNvPr>
            <xdr:cNvSpPr txBox="1">
              <a:spLocks noChangeArrowheads="1"/>
            </xdr:cNvSpPr>
          </xdr:nvSpPr>
          <xdr:spPr bwMode="auto">
            <a:xfrm>
              <a:off x="2247900" y="1397000"/>
              <a:ext cx="1295400" cy="9652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1" i="0" u="none" strike="noStrike" baseline="0%">
                  <a:solidFill>
                    <a:srgbClr val="000000"/>
                  </a:solidFill>
                  <a:latin typeface="Tahoma" pitchFamily="2" charset="0"/>
                  <a:ea typeface="Tahoma" pitchFamily="2" charset="0"/>
                  <a:cs typeface="Tahoma" pitchFamily="2" charset="0"/>
                </a:rPr>
                <a:t>Stephen Hinde:</a:t>
              </a:r>
              <a:endParaRPr lang="en-US" sz="10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1000" b="0" i="0" u="none" strike="noStrike" baseline="0%">
                  <a:solidFill>
                    <a:srgbClr val="000000"/>
                  </a:solidFill>
                  <a:latin typeface="Tahoma" pitchFamily="2" charset="0"/>
                  <a:ea typeface="Tahoma" pitchFamily="2" charset="0"/>
                  <a:cs typeface="Tahoma" pitchFamily="2" charset="0"/>
                </a:rPr>
                <a:t>Official ACP date</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165100</xdr:colOff>
          <xdr:row>8</xdr:row>
          <xdr:rowOff>127000</xdr:rowOff>
        </xdr:from>
        <xdr:to>
          <xdr:col>4</xdr:col>
          <xdr:colOff>825500</xdr:colOff>
          <xdr:row>14</xdr:row>
          <xdr:rowOff>127000</xdr:rowOff>
        </xdr:to>
        <xdr:sp macro="" textlink="">
          <xdr:nvSpPr>
            <xdr:cNvPr id="1030" name="Comment 8" hidden="1">
              <a:extLst>
                <a:ext uri="{FF2B5EF4-FFF2-40B4-BE49-F238E27FC236}">
                  <a16:creationId xmlns:a16="http://schemas.microsoft.com/office/drawing/2014/main" id="{1607EC0B-542A-BE40-A381-2D0C30FA6F51}"/>
                </a:ext>
              </a:extLst>
            </xdr:cNvPr>
            <xdr:cNvSpPr txBox="1">
              <a:spLocks noChangeArrowheads="1"/>
            </xdr:cNvSpPr>
          </xdr:nvSpPr>
          <xdr:spPr bwMode="auto">
            <a:xfrm>
              <a:off x="2247900" y="1701800"/>
              <a:ext cx="1295400" cy="11811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1" i="0" u="none" strike="noStrike" baseline="0%">
                  <a:solidFill>
                    <a:srgbClr val="000000"/>
                  </a:solidFill>
                  <a:latin typeface="Tahoma" pitchFamily="2" charset="0"/>
                  <a:ea typeface="Tahoma" pitchFamily="2" charset="0"/>
                  <a:cs typeface="Tahoma" pitchFamily="2" charset="0"/>
                </a:rPr>
                <a:t>Stephen Hinde:</a:t>
              </a:r>
              <a:endParaRPr lang="en-US" sz="10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1000" b="0" i="0" u="none" strike="noStrike" baseline="0%">
                  <a:solidFill>
                    <a:srgbClr val="000000"/>
                  </a:solidFill>
                  <a:latin typeface="Tahoma" pitchFamily="2" charset="0"/>
                  <a:ea typeface="Tahoma" pitchFamily="2" charset="0"/>
                  <a:cs typeface="Tahoma" pitchFamily="2" charset="0"/>
                </a:rPr>
                <a:t>Ride date</a:t>
              </a:r>
            </a:p>
            <a:p>
              <a:pPr algn="l" rtl="0">
                <a:defRPr sz="1000"/>
              </a:pPr>
              <a:endParaRPr lang="en-US" sz="10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165100</xdr:colOff>
          <xdr:row>11</xdr:row>
          <xdr:rowOff>88900</xdr:rowOff>
        </xdr:from>
        <xdr:to>
          <xdr:col>4</xdr:col>
          <xdr:colOff>838200</xdr:colOff>
          <xdr:row>14</xdr:row>
          <xdr:rowOff>203200</xdr:rowOff>
        </xdr:to>
        <xdr:sp macro="" textlink="">
          <xdr:nvSpPr>
            <xdr:cNvPr id="1031" name="Comment 9" hidden="1">
              <a:extLst>
                <a:ext uri="{FF2B5EF4-FFF2-40B4-BE49-F238E27FC236}">
                  <a16:creationId xmlns:a16="http://schemas.microsoft.com/office/drawing/2014/main" id="{A9E71865-8125-BC43-9103-6E73D457793E}"/>
                </a:ext>
              </a:extLst>
            </xdr:cNvPr>
            <xdr:cNvSpPr txBox="1">
              <a:spLocks noChangeArrowheads="1"/>
            </xdr:cNvSpPr>
          </xdr:nvSpPr>
          <xdr:spPr bwMode="auto">
            <a:xfrm>
              <a:off x="2247900" y="2197100"/>
              <a:ext cx="1308100" cy="7620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1" i="0" u="none" strike="noStrike" baseline="0%">
                  <a:solidFill>
                    <a:srgbClr val="000000"/>
                  </a:solidFill>
                  <a:latin typeface="Tahoma" pitchFamily="2" charset="0"/>
                  <a:ea typeface="Tahoma" pitchFamily="2" charset="0"/>
                  <a:cs typeface="Tahoma" pitchFamily="2" charset="0"/>
                </a:rPr>
                <a:t>Stephen Hinde:</a:t>
              </a:r>
              <a:endParaRPr lang="en-US" sz="10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1000" b="0" i="0" u="none" strike="noStrike" baseline="0%">
                  <a:solidFill>
                    <a:srgbClr val="000000"/>
                  </a:solidFill>
                  <a:latin typeface="Tahoma" pitchFamily="2" charset="0"/>
                  <a:ea typeface="Tahoma" pitchFamily="2" charset="0"/>
                  <a:cs typeface="Tahoma" pitchFamily="2" charset="0"/>
                </a:rPr>
                <a:t>24hr clock format</a:t>
              </a:r>
            </a:p>
            <a:p>
              <a:pPr algn="l" rtl="0">
                <a:defRPr sz="1000"/>
              </a:pPr>
              <a:r>
                <a:rPr lang="en-US" sz="1000" b="0" i="0" u="none" strike="noStrike" baseline="0%">
                  <a:solidFill>
                    <a:srgbClr val="000000"/>
                  </a:solidFill>
                  <a:latin typeface="Tahoma" pitchFamily="2" charset="0"/>
                  <a:ea typeface="Tahoma" pitchFamily="2" charset="0"/>
                  <a:cs typeface="Tahoma" pitchFamily="2" charset="0"/>
                </a:rPr>
                <a:t>hh:mm</a:t>
              </a:r>
            </a:p>
          </xdr:txBody>
        </xdr:sp>
        <xdr:clientData/>
      </xdr:twoCellAnchor>
    </mc:Fallback>
  </mc:AlternateContent>
</xdr:wsDr>
</file>

<file path=xl/drawings/drawing2.xml><?xml version="1.0" encoding="utf-8"?>
<xdr:wsDr xmlns:xdr="http://purl.oclc.org/ooxml/drawingml/spreadsheetDrawing" xmlns:a="http://purl.oclc.org/ooxml/drawingml/main">
  <xdr:twoCellAnchor editAs="oneCell">
    <xdr:from>
      <xdr:col>8</xdr:col>
      <xdr:colOff>660400</xdr:colOff>
      <xdr:row>1</xdr:row>
      <xdr:rowOff>224693</xdr:rowOff>
    </xdr:from>
    <xdr:to>
      <xdr:col>11</xdr:col>
      <xdr:colOff>406400</xdr:colOff>
      <xdr:row>5</xdr:row>
      <xdr:rowOff>275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purl.oclc.org/ooxml/officeDocument/relationships" r:embed="rId1"/>
        <a:stretch>
          <a:fillRect/>
        </a:stretch>
      </xdr:blipFill>
      <xdr:spPr>
        <a:xfrm>
          <a:off x="11113477" y="485206"/>
          <a:ext cx="1992923" cy="1566607"/>
        </a:xfrm>
        <a:prstGeom prst="rect">
          <a:avLst/>
        </a:prstGeom>
      </xdr:spPr>
    </xdr:pic>
    <xdr:clientData/>
  </xdr:twoCellAnchor>
</xdr:wsDr>
</file>

<file path=xl/drawings/drawing3.xml><?xml version="1.0" encoding="utf-8"?>
<xdr:wsDr xmlns:xdr="http://purl.oclc.org/ooxml/drawingml/spreadsheetDrawing" xmlns:a="http://purl.oclc.org/ooxml/drawingml/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purl.oclc.org/ooxml/officeDocument/relationships" r:embed="rId1"/>
        <a:stretch>
          <a:fillRect/>
        </a:stretch>
      </xdr:blipFill>
      <xdr:spPr>
        <a:xfrm>
          <a:off x="11099800" y="465993"/>
          <a:ext cx="2006600" cy="1566282"/>
        </a:xfrm>
        <a:prstGeom prst="rect">
          <a:avLst/>
        </a:prstGeom>
      </xdr:spPr>
    </xdr:pic>
    <xdr:clientData/>
  </xdr:twoCellAnchor>
</xdr:wsDr>
</file>

<file path=xl/drawings/drawing4.xml><?xml version="1.0" encoding="utf-8"?>
<xdr:wsDr xmlns:xdr="http://purl.oclc.org/ooxml/drawingml/spreadsheetDrawing" xmlns:a="http://purl.oclc.org/ooxml/drawingml/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7243A14B-4D96-E346-B75C-AEE5C2592045}"/>
            </a:ext>
          </a:extLst>
        </xdr:cNvPr>
        <xdr:cNvPicPr>
          <a:picLocks noChangeAspect="1"/>
        </xdr:cNvPicPr>
      </xdr:nvPicPr>
      <xdr:blipFill>
        <a:blip xmlns:r="http://purl.oclc.org/ooxml/officeDocument/relationships" r:embed="rId1"/>
        <a:stretch>
          <a:fillRect/>
        </a:stretch>
      </xdr:blipFill>
      <xdr:spPr>
        <a:xfrm>
          <a:off x="11099800" y="491393"/>
          <a:ext cx="2006600" cy="1566282"/>
        </a:xfrm>
        <a:prstGeom prst="rect">
          <a:avLst/>
        </a:prstGeom>
      </xdr:spPr>
    </xdr:pic>
    <xdr:clientData/>
  </xdr:twoCellAnchor>
</xdr:wsDr>
</file>

<file path=xl/drawings/drawing5.xml><?xml version="1.0" encoding="utf-8"?>
<xdr:wsDr xmlns:xdr="http://purl.oclc.org/ooxml/drawingml/spreadsheetDrawing" xmlns:a="http://purl.oclc.org/ooxml/drawingml/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5EEAACE2-AD57-BD48-BB33-9A5E9F368AED}"/>
            </a:ext>
          </a:extLst>
        </xdr:cNvPr>
        <xdr:cNvPicPr>
          <a:picLocks noChangeAspect="1"/>
        </xdr:cNvPicPr>
      </xdr:nvPicPr>
      <xdr:blipFill>
        <a:blip xmlns:r="http://purl.oclc.org/ooxml/officeDocument/relationships" r:embed="rId1"/>
        <a:stretch>
          <a:fillRect/>
        </a:stretch>
      </xdr:blipFill>
      <xdr:spPr>
        <a:xfrm>
          <a:off x="11099800" y="491393"/>
          <a:ext cx="2006600" cy="1566282"/>
        </a:xfrm>
        <a:prstGeom prst="rect">
          <a:avLst/>
        </a:prstGeom>
      </xdr:spPr>
    </xdr:pic>
    <xdr:clientData/>
  </xdr:twoCellAnchor>
</xdr:wsDr>
</file>

<file path=xl/theme/theme1.xml><?xml version="1.0" encoding="utf-8"?>
<a:theme xmlns:a="http://purl.oclc.org/ooxml/drawingml/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tint val="100%"/>
                <a:shade val="100%"/>
                <a:satMod val="130%"/>
              </a:schemeClr>
            </a:gs>
            <a:gs pos="100%">
              <a:schemeClr val="phClr">
                <a:tint val="50%"/>
                <a:shade val="100%"/>
                <a:satMod val="350%"/>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purl.oclc.org/ooxml/officeDocument/relationships/comments" Target="../comments1.xml"/><Relationship Id="rId2" Type="http://schemas.openxmlformats.org/officeDocument/2006/relationships/vmlDrawing" Target="../drawings/vmlDrawing1.vml"/><Relationship Id="rId1" Type="http://purl.oclc.org/ooxml/officeDocument/relationships/drawing" Target="../drawings/drawing1.xml"/></Relationships>
</file>

<file path=xl/worksheets/_rels/sheet2.xml.rels><?xml version="1.0" encoding="UTF-8" standalone="yes"?>
<Relationships xmlns="http://schemas.openxmlformats.org/package/2006/relationships"><Relationship Id="rId1" Type="http://purl.oclc.org/ooxml/officeDocument/relationships/drawing" Target="../drawings/drawing2.xml"/></Relationships>
</file>

<file path=xl/worksheets/_rels/sheet3.xml.rels><?xml version="1.0" encoding="UTF-8" standalone="yes"?>
<Relationships xmlns="http://schemas.openxmlformats.org/package/2006/relationships"><Relationship Id="rId1" Type="http://purl.oclc.org/ooxml/officeDocument/relationships/drawing" Target="../drawings/drawing3.xml"/></Relationships>
</file>

<file path=xl/worksheets/_rels/sheet4.xml.rels><?xml version="1.0" encoding="UTF-8" standalone="yes"?>
<Relationships xmlns="http://schemas.openxmlformats.org/package/2006/relationships"><Relationship Id="rId1" Type="http://purl.oclc.org/ooxml/officeDocument/relationships/drawing" Target="../drawings/drawing4.xml"/></Relationships>
</file>

<file path=xl/worksheets/_rels/sheet5.xml.rels><?xml version="1.0" encoding="UTF-8" standalone="yes"?>
<Relationships xmlns="http://schemas.openxmlformats.org/package/2006/relationships"><Relationship Id="rId1" Type="http://purl.oclc.org/ooxml/officeDocument/relationships/drawing" Target="../drawings/drawing5.xml"/></Relationships>
</file>

<file path=xl/worksheets/sheet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3"/>
  <sheetViews>
    <sheetView showGridLines="0" tabSelected="1" zoomScale="150" zoomScaleNormal="150" zoomScalePageLayoutView="135" workbookViewId="0">
      <selection activeCell="B6" sqref="B6"/>
    </sheetView>
  </sheetViews>
  <sheetFormatPr baseColWidth="10" defaultColWidth="8.83203125" defaultRowHeight="13" x14ac:dyDescent="0.15"/>
  <cols>
    <col min="1" max="1" width="16.5" style="2" customWidth="1"/>
    <col min="2" max="2" width="10.83203125" customWidth="1"/>
    <col min="3" max="3" width="1" style="3" hidden="1" customWidth="1"/>
    <col min="4" max="4" width="8.33203125" customWidth="1"/>
    <col min="5" max="5" width="17" bestFit="1" customWidth="1"/>
    <col min="6" max="11" width="34.1640625" customWidth="1"/>
    <col min="12" max="15" width="17.83203125" hidden="1" customWidth="1"/>
  </cols>
  <sheetData>
    <row r="1" spans="1:26" ht="20" customHeight="1" x14ac:dyDescent="0.2">
      <c r="A1" s="101" t="s">
        <v>83</v>
      </c>
      <c r="B1" s="101"/>
      <c r="C1" s="101"/>
      <c r="D1" s="101"/>
      <c r="E1" s="101"/>
      <c r="F1" s="101"/>
      <c r="G1" s="101"/>
      <c r="H1" s="101"/>
      <c r="I1" s="77" t="s">
        <v>85</v>
      </c>
      <c r="Q1" s="100" t="s">
        <v>89</v>
      </c>
      <c r="R1" s="100"/>
      <c r="S1" s="100"/>
      <c r="T1" s="100"/>
      <c r="U1" s="100"/>
      <c r="V1" s="100"/>
      <c r="W1" s="100"/>
      <c r="X1" s="100"/>
      <c r="Y1" s="100"/>
      <c r="Z1" s="100"/>
    </row>
    <row r="2" spans="1:26" ht="13" customHeight="1" thickBot="1" x14ac:dyDescent="0.2">
      <c r="H2" s="83"/>
      <c r="I2" s="83"/>
      <c r="Q2" s="100"/>
      <c r="R2" s="100"/>
      <c r="S2" s="100"/>
      <c r="T2" s="100"/>
      <c r="U2" s="100"/>
      <c r="V2" s="100"/>
      <c r="W2" s="100"/>
      <c r="X2" s="100"/>
      <c r="Y2" s="100"/>
      <c r="Z2" s="100"/>
    </row>
    <row r="3" spans="1:26" s="94" customFormat="1" ht="13" customHeight="1" thickBot="1" x14ac:dyDescent="0.2">
      <c r="A3" s="92" t="s">
        <v>82</v>
      </c>
      <c r="B3" s="93" t="d">
        <v>2022-11-09</v>
      </c>
      <c r="H3" s="95"/>
      <c r="I3" s="95"/>
      <c r="Q3" s="100"/>
      <c r="R3" s="100"/>
      <c r="S3" s="100"/>
      <c r="T3" s="100"/>
      <c r="U3" s="100"/>
      <c r="V3" s="100"/>
      <c r="W3" s="100"/>
      <c r="X3" s="100"/>
      <c r="Y3" s="100"/>
      <c r="Z3" s="100"/>
    </row>
    <row r="4" spans="1:26" ht="13" customHeight="1" x14ac:dyDescent="0.15">
      <c r="A4" s="81" t="s">
        <v>86</v>
      </c>
      <c r="B4" s="91" t="d">
        <v>2023-07-03</v>
      </c>
      <c r="C4"/>
      <c r="H4" s="83"/>
      <c r="I4" s="83"/>
      <c r="Q4" s="100"/>
      <c r="R4" s="100"/>
      <c r="S4" s="100"/>
      <c r="T4" s="100"/>
      <c r="U4" s="100"/>
      <c r="V4" s="100"/>
      <c r="W4" s="100"/>
      <c r="X4" s="100"/>
      <c r="Y4" s="100"/>
      <c r="Z4" s="100"/>
    </row>
    <row r="5" spans="1:26" ht="14" thickBot="1" x14ac:dyDescent="0.2">
      <c r="H5" s="83"/>
      <c r="I5" s="83"/>
      <c r="Q5" s="100"/>
      <c r="R5" s="100"/>
      <c r="S5" s="100"/>
      <c r="T5" s="100"/>
      <c r="U5" s="100"/>
      <c r="V5" s="100"/>
      <c r="W5" s="100"/>
      <c r="X5" s="100"/>
      <c r="Y5" s="100"/>
      <c r="Z5" s="100"/>
    </row>
    <row r="6" spans="1:26" ht="18" x14ac:dyDescent="0.2">
      <c r="A6" s="11" t="s">
        <v>18</v>
      </c>
      <c r="B6" s="60">
        <v>300</v>
      </c>
      <c r="C6">
        <f>IF(Brevet_Length&gt;=1200,Brevet_Length,IF(Brevet_Length&gt;=1000,1000,IF(Brevet_Length&gt;=600,600,IF(Brevet_Length&gt;=400,400,IF(Brevet_Length&gt;=300,300,IF(Brevet_Length&gt;=200,200,100))))))</f>
        <v>300</v>
      </c>
      <c r="J6" s="105" t="s">
        <v>63</v>
      </c>
      <c r="K6" s="105"/>
      <c r="Q6" s="64" t="s">
        <v>64</v>
      </c>
      <c r="R6" s="64"/>
      <c r="S6" s="64"/>
      <c r="T6" s="64"/>
      <c r="U6" s="64"/>
      <c r="V6" s="64"/>
      <c r="W6" s="64"/>
    </row>
    <row r="7" spans="1:26" ht="14" thickBot="1" x14ac:dyDescent="0.2">
      <c r="A7" s="12" t="s">
        <v>19</v>
      </c>
      <c r="B7" s="13">
        <f>IF(brevet=1200,90,IF(brevet=1000,75,IF(brevet=600,40,IF(brevet=400,27,IF(brevet=300,20,IF(brevet=200,13.5,IF(brevet=100,7,0)))))))</f>
        <v>20</v>
      </c>
      <c r="Q7" t="s">
        <v>65</v>
      </c>
    </row>
    <row r="8" spans="1:26" ht="19" thickBot="1" x14ac:dyDescent="0.25">
      <c r="A8" s="12" t="s">
        <v>20</v>
      </c>
      <c r="B8" s="102" t="s">
        <v>95</v>
      </c>
      <c r="C8" s="103"/>
      <c r="D8" s="103"/>
      <c r="E8" s="103"/>
      <c r="F8" s="103"/>
      <c r="G8" s="103"/>
      <c r="H8" s="104"/>
      <c r="I8" s="24"/>
      <c r="J8" s="24"/>
      <c r="K8" s="24"/>
      <c r="Q8" s="64" t="s">
        <v>66</v>
      </c>
    </row>
    <row r="9" spans="1:26" ht="18" x14ac:dyDescent="0.2">
      <c r="A9" s="12" t="s">
        <v>21</v>
      </c>
      <c r="B9" s="61">
        <v>5274</v>
      </c>
      <c r="C9" s="21"/>
      <c r="F9" s="22"/>
      <c r="G9" s="22"/>
      <c r="H9" s="22"/>
      <c r="I9" s="22"/>
      <c r="J9" s="22"/>
      <c r="K9" s="22"/>
      <c r="Q9" s="64" t="s">
        <v>67</v>
      </c>
    </row>
    <row r="10" spans="1:26" ht="18" x14ac:dyDescent="0.2">
      <c r="A10" s="43" t="s">
        <v>48</v>
      </c>
      <c r="B10" s="62" t="d">
        <v>2023-07-08</v>
      </c>
      <c r="Q10" s="64" t="s">
        <v>68</v>
      </c>
    </row>
    <row r="11" spans="1:26" ht="6" customHeight="1" x14ac:dyDescent="0.15">
      <c r="B11" s="84"/>
    </row>
    <row r="12" spans="1:26" ht="18" customHeight="1" thickBot="1" x14ac:dyDescent="0.25">
      <c r="A12" s="79" t="s">
        <v>22</v>
      </c>
      <c r="B12" s="80" t="d">
        <v>2023-07-08</v>
      </c>
      <c r="Q12" s="64" t="s">
        <v>76</v>
      </c>
    </row>
    <row r="13" spans="1:26" ht="19" thickBot="1" x14ac:dyDescent="0.25">
      <c r="A13" s="10" t="s">
        <v>23</v>
      </c>
      <c r="B13" s="63" t="d">
        <v>06:00:00.000</v>
      </c>
      <c r="D13" s="97" t="s">
        <v>81</v>
      </c>
      <c r="E13" s="98"/>
      <c r="F13" s="98"/>
      <c r="G13" s="98"/>
      <c r="H13" s="98"/>
      <c r="I13" s="106" t="s">
        <v>71</v>
      </c>
      <c r="J13" s="98"/>
      <c r="K13" s="99"/>
      <c r="Q13" s="64" t="s">
        <v>75</v>
      </c>
    </row>
    <row r="14" spans="1:26" ht="14" thickBot="1" x14ac:dyDescent="0.2">
      <c r="D14" s="6" t="s">
        <v>24</v>
      </c>
      <c r="E14" s="7" t="s">
        <v>25</v>
      </c>
      <c r="F14" s="54" t="s">
        <v>26</v>
      </c>
      <c r="G14" s="54" t="s">
        <v>27</v>
      </c>
      <c r="H14" s="55" t="s">
        <v>28</v>
      </c>
      <c r="I14" s="7" t="s">
        <v>60</v>
      </c>
      <c r="J14" s="7" t="s">
        <v>61</v>
      </c>
      <c r="K14" s="8" t="s">
        <v>62</v>
      </c>
      <c r="L14" t="s">
        <v>3</v>
      </c>
      <c r="M14" t="s">
        <v>4</v>
      </c>
      <c r="N14" t="s">
        <v>5</v>
      </c>
      <c r="O14" t="s">
        <v>6</v>
      </c>
      <c r="Q14" s="64" t="s">
        <v>69</v>
      </c>
    </row>
    <row r="15" spans="1:26" ht="17" customHeight="1" x14ac:dyDescent="0.15">
      <c r="C15" s="3" t="s">
        <v>7</v>
      </c>
      <c r="D15" s="96">
        <v>0</v>
      </c>
      <c r="E15" s="66" t="s">
        <v>100</v>
      </c>
      <c r="F15" s="67" t="s">
        <v>104</v>
      </c>
      <c r="G15" s="67" t="s">
        <v>101</v>
      </c>
      <c r="H15" s="67" t="s">
        <v>102</v>
      </c>
      <c r="I15" s="67"/>
      <c r="J15" s="67"/>
      <c r="K15" s="68"/>
      <c r="L15" s="4" t="d">
        <f>Start_date+Start_time</f>
        <v>2023-07-08T06:00:00.000</v>
      </c>
      <c r="M15" s="4" t="d">
        <f>L15+"1:00"</f>
        <v>2023-07-08T06:59:59.99999979045242400</v>
      </c>
      <c r="N15" s="5" t="d">
        <f>IF(ISBLANK(Distance),"",Open Control_1)</f>
        <v>2023-07-08T06:00:00.000</v>
      </c>
      <c r="O15" s="5" t="d">
        <f>IF(ISBLANK(Distance),"",Close Control_1)</f>
        <v>2023-07-08T06:59:59.99999979045242400</v>
      </c>
      <c r="Q15" s="64" t="s">
        <v>84</v>
      </c>
    </row>
    <row r="16" spans="1:26" ht="17" customHeight="1" x14ac:dyDescent="0.15">
      <c r="B16" s="72"/>
      <c r="C16" s="3" t="s">
        <v>8</v>
      </c>
      <c r="D16" s="23">
        <v>38.700000000000003</v>
      </c>
      <c r="E16" s="66" t="s">
        <v>96</v>
      </c>
      <c r="F16" s="67" t="s">
        <v>105</v>
      </c>
      <c r="G16" s="67" t="s">
        <v>103</v>
      </c>
      <c r="H16" s="67" t="s">
        <v>107</v>
      </c>
      <c r="I16" s="67" t="s">
        <v>118</v>
      </c>
      <c r="J16" s="67" t="s">
        <v>120</v>
      </c>
      <c r="K16" s="68" t="s">
        <v>119</v>
      </c>
      <c r="L16">
        <f>IF(ISBLANK(Distance),"",IF(Distance&gt;1000,(Distance-1000)/26+33.0847,(IF(Distance&gt;600,(Distance-600)/28+18.799,(IF(Distance&gt;400,(Distance-400)/30+12.1324,(IF(Distance&gt;200,(Distance-200)/32+5.8824,Distance/34))))))))</f>
        <v>1.1382352941176472</v>
      </c>
      <c r="M16">
        <f t="shared" ref="M16:M24" si="0">IF(ISBLANK(Distance),"",IF(Distance&gt;=brevet,IF(brevet&gt;1200,(brevet-1200)*75/1000+90,Max_time),IF(Distance&gt;1200,(Distance-1200)*75/1000+90,IF(Distance&gt;1000,(Distance-1000)/(1000/75)+75,IF(Distance&gt;600,(Distance-600)/(400/35)+40,IF(Distance&lt;=60,(Distance/20+1),Distance/15))))))</f>
        <v>2.9350000000000001</v>
      </c>
      <c r="N16" s="5" t="d">
        <f>IF(ISBLANK(Distance),"",Open_time Control_1+(INT(Open)&amp;":"&amp;IF(ROUND(((Open-INT(Open))*60),0)&lt;10,0,"")&amp;ROUND(((Open-INT(Open))*60),0)))</f>
        <v>2023-07-08T07:08:00.000000097788870375</v>
      </c>
      <c r="O16" s="5" t="d">
        <f>IF(ISBLANK(Distance),"",Open_time Control_1+(INT(Close)&amp;":"&amp;IF(ROUND(((Close-INT(Close))*60),0)&lt;10,0,"")&amp;ROUND(((Close-INT(Close))*60),0)))</f>
        <v>2023-07-08T08:55:59.99999984633177850</v>
      </c>
      <c r="Q16" s="64" t="s">
        <v>70</v>
      </c>
    </row>
    <row r="17" spans="2:17" ht="17" customHeight="1" x14ac:dyDescent="0.15">
      <c r="B17" s="72"/>
      <c r="C17" s="3" t="s">
        <v>9</v>
      </c>
      <c r="D17" s="23">
        <v>87.1</v>
      </c>
      <c r="E17" s="66" t="s">
        <v>97</v>
      </c>
      <c r="F17" s="67" t="s">
        <v>104</v>
      </c>
      <c r="G17" s="67" t="s">
        <v>106</v>
      </c>
      <c r="H17" s="67" t="s">
        <v>108</v>
      </c>
      <c r="I17" s="67" t="s">
        <v>121</v>
      </c>
      <c r="J17" s="67" t="s">
        <v>122</v>
      </c>
      <c r="K17" s="68" t="s">
        <v>123</v>
      </c>
      <c r="L17">
        <f>IF(ISBLANK(Distance),"",IF(Distance&gt;1000,(Distance-1000)/26+33.0847,(IF(Distance&gt;600,(Distance-600)/28+18.799,(IF(Distance&gt;400,(Distance-400)/30+12.1324,(IF(Distance&gt;200,(Distance-200)/32+5.8824,Distance/34))))))))</f>
        <v>2.5617647058823527</v>
      </c>
      <c r="M17">
        <f t="shared" si="0"/>
        <v>5.8066666666666666</v>
      </c>
      <c r="N17" s="5" t="d">
        <f>IF(ISBLANK(Distance),"",Open_time Control_1+(INT(Open)&amp;":"&amp;IF(ROUND(((Open-INT(Open))*60),0)&lt;10,0,"")&amp;ROUND(((Open-INT(Open))*60),0)))</f>
        <v>2023-07-08T08:33:59.99999994412064550</v>
      </c>
      <c r="O17" s="5" t="d">
        <f>IF(ISBLANK(Distance),"",Open_time Control_1+(INT(Close)&amp;":"&amp;IF(ROUND(((Close-INT(Close))*60),0)&lt;10,0,"")&amp;ROUND(((Close-INT(Close))*60),0)))</f>
        <v>2023-07-08T11:48:00.00000016763806350</v>
      </c>
    </row>
    <row r="18" spans="2:17" ht="17" customHeight="1" x14ac:dyDescent="0.15">
      <c r="B18" s="72"/>
      <c r="C18" s="3" t="s">
        <v>10</v>
      </c>
      <c r="D18" s="23">
        <v>149</v>
      </c>
      <c r="E18" s="66" t="s">
        <v>98</v>
      </c>
      <c r="F18" s="67" t="s">
        <v>105</v>
      </c>
      <c r="G18" s="67" t="s">
        <v>139</v>
      </c>
      <c r="H18" s="67" t="s">
        <v>109</v>
      </c>
      <c r="I18" s="67" t="s">
        <v>124</v>
      </c>
      <c r="J18" s="67" t="s">
        <v>125</v>
      </c>
      <c r="K18" s="68" t="s">
        <v>126</v>
      </c>
      <c r="L18">
        <f t="shared" ref="L18:L24" si="1">IF(ISBLANK(Distance),"",IF(Distance&gt;1000,(Distance-1000)/26+33.0847,(IF(Distance&gt;600,(Distance-600)/28+18.799,(IF(Distance&gt;400,(Distance-400)/30+12.1324,(IF(Distance&gt;200,(Distance-200)/32+5.8824,Distance/34))))))))</f>
        <v>4.382352941176471</v>
      </c>
      <c r="M18">
        <f t="shared" si="0"/>
        <v>9.9333333333333336</v>
      </c>
      <c r="N18" s="5" t="d">
        <f>IF(ISBLANK(Distance),"",Open_time Control_1+(INT(Open)&amp;":"&amp;IF(ROUND(((Open-INT(Open))*60),0)&lt;10,0,"")&amp;ROUND(((Open-INT(Open))*60),0)))</f>
        <v>2023-07-08T10:22:59.99999988824129100</v>
      </c>
      <c r="O18" s="5" t="d">
        <f>IF(ISBLANK(Distance),"",Open_time Control_1+(INT(Close)&amp;":"&amp;IF(ROUND(((Close-INT(Close))*60),0)&lt;10,0,"")&amp;ROUND(((Close-INT(Close))*60),0)))</f>
        <v>2023-07-08T15:56:00.00000026542693050</v>
      </c>
    </row>
    <row r="19" spans="2:17" ht="17" customHeight="1" x14ac:dyDescent="0.15">
      <c r="B19" s="72"/>
      <c r="C19" s="3" t="s">
        <v>11</v>
      </c>
      <c r="D19" s="23">
        <v>168.7</v>
      </c>
      <c r="E19" s="66" t="s">
        <v>99</v>
      </c>
      <c r="F19" s="67" t="s">
        <v>105</v>
      </c>
      <c r="G19" s="67" t="s">
        <v>110</v>
      </c>
      <c r="H19" s="67" t="s">
        <v>111</v>
      </c>
      <c r="I19" s="67" t="s">
        <v>127</v>
      </c>
      <c r="J19" s="67" t="s">
        <v>129</v>
      </c>
      <c r="K19" s="68" t="s">
        <v>128</v>
      </c>
      <c r="L19">
        <f t="shared" si="1"/>
        <v>4.9617647058823522</v>
      </c>
      <c r="M19">
        <f t="shared" si="0"/>
        <v>11.246666666666666</v>
      </c>
      <c r="N19" s="5" t="d">
        <f>IF(ISBLANK(Distance),"",Open_time Control_1+(INT(Open)&amp;":"&amp;IF(ROUND(((Open-INT(Open))*60),0)&lt;10,0,"")&amp;ROUND(((Open-INT(Open))*60),0)))</f>
        <v>2023-07-08T10:57:59.99999981839210125</v>
      </c>
      <c r="O19" s="5" t="d">
        <f>IF(ISBLANK(Distance),"",Open_time Control_1+(INT(Close)&amp;":"&amp;IF(ROUND(((Close-INT(Close))*60),0)&lt;10,0,"")&amp;ROUND(((Close-INT(Close))*60),0)))</f>
        <v>2023-07-08T17:15:00.000</v>
      </c>
      <c r="Q19" s="77"/>
    </row>
    <row r="20" spans="2:17" ht="17" customHeight="1" x14ac:dyDescent="0.15">
      <c r="B20" s="72"/>
      <c r="C20" s="3" t="s">
        <v>12</v>
      </c>
      <c r="D20" s="23">
        <v>195</v>
      </c>
      <c r="E20" s="66" t="s">
        <v>91</v>
      </c>
      <c r="F20" s="67" t="s">
        <v>105</v>
      </c>
      <c r="G20" s="67" t="s">
        <v>113</v>
      </c>
      <c r="H20" s="67" t="s">
        <v>112</v>
      </c>
      <c r="I20" s="67" t="s">
        <v>130</v>
      </c>
      <c r="J20" s="67" t="s">
        <v>131</v>
      </c>
      <c r="K20" s="68" t="s">
        <v>132</v>
      </c>
      <c r="L20">
        <f t="shared" si="1"/>
        <v>5.7352941176470589</v>
      </c>
      <c r="M20">
        <f t="shared" si="0"/>
        <v>13</v>
      </c>
      <c r="N20" s="5" t="d">
        <f>IF(ISBLANK(Distance),"",Open_time Control_1+(INT(Open)&amp;":"&amp;IF(ROUND(((Open-INT(Open))*60),0)&lt;10,0,"")&amp;ROUND(((Open-INT(Open))*60),0)))</f>
        <v>2023-07-08T11:44:00.00000001396983525</v>
      </c>
      <c r="O20" s="5" t="d">
        <f>IF(ISBLANK(Distance),"",Open_time Control_1+(INT(Close)&amp;":"&amp;IF(ROUND(((Close-INT(Close))*60),0)&lt;10,0,"")&amp;ROUND(((Close-INT(Close))*60),0)))</f>
        <v>2023-07-08T18:59:59.99999979045242400</v>
      </c>
    </row>
    <row r="21" spans="2:17" ht="17" customHeight="1" x14ac:dyDescent="0.15">
      <c r="B21" s="72"/>
      <c r="C21" s="3" t="s">
        <v>13</v>
      </c>
      <c r="D21" s="23">
        <v>244.9</v>
      </c>
      <c r="E21" s="66" t="s">
        <v>93</v>
      </c>
      <c r="F21" s="67" t="s">
        <v>105</v>
      </c>
      <c r="G21" s="67" t="s">
        <v>114</v>
      </c>
      <c r="H21" s="67" t="s">
        <v>115</v>
      </c>
      <c r="I21" s="67" t="s">
        <v>133</v>
      </c>
      <c r="J21" s="67" t="s">
        <v>134</v>
      </c>
      <c r="K21" s="68" t="s">
        <v>135</v>
      </c>
      <c r="L21">
        <f t="shared" si="1"/>
        <v>7.2855249999999998</v>
      </c>
      <c r="M21">
        <f t="shared" si="0"/>
        <v>16.326666666666668</v>
      </c>
      <c r="N21" s="5" t="d">
        <f>IF(ISBLANK(Distance),"",Open_time Control_1+(INT(Open)&amp;":"&amp;IF(ROUND(((Open-INT(Open))*60),0)&lt;10,0,"")&amp;ROUND(((Open-INT(Open))*60),0)))</f>
        <v>2023-07-08T13:16:59.99999997206032275</v>
      </c>
      <c r="O21" s="5" t="d">
        <f>IF(ISBLANK(Distance),"",Open_time Control_1+(INT(Close)&amp;":"&amp;IF(ROUND(((Close-INT(Close))*60),0)&lt;10,0,"")&amp;ROUND(((Close-INT(Close))*60),0)))</f>
        <v>2023-07-08T22:19:59.99999993015081025</v>
      </c>
    </row>
    <row r="22" spans="2:17" ht="17" customHeight="1" x14ac:dyDescent="0.15">
      <c r="B22" s="72"/>
      <c r="C22" s="3" t="s">
        <v>14</v>
      </c>
      <c r="D22" s="23">
        <v>265</v>
      </c>
      <c r="E22" s="66" t="s">
        <v>92</v>
      </c>
      <c r="F22" s="67" t="s">
        <v>105</v>
      </c>
      <c r="G22" s="67" t="s">
        <v>140</v>
      </c>
      <c r="H22" s="68" t="s">
        <v>141</v>
      </c>
      <c r="I22" s="68" t="s">
        <v>142</v>
      </c>
      <c r="J22" s="67" t="s">
        <v>143</v>
      </c>
      <c r="K22" s="68" t="s">
        <v>144</v>
      </c>
      <c r="L22">
        <f t="shared" si="1"/>
        <v>7.9136499999999996</v>
      </c>
      <c r="M22">
        <f t="shared" si="0"/>
        <v>17.666666666666668</v>
      </c>
      <c r="N22" s="5" t="d">
        <f>IF(ISBLANK(Distance),"",Open_time Control_1+(INT(Open)&amp;":"&amp;IF(ROUND(((Open-INT(Open))*60),0)&lt;10,0,"")&amp;ROUND(((Open-INT(Open))*60),0)))</f>
        <v>2023-07-08T13:54:59.99999986030161375</v>
      </c>
      <c r="O22" s="5" t="d">
        <f>IF(ISBLANK(Distance),"",Open_time Control_1+(INT(Close)&amp;":"&amp;IF(ROUND(((Close-INT(Close))*60),0)&lt;10,0,"")&amp;ROUND(((Close-INT(Close))*60),0)))</f>
        <v>2023-07-08T23:39:59.99999986030161375</v>
      </c>
    </row>
    <row r="23" spans="2:17" ht="17" customHeight="1" x14ac:dyDescent="0.15">
      <c r="B23" s="72"/>
      <c r="C23" s="3" t="s">
        <v>15</v>
      </c>
      <c r="D23" s="23">
        <v>284.39999999999998</v>
      </c>
      <c r="E23" s="66" t="s">
        <v>98</v>
      </c>
      <c r="F23" s="67" t="s">
        <v>105</v>
      </c>
      <c r="G23" s="67" t="s">
        <v>116</v>
      </c>
      <c r="H23" s="67" t="s">
        <v>117</v>
      </c>
      <c r="I23" s="67" t="s">
        <v>136</v>
      </c>
      <c r="J23" s="67" t="s">
        <v>137</v>
      </c>
      <c r="K23" s="68" t="s">
        <v>138</v>
      </c>
      <c r="L23">
        <f t="shared" si="1"/>
        <v>8.5198999999999998</v>
      </c>
      <c r="M23">
        <f t="shared" si="0"/>
        <v>18.959999999999997</v>
      </c>
      <c r="N23" s="5" t="d">
        <f>IF(ISBLANK(Distance),"",Open_time Control_1+(INT(Open)&amp;":"&amp;IF(ROUND(((Open-INT(Open))*60),0)&lt;10,0,"")&amp;ROUND(((Open-INT(Open))*60),0)))</f>
        <v>2023-07-08T14:30:59.99999998603016475</v>
      </c>
      <c r="O23" s="5" t="d">
        <f>IF(ISBLANK(Distance),"",Open_time Control_1+(INT(Close)&amp;":"&amp;IF(ROUND(((Close-INT(Close))*60),0)&lt;10,0,"")&amp;ROUND(((Close-INT(Close))*60),0)))</f>
        <v>2023-07-09T00:58:00.00000002793967725</v>
      </c>
    </row>
    <row r="24" spans="2:17" ht="17" customHeight="1" thickBot="1" x14ac:dyDescent="0.2">
      <c r="B24" s="72"/>
      <c r="C24" s="3" t="s">
        <v>16</v>
      </c>
      <c r="D24" s="47">
        <v>301.39999999999998</v>
      </c>
      <c r="E24" s="69" t="s">
        <v>100</v>
      </c>
      <c r="F24" s="70" t="s">
        <v>104</v>
      </c>
      <c r="G24" s="70" t="s">
        <v>101</v>
      </c>
      <c r="H24" s="70" t="s">
        <v>102</v>
      </c>
      <c r="I24" s="70"/>
      <c r="J24" s="70"/>
      <c r="K24" s="71"/>
      <c r="L24">
        <f t="shared" si="1"/>
        <v>9.0511499999999998</v>
      </c>
      <c r="M24">
        <f t="shared" si="0"/>
        <v>20</v>
      </c>
      <c r="N24" s="5" t="d">
        <f>IF(ISBLANK(Distance),"",Open_time Control_1+(INT(Open)&amp;":"&amp;IF(ROUND(((Open-INT(Open))*60),0)&lt;10,0,"")&amp;ROUND(((Open-INT(Open))*60),0)))</f>
        <v>2023-07-08T15:02:59.9999999580904875</v>
      </c>
      <c r="O24" s="5" t="d">
        <f>IF(ISBLANK(Distance),"",Open_time Control_1+(INT(Close)&amp;":"&amp;IF(ROUND(((Close-INT(Close))*60),0)&lt;10,0,"")&amp;ROUND(((Close-INT(Close))*60),0)))</f>
        <v>2023-07-09T02:00:00.00000020954757600</v>
      </c>
    </row>
    <row r="25" spans="2:17" ht="7" customHeight="1" thickBot="1" x14ac:dyDescent="0.25">
      <c r="D25" s="56"/>
      <c r="E25" s="57"/>
      <c r="F25" s="58"/>
      <c r="G25" s="58"/>
      <c r="H25" s="58"/>
      <c r="I25" s="58"/>
      <c r="J25" s="58"/>
      <c r="K25" s="59"/>
      <c r="N25" s="5"/>
      <c r="O25" s="5"/>
    </row>
    <row r="26" spans="2:17" ht="14" thickBot="1" x14ac:dyDescent="0.2">
      <c r="D26" s="97" t="s">
        <v>77</v>
      </c>
      <c r="E26" s="98"/>
      <c r="F26" s="98"/>
      <c r="G26" s="98"/>
      <c r="H26" s="98"/>
      <c r="I26" s="106" t="s">
        <v>72</v>
      </c>
      <c r="J26" s="98"/>
      <c r="K26" s="99"/>
    </row>
    <row r="27" spans="2:17" ht="14" thickBot="1" x14ac:dyDescent="0.2">
      <c r="D27" s="6" t="s">
        <v>24</v>
      </c>
      <c r="E27" s="7" t="s">
        <v>25</v>
      </c>
      <c r="F27" s="54" t="s">
        <v>26</v>
      </c>
      <c r="G27" s="54" t="s">
        <v>27</v>
      </c>
      <c r="H27" s="55" t="s">
        <v>28</v>
      </c>
      <c r="I27" s="7" t="s">
        <v>60</v>
      </c>
      <c r="J27" s="7" t="s">
        <v>61</v>
      </c>
      <c r="K27" s="8" t="s">
        <v>62</v>
      </c>
      <c r="L27" t="s">
        <v>3</v>
      </c>
      <c r="M27" t="s">
        <v>4</v>
      </c>
      <c r="N27" t="s">
        <v>5</v>
      </c>
      <c r="O27" t="s">
        <v>6</v>
      </c>
    </row>
    <row r="28" spans="2:17" ht="17" customHeight="1" x14ac:dyDescent="0.15">
      <c r="D28" s="23"/>
      <c r="E28" s="66"/>
      <c r="F28" s="67"/>
      <c r="G28" s="67"/>
      <c r="H28" s="67"/>
      <c r="I28" s="67"/>
      <c r="J28" s="67"/>
      <c r="K28" s="68"/>
      <c r="L28" t="str">
        <f>IF(ISBLANK(D28),"",IF(D28&gt;1000,(D28-1000)/26+33.0847,(IF(D28&gt;600,(D28-600)/28+18.799,(IF(D28&gt;400,(D28-400)/30+12.1324,(IF(D28&gt;200,(D28-200)/32+5.8824,D28/34))))))))</f>
        <v/>
      </c>
      <c r="M28" t="str">
        <f t="shared" ref="M28:M37" si="2">IF(ISBLANK(D28),"",IF((D28=0),1,IF(D28&gt;=brevet,IF(brevet&gt;1200,(brevet-1200)*75/1000+90,Max_time),IF(D28&gt;1200,(D28-1200)*75/1000+90,IF(D28&gt;1000,(D28-1000)/(1000/75)+75,IF(D28&gt;600,(D28-600)/(400/35)+40,IF(D28&lt;=60,D28/20+1,D28/15)))))))</f>
        <v/>
      </c>
      <c r="N28" s="5" t="str">
        <f>IF(ISBLANK(D28),"",Open_time Control_1+(INT(L28)&amp;":"&amp;IF(ROUND(((L28-INT(L28))*60),0)&lt;10,0,"")&amp;ROUND(((L28-INT(L28))*60),0)))</f>
        <v/>
      </c>
      <c r="O28" s="5" t="str">
        <f>IF(ISBLANK(D28),"",Open_time Control_1+(INT(M28)&amp;":"&amp;IF(ROUND(((M28-INT(M28))*60),0)&lt;10,0,"")&amp;ROUND(((M28-INT(M28))*60),0)))</f>
        <v/>
      </c>
    </row>
    <row r="29" spans="2:17" ht="17" customHeight="1" x14ac:dyDescent="0.15">
      <c r="D29" s="23"/>
      <c r="E29" s="66"/>
      <c r="F29" s="67"/>
      <c r="G29" s="67"/>
      <c r="H29" s="67"/>
      <c r="I29" s="67"/>
      <c r="J29" s="67"/>
      <c r="K29" s="68"/>
      <c r="L29" t="str">
        <f t="shared" ref="L29:L37" si="3">IF(ISBLANK(D29),"",IF(D29&gt;1000,(D29-1000)/26+33.0847,(IF(D29&gt;600,(D29-600)/28+18.799,(IF(D29&gt;400,(D29-400)/30+12.1324,(IF(D29&gt;200,(D29-200)/32+5.8824,D29/34))))))))</f>
        <v/>
      </c>
      <c r="M29" t="str">
        <f t="shared" si="2"/>
        <v/>
      </c>
      <c r="N29" s="5" t="str">
        <f>IF(ISBLANK(D29),"",Open_time Control_1+(INT(L29)&amp;":"&amp;IF(ROUND(((L29-INT(L29))*60),0)&lt;10,0,"")&amp;ROUND(((L29-INT(L29))*60),0)))</f>
        <v/>
      </c>
      <c r="O29" s="5" t="str">
        <f>IF(ISBLANK(D29),"",Open_time Control_1+(INT(M29)&amp;":"&amp;IF(ROUND(((M29-INT(M29))*60),0)&lt;10,0,"")&amp;ROUND(((M29-INT(M29))*60),0)))</f>
        <v/>
      </c>
    </row>
    <row r="30" spans="2:17" ht="17" customHeight="1" x14ac:dyDescent="0.15">
      <c r="D30" s="23"/>
      <c r="E30" s="66"/>
      <c r="F30" s="67"/>
      <c r="G30" s="67"/>
      <c r="H30" s="67"/>
      <c r="I30" s="67"/>
      <c r="J30" s="67"/>
      <c r="K30" s="68"/>
      <c r="L30" t="str">
        <f t="shared" si="3"/>
        <v/>
      </c>
      <c r="M30" t="str">
        <f t="shared" si="2"/>
        <v/>
      </c>
      <c r="N30" s="5" t="str">
        <f>IF(ISBLANK(D30),"",Open_time Control_1+(INT(L30)&amp;":"&amp;IF(ROUND(((L30-INT(L30))*60),0)&lt;10,0,"")&amp;ROUND(((L30-INT(L30))*60),0)))</f>
        <v/>
      </c>
      <c r="O30" s="5" t="str">
        <f>IF(ISBLANK(D30),"",Open_time Control_1+(INT(M30)&amp;":"&amp;IF(ROUND(((M30-INT(M30))*60),0)&lt;10,0,"")&amp;ROUND(((M30-INT(M30))*60),0)))</f>
        <v/>
      </c>
    </row>
    <row r="31" spans="2:17" ht="17" customHeight="1" x14ac:dyDescent="0.15">
      <c r="D31" s="23"/>
      <c r="E31" s="66"/>
      <c r="F31" s="67"/>
      <c r="G31" s="67"/>
      <c r="H31" s="67"/>
      <c r="I31" s="67"/>
      <c r="J31" s="67"/>
      <c r="K31" s="68"/>
      <c r="L31" t="str">
        <f t="shared" si="3"/>
        <v/>
      </c>
      <c r="M31" t="str">
        <f t="shared" si="2"/>
        <v/>
      </c>
      <c r="N31" s="5" t="str">
        <f>IF(ISBLANK(D31),"",Open_time Control_1+(INT(L31)&amp;":"&amp;IF(ROUND(((L31-INT(L31))*60),0)&lt;10,0,"")&amp;ROUND(((L31-INT(L31))*60),0)))</f>
        <v/>
      </c>
      <c r="O31" s="5" t="str">
        <f>IF(ISBLANK(D31),"",Open_time Control_1+(INT(M31)&amp;":"&amp;IF(ROUND(((M31-INT(M31))*60),0)&lt;10,0,"")&amp;ROUND(((M31-INT(M31))*60),0)))</f>
        <v/>
      </c>
    </row>
    <row r="32" spans="2:17" ht="17" customHeight="1" x14ac:dyDescent="0.15">
      <c r="D32" s="23"/>
      <c r="E32" s="66"/>
      <c r="F32" s="67"/>
      <c r="G32" s="67"/>
      <c r="H32" s="67"/>
      <c r="I32" s="67"/>
      <c r="J32" s="67"/>
      <c r="K32" s="68"/>
      <c r="L32" t="str">
        <f t="shared" si="3"/>
        <v/>
      </c>
      <c r="M32" t="str">
        <f t="shared" si="2"/>
        <v/>
      </c>
      <c r="N32" s="5" t="str">
        <f>IF(ISBLANK(D32),"",Open_time Control_1+(INT(L32)&amp;":"&amp;IF(ROUND(((L32-INT(L32))*60),0)&lt;10,0,"")&amp;ROUND(((L32-INT(L32))*60),0)))</f>
        <v/>
      </c>
      <c r="O32" s="5" t="str">
        <f>IF(ISBLANK(D32),"",Open_time Control_1+(INT(M32)&amp;":"&amp;IF(ROUND(((M32-INT(M32))*60),0)&lt;10,0,"")&amp;ROUND(((M32-INT(M32))*60),0)))</f>
        <v/>
      </c>
    </row>
    <row r="33" spans="4:15" ht="17" customHeight="1" x14ac:dyDescent="0.15">
      <c r="D33" s="23"/>
      <c r="E33" s="66"/>
      <c r="F33" s="67"/>
      <c r="G33" s="67"/>
      <c r="H33" s="67"/>
      <c r="I33" s="67"/>
      <c r="J33" s="67"/>
      <c r="K33" s="68"/>
      <c r="L33" t="str">
        <f t="shared" si="3"/>
        <v/>
      </c>
      <c r="M33" t="str">
        <f t="shared" si="2"/>
        <v/>
      </c>
      <c r="N33" s="5" t="str">
        <f>IF(ISBLANK(D33),"",Open_time Control_1+(INT(L33)&amp;":"&amp;IF(ROUND(((L33-INT(L33))*60),0)&lt;10,0,"")&amp;ROUND(((L33-INT(L33))*60),0)))</f>
        <v/>
      </c>
      <c r="O33" s="5" t="str">
        <f>IF(ISBLANK(D33),"",Open_time Control_1+(INT(M33)&amp;":"&amp;IF(ROUND(((M33-INT(M33))*60),0)&lt;10,0,"")&amp;ROUND(((M33-INT(M33))*60),0)))</f>
        <v/>
      </c>
    </row>
    <row r="34" spans="4:15" ht="17" customHeight="1" x14ac:dyDescent="0.15">
      <c r="D34" s="23"/>
      <c r="E34" s="66"/>
      <c r="F34" s="67"/>
      <c r="G34" s="67"/>
      <c r="H34" s="67"/>
      <c r="I34" s="68"/>
      <c r="J34" s="67"/>
      <c r="K34" s="68"/>
      <c r="L34" t="str">
        <f t="shared" si="3"/>
        <v/>
      </c>
      <c r="M34" t="str">
        <f t="shared" si="2"/>
        <v/>
      </c>
      <c r="N34" s="5" t="str">
        <f>IF(ISBLANK(D34),"",Open_time Control_1+(INT(L34)&amp;":"&amp;IF(ROUND(((L34-INT(L34))*60),0)&lt;10,0,"")&amp;ROUND(((L34-INT(L34))*60),0)))</f>
        <v/>
      </c>
      <c r="O34" s="5" t="str">
        <f>IF(ISBLANK(D34),"",Open_time Control_1+(INT(M34)&amp;":"&amp;IF(ROUND(((M34-INT(M34))*60),0)&lt;10,0,"")&amp;ROUND(((M34-INT(M34))*60),0)))</f>
        <v/>
      </c>
    </row>
    <row r="35" spans="4:15" ht="17" customHeight="1" x14ac:dyDescent="0.15">
      <c r="D35" s="23"/>
      <c r="E35" s="66"/>
      <c r="F35" s="67"/>
      <c r="G35" s="67"/>
      <c r="H35" s="68"/>
      <c r="I35" s="67"/>
      <c r="J35" s="67"/>
      <c r="K35" s="68"/>
      <c r="L35" t="str">
        <f t="shared" si="3"/>
        <v/>
      </c>
      <c r="M35" t="str">
        <f t="shared" si="2"/>
        <v/>
      </c>
      <c r="N35" s="5" t="str">
        <f>IF(ISBLANK(D35),"",Open_time Control_1+(INT(L35)&amp;":"&amp;IF(ROUND(((L35-INT(L35))*60),0)&lt;10,0,"")&amp;ROUND(((L35-INT(L35))*60),0)))</f>
        <v/>
      </c>
      <c r="O35" s="5" t="str">
        <f>IF(ISBLANK(D35),"",Open_time Control_1+(INT(M35)&amp;":"&amp;IF(ROUND(((M35-INT(M35))*60),0)&lt;10,0,"")&amp;ROUND(((M35-INT(M35))*60),0)))</f>
        <v/>
      </c>
    </row>
    <row r="36" spans="4:15" ht="17" customHeight="1" x14ac:dyDescent="0.15">
      <c r="D36" s="23"/>
      <c r="E36" s="66"/>
      <c r="F36" s="67"/>
      <c r="G36" s="67"/>
      <c r="H36" s="67"/>
      <c r="I36" s="67"/>
      <c r="J36" s="67"/>
      <c r="K36" s="68"/>
      <c r="L36" t="str">
        <f t="shared" si="3"/>
        <v/>
      </c>
      <c r="M36" t="str">
        <f t="shared" si="2"/>
        <v/>
      </c>
      <c r="N36" s="5" t="str">
        <f>IF(ISBLANK(D36),"",Open_time Control_1+(INT(L36)&amp;":"&amp;IF(ROUND(((L36-INT(L36))*60),0)&lt;10,0,"")&amp;ROUND(((L36-INT(L36))*60),0)))</f>
        <v/>
      </c>
      <c r="O36" s="5" t="str">
        <f>IF(ISBLANK(D36),"",Open_time Control_1+(INT(M36)&amp;":"&amp;IF(ROUND(((M36-INT(M36))*60),0)&lt;10,0,"")&amp;ROUND(((M36-INT(M36))*60),0)))</f>
        <v/>
      </c>
    </row>
    <row r="37" spans="4:15" ht="17" customHeight="1" thickBot="1" x14ac:dyDescent="0.2">
      <c r="D37" s="47"/>
      <c r="E37" s="69" t="s">
        <v>94</v>
      </c>
      <c r="F37" s="70"/>
      <c r="G37" s="70"/>
      <c r="H37" s="70"/>
      <c r="I37" s="70"/>
      <c r="J37" s="70"/>
      <c r="K37" s="71"/>
      <c r="L37" t="str">
        <f t="shared" si="3"/>
        <v/>
      </c>
      <c r="M37" t="str">
        <f t="shared" si="2"/>
        <v/>
      </c>
      <c r="N37" s="5" t="str">
        <f>IF(ISBLANK(D37),"",Open_time Control_1+(INT(L37)&amp;":"&amp;IF(ROUND(((L37-INT(L37))*60),0)&lt;10,0,"")&amp;ROUND(((L37-INT(L37))*60),0)))</f>
        <v/>
      </c>
      <c r="O37" s="5" t="str">
        <f>IF(ISBLANK(D37),"",Open_time Control_1+(INT(M37)&amp;":"&amp;IF(ROUND(((M37-INT(M37))*60),0)&lt;10,0,"")&amp;ROUND(((M37-INT(M37))*60),0)))</f>
        <v/>
      </c>
    </row>
    <row r="38" spans="4:15" ht="7" customHeight="1" thickBot="1" x14ac:dyDescent="0.25">
      <c r="D38" s="56"/>
      <c r="E38" s="57"/>
      <c r="F38" s="58"/>
      <c r="G38" s="58"/>
      <c r="H38" s="58"/>
      <c r="I38" s="58"/>
      <c r="J38" s="58"/>
      <c r="K38" s="59"/>
      <c r="N38" s="5"/>
      <c r="O38" s="5"/>
    </row>
    <row r="39" spans="4:15" ht="14" thickBot="1" x14ac:dyDescent="0.2">
      <c r="D39" s="97" t="s">
        <v>79</v>
      </c>
      <c r="E39" s="98"/>
      <c r="F39" s="98"/>
      <c r="G39" s="98"/>
      <c r="H39" s="98"/>
      <c r="I39" s="97" t="s">
        <v>78</v>
      </c>
      <c r="J39" s="98"/>
      <c r="K39" s="99"/>
    </row>
    <row r="40" spans="4:15" ht="14" thickBot="1" x14ac:dyDescent="0.2">
      <c r="D40" s="6" t="s">
        <v>24</v>
      </c>
      <c r="E40" s="7" t="s">
        <v>25</v>
      </c>
      <c r="F40" s="54" t="s">
        <v>26</v>
      </c>
      <c r="G40" s="54" t="s">
        <v>27</v>
      </c>
      <c r="H40" s="78" t="s">
        <v>28</v>
      </c>
      <c r="I40" s="7" t="s">
        <v>60</v>
      </c>
      <c r="J40" s="7" t="s">
        <v>61</v>
      </c>
      <c r="K40" s="8" t="s">
        <v>62</v>
      </c>
      <c r="L40" t="s">
        <v>3</v>
      </c>
      <c r="M40" t="s">
        <v>4</v>
      </c>
      <c r="N40" t="s">
        <v>5</v>
      </c>
      <c r="O40" t="s">
        <v>6</v>
      </c>
    </row>
    <row r="41" spans="4:15" ht="17" customHeight="1" x14ac:dyDescent="0.15">
      <c r="D41" s="23"/>
      <c r="E41" s="66"/>
      <c r="F41" s="67"/>
      <c r="G41" s="67"/>
      <c r="H41" s="68"/>
      <c r="I41" s="67"/>
      <c r="J41" s="67"/>
      <c r="K41" s="68"/>
      <c r="L41" t="str">
        <f>IF(ISBLANK(D41),"",IF(D41&gt;1000,(D41-1000)/26+33.0847,(IF(D41&gt;600,(D41-600)/28+18.799,(IF(D41&gt;400,(D41-400)/30+12.1324,(IF(D41&gt;200,(D41-200)/32+5.8824,D41/34))))))))</f>
        <v/>
      </c>
      <c r="M41" t="str">
        <f t="shared" ref="M41:M50" si="4">IF(ISBLANK(D41),"",IF((D41=0),1,IF(D41&gt;=brevet,IF(brevet&gt;1200,(brevet-1200)*75/1000+90,Max_time),IF(D41&gt;1200,(D41-1200)*75/1000+90,IF(D41&gt;1000,(D41-1000)/(1000/75)+75,IF(D41&gt;600,(D41-600)/(400/35)+40,IF(D41&lt;=60,D41/20+1,D41/15)))))))</f>
        <v/>
      </c>
      <c r="N41" s="5" t="str">
        <f>IF(ISBLANK(D41),"",Open_time Control_1+(INT(L41)&amp;":"&amp;IF(ROUND(((L41-INT(L41))*60),0)&lt;10,0,"")&amp;ROUND(((L41-INT(L41))*60),0)))</f>
        <v/>
      </c>
      <c r="O41" s="5" t="str">
        <f>IF(ISBLANK(D41),"",Open_time Control_1+(INT(M41)&amp;":"&amp;IF(ROUND(((M41-INT(M41))*60),0)&lt;10,0,"")&amp;ROUND(((M41-INT(M41))*60),0)))</f>
        <v/>
      </c>
    </row>
    <row r="42" spans="4:15" ht="17" customHeight="1" x14ac:dyDescent="0.15">
      <c r="D42" s="23"/>
      <c r="E42" s="66"/>
      <c r="F42" s="67"/>
      <c r="G42" s="67"/>
      <c r="H42" s="68"/>
      <c r="I42" s="67"/>
      <c r="J42" s="67"/>
      <c r="K42" s="68"/>
      <c r="L42" t="str">
        <f t="shared" ref="L42:L50" si="5">IF(ISBLANK(D42),"",IF(D42&gt;1000,(D42-1000)/26+33.0847,(IF(D42&gt;600,(D42-600)/28+18.799,(IF(D42&gt;400,(D42-400)/30+12.1324,(IF(D42&gt;200,(D42-200)/32+5.8824,D42/34))))))))</f>
        <v/>
      </c>
      <c r="M42" t="str">
        <f t="shared" si="4"/>
        <v/>
      </c>
      <c r="N42" s="5" t="str">
        <f>IF(ISBLANK(D42),"",Open_time Control_1+(INT(L42)&amp;":"&amp;IF(ROUND(((L42-INT(L42))*60),0)&lt;10,0,"")&amp;ROUND(((L42-INT(L42))*60),0)))</f>
        <v/>
      </c>
      <c r="O42" s="5" t="str">
        <f>IF(ISBLANK(D42),"",Open_time Control_1+(INT(M42)&amp;":"&amp;IF(ROUND(((M42-INT(M42))*60),0)&lt;10,0,"")&amp;ROUND(((M42-INT(M42))*60),0)))</f>
        <v/>
      </c>
    </row>
    <row r="43" spans="4:15" ht="17" customHeight="1" x14ac:dyDescent="0.15">
      <c r="D43" s="23"/>
      <c r="E43" s="66"/>
      <c r="F43" s="67"/>
      <c r="G43" s="67"/>
      <c r="H43" s="68"/>
      <c r="I43" s="67"/>
      <c r="J43" s="67"/>
      <c r="K43" s="68"/>
      <c r="L43" t="str">
        <f t="shared" si="5"/>
        <v/>
      </c>
      <c r="M43" t="str">
        <f t="shared" si="4"/>
        <v/>
      </c>
      <c r="N43" s="5" t="str">
        <f>IF(ISBLANK(D43),"",Open_time Control_1+(INT(L43)&amp;":"&amp;IF(ROUND(((L43-INT(L43))*60),0)&lt;10,0,"")&amp;ROUND(((L43-INT(L43))*60),0)))</f>
        <v/>
      </c>
      <c r="O43" s="5" t="str">
        <f>IF(ISBLANK(D43),"",Open_time Control_1+(INT(M43)&amp;":"&amp;IF(ROUND(((M43-INT(M43))*60),0)&lt;10,0,"")&amp;ROUND(((M43-INT(M43))*60),0)))</f>
        <v/>
      </c>
    </row>
    <row r="44" spans="4:15" ht="17" customHeight="1" x14ac:dyDescent="0.15">
      <c r="D44" s="23"/>
      <c r="E44" s="66"/>
      <c r="F44" s="67"/>
      <c r="G44" s="67"/>
      <c r="H44" s="68"/>
      <c r="I44" s="67"/>
      <c r="J44" s="67"/>
      <c r="K44" s="68"/>
      <c r="L44" t="str">
        <f t="shared" si="5"/>
        <v/>
      </c>
      <c r="M44" t="str">
        <f t="shared" si="4"/>
        <v/>
      </c>
      <c r="N44" s="5" t="str">
        <f>IF(ISBLANK(D44),"",Open_time Control_1+(INT(L44)&amp;":"&amp;IF(ROUND(((L44-INT(L44))*60),0)&lt;10,0,"")&amp;ROUND(((L44-INT(L44))*60),0)))</f>
        <v/>
      </c>
      <c r="O44" s="5" t="str">
        <f>IF(ISBLANK(D44),"",Open_time Control_1+(INT(M44)&amp;":"&amp;IF(ROUND(((M44-INT(M44))*60),0)&lt;10,0,"")&amp;ROUND(((M44-INT(M44))*60),0)))</f>
        <v/>
      </c>
    </row>
    <row r="45" spans="4:15" ht="17" customHeight="1" x14ac:dyDescent="0.15">
      <c r="D45" s="23"/>
      <c r="E45" s="66"/>
      <c r="F45" s="67"/>
      <c r="G45" s="67"/>
      <c r="H45" s="68"/>
      <c r="I45" s="67"/>
      <c r="J45" s="67"/>
      <c r="K45" s="68"/>
      <c r="L45" t="str">
        <f t="shared" si="5"/>
        <v/>
      </c>
      <c r="M45" t="str">
        <f t="shared" si="4"/>
        <v/>
      </c>
      <c r="N45" s="5" t="str">
        <f>IF(ISBLANK(D45),"",Open_time Control_1+(INT(L45)&amp;":"&amp;IF(ROUND(((L45-INT(L45))*60),0)&lt;10,0,"")&amp;ROUND(((L45-INT(L45))*60),0)))</f>
        <v/>
      </c>
      <c r="O45" s="5" t="str">
        <f>IF(ISBLANK(D45),"",Open_time Control_1+(INT(M45)&amp;":"&amp;IF(ROUND(((M45-INT(M45))*60),0)&lt;10,0,"")&amp;ROUND(((M45-INT(M45))*60),0)))</f>
        <v/>
      </c>
    </row>
    <row r="46" spans="4:15" ht="17" customHeight="1" x14ac:dyDescent="0.15">
      <c r="D46" s="23"/>
      <c r="E46" s="66"/>
      <c r="F46" s="67"/>
      <c r="G46" s="67"/>
      <c r="H46" s="68"/>
      <c r="I46" s="67"/>
      <c r="J46" s="67"/>
      <c r="K46" s="68"/>
      <c r="L46" t="str">
        <f t="shared" si="5"/>
        <v/>
      </c>
      <c r="M46" t="str">
        <f t="shared" si="4"/>
        <v/>
      </c>
      <c r="N46" s="5" t="str">
        <f>IF(ISBLANK(D46),"",Open_time Control_1+(INT(L46)&amp;":"&amp;IF(ROUND(((L46-INT(L46))*60),0)&lt;10,0,"")&amp;ROUND(((L46-INT(L46))*60),0)))</f>
        <v/>
      </c>
      <c r="O46" s="5" t="str">
        <f>IF(ISBLANK(D46),"",Open_time Control_1+(INT(M46)&amp;":"&amp;IF(ROUND(((M46-INT(M46))*60),0)&lt;10,0,"")&amp;ROUND(((M46-INT(M46))*60),0)))</f>
        <v/>
      </c>
    </row>
    <row r="47" spans="4:15" ht="17" customHeight="1" x14ac:dyDescent="0.15">
      <c r="D47" s="23"/>
      <c r="E47" s="66"/>
      <c r="F47" s="67"/>
      <c r="G47" s="67"/>
      <c r="H47" s="68"/>
      <c r="I47" s="67"/>
      <c r="J47" s="67"/>
      <c r="K47" s="68"/>
      <c r="L47" t="str">
        <f t="shared" si="5"/>
        <v/>
      </c>
      <c r="M47" t="str">
        <f t="shared" si="4"/>
        <v/>
      </c>
      <c r="N47" s="5" t="str">
        <f>IF(ISBLANK(D47),"",Open_time Control_1+(INT(L47)&amp;":"&amp;IF(ROUND(((L47-INT(L47))*60),0)&lt;10,0,"")&amp;ROUND(((L47-INT(L47))*60),0)))</f>
        <v/>
      </c>
      <c r="O47" s="5" t="str">
        <f>IF(ISBLANK(D47),"",Open_time Control_1+(INT(M47)&amp;":"&amp;IF(ROUND(((M47-INT(M47))*60),0)&lt;10,0,"")&amp;ROUND(((M47-INT(M47))*60),0)))</f>
        <v/>
      </c>
    </row>
    <row r="48" spans="4:15" ht="17" customHeight="1" x14ac:dyDescent="0.15">
      <c r="D48" s="23"/>
      <c r="E48" s="66"/>
      <c r="F48" s="67"/>
      <c r="G48" s="67"/>
      <c r="H48" s="68"/>
      <c r="I48" s="68"/>
      <c r="J48" s="67"/>
      <c r="K48" s="68"/>
      <c r="L48" t="str">
        <f t="shared" si="5"/>
        <v/>
      </c>
      <c r="M48" t="str">
        <f t="shared" si="4"/>
        <v/>
      </c>
      <c r="N48" s="5" t="str">
        <f>IF(ISBLANK(D48),"",Open_time Control_1+(INT(L48)&amp;":"&amp;IF(ROUND(((L48-INT(L48))*60),0)&lt;10,0,"")&amp;ROUND(((L48-INT(L48))*60),0)))</f>
        <v/>
      </c>
      <c r="O48" s="5" t="str">
        <f>IF(ISBLANK(D48),"",Open_time Control_1+(INT(M48)&amp;":"&amp;IF(ROUND(((M48-INT(M48))*60),0)&lt;10,0,"")&amp;ROUND(((M48-INT(M48))*60),0)))</f>
        <v/>
      </c>
    </row>
    <row r="49" spans="4:15" ht="17" customHeight="1" x14ac:dyDescent="0.15">
      <c r="D49" s="23"/>
      <c r="E49" s="66"/>
      <c r="F49" s="67"/>
      <c r="G49" s="67"/>
      <c r="H49" s="68"/>
      <c r="I49" s="67"/>
      <c r="J49" s="67"/>
      <c r="K49" s="68"/>
      <c r="L49" t="str">
        <f t="shared" si="5"/>
        <v/>
      </c>
      <c r="M49" t="str">
        <f t="shared" si="4"/>
        <v/>
      </c>
      <c r="N49" s="5" t="str">
        <f>IF(ISBLANK(D49),"",Open_time Control_1+(INT(L49)&amp;":"&amp;IF(ROUND(((L49-INT(L49))*60),0)&lt;10,0,"")&amp;ROUND(((L49-INT(L49))*60),0)))</f>
        <v/>
      </c>
      <c r="O49" s="5" t="str">
        <f>IF(ISBLANK(D49),"",Open_time Control_1+(INT(M49)&amp;":"&amp;IF(ROUND(((M49-INT(M49))*60),0)&lt;10,0,"")&amp;ROUND(((M49-INT(M49))*60),0)))</f>
        <v/>
      </c>
    </row>
    <row r="50" spans="4:15" ht="17" customHeight="1" thickBot="1" x14ac:dyDescent="0.2">
      <c r="D50" s="47"/>
      <c r="E50" s="69"/>
      <c r="F50" s="70"/>
      <c r="G50" s="70"/>
      <c r="H50" s="71"/>
      <c r="I50" s="70"/>
      <c r="J50" s="70"/>
      <c r="K50" s="71"/>
      <c r="L50" t="str">
        <f t="shared" si="5"/>
        <v/>
      </c>
      <c r="M50" t="str">
        <f t="shared" si="4"/>
        <v/>
      </c>
      <c r="N50" s="5" t="str">
        <f>IF(ISBLANK(D50),"",Open_time Control_1+(INT(L50)&amp;":"&amp;IF(ROUND(((L50-INT(L50))*60),0)&lt;10,0,"")&amp;ROUND(((L50-INT(L50))*60),0)))</f>
        <v/>
      </c>
      <c r="O50" s="5" t="str">
        <f>IF(ISBLANK(D50),"",Open_time Control_1+(INT(M50)&amp;":"&amp;IF(ROUND(((M50-INT(M50))*60),0)&lt;10,0,"")&amp;ROUND(((M50-INT(M50))*60),0)))</f>
        <v/>
      </c>
    </row>
    <row r="51" spans="4:15" ht="7" customHeight="1" thickBot="1" x14ac:dyDescent="0.25">
      <c r="D51" s="56"/>
      <c r="E51" s="57"/>
      <c r="F51" s="58"/>
      <c r="G51" s="58"/>
      <c r="H51" s="58"/>
      <c r="I51" s="58"/>
      <c r="J51" s="58"/>
      <c r="K51" s="59"/>
      <c r="N51" s="5"/>
      <c r="O51" s="5"/>
    </row>
    <row r="52" spans="4:15" ht="14" thickBot="1" x14ac:dyDescent="0.2">
      <c r="D52" s="97" t="s">
        <v>87</v>
      </c>
      <c r="E52" s="98"/>
      <c r="F52" s="98"/>
      <c r="G52" s="98"/>
      <c r="H52" s="98"/>
      <c r="I52" s="97" t="s">
        <v>88</v>
      </c>
      <c r="J52" s="98"/>
      <c r="K52" s="99"/>
    </row>
    <row r="53" spans="4:15" ht="14" thickBot="1" x14ac:dyDescent="0.2">
      <c r="D53" s="6" t="s">
        <v>24</v>
      </c>
      <c r="E53" s="7" t="s">
        <v>25</v>
      </c>
      <c r="F53" s="54" t="s">
        <v>26</v>
      </c>
      <c r="G53" s="54" t="s">
        <v>27</v>
      </c>
      <c r="H53" s="78" t="s">
        <v>28</v>
      </c>
      <c r="I53" s="7" t="s">
        <v>60</v>
      </c>
      <c r="J53" s="7" t="s">
        <v>61</v>
      </c>
      <c r="K53" s="8" t="s">
        <v>62</v>
      </c>
      <c r="L53" t="s">
        <v>3</v>
      </c>
      <c r="M53" t="s">
        <v>4</v>
      </c>
      <c r="N53" t="s">
        <v>5</v>
      </c>
      <c r="O53" t="s">
        <v>6</v>
      </c>
    </row>
    <row r="54" spans="4:15" ht="17" customHeight="1" x14ac:dyDescent="0.15">
      <c r="D54" s="23"/>
      <c r="E54" s="66"/>
      <c r="F54" s="67"/>
      <c r="G54" s="67"/>
      <c r="H54" s="68"/>
      <c r="I54" s="67"/>
      <c r="J54" s="67"/>
      <c r="K54" s="68"/>
      <c r="L54" t="str">
        <f>IF(ISBLANK(D54),"",IF(D54&gt;1000,(D54-1000)/26+33.0847,(IF(D54&gt;600,(D54-600)/28+18.799,(IF(D54&gt;400,(D54-400)/30+12.1324,(IF(D54&gt;200,(D54-200)/32+5.8824,D54/34))))))))</f>
        <v/>
      </c>
      <c r="M54" t="str">
        <f t="shared" ref="M54:M63" si="6">IF(ISBLANK(D54),"",IF((D54=0),1,IF(D54&gt;=brevet,IF(brevet&gt;1200,(brevet-1200)*75/1000+90,Max_time),IF(D54&gt;1200,(D54-1200)*75/1000+90,IF(D54&gt;1000,(D54-1000)/(1000/75)+75,IF(D54&gt;600,(D54-600)/(400/35)+40,IF(D54&lt;=60,D54/20+1,D54/15)))))))</f>
        <v/>
      </c>
      <c r="N54" s="5" t="str">
        <f>IF(ISBLANK(D54),"",Open_time Control_1+(INT(L54)&amp;":"&amp;IF(ROUND(((L54-INT(L54))*60),0)&lt;10,0,"")&amp;ROUND(((L54-INT(L54))*60),0)))</f>
        <v/>
      </c>
      <c r="O54" s="5" t="str">
        <f>IF(ISBLANK(D54),"",Open_time Control_1+(INT(M54)&amp;":"&amp;IF(ROUND(((M54-INT(M54))*60),0)&lt;10,0,"")&amp;ROUND(((M54-INT(M54))*60),0)))</f>
        <v/>
      </c>
    </row>
    <row r="55" spans="4:15" ht="17" customHeight="1" x14ac:dyDescent="0.15">
      <c r="D55" s="23"/>
      <c r="E55" s="66"/>
      <c r="F55" s="67"/>
      <c r="G55" s="67"/>
      <c r="H55" s="68"/>
      <c r="I55" s="67"/>
      <c r="J55" s="67"/>
      <c r="K55" s="68"/>
      <c r="L55" t="str">
        <f t="shared" ref="L55:L63" si="7">IF(ISBLANK(D55),"",IF(D55&gt;1000,(D55-1000)/26+33.0847,(IF(D55&gt;600,(D55-600)/28+18.799,(IF(D55&gt;400,(D55-400)/30+12.1324,(IF(D55&gt;200,(D55-200)/32+5.8824,D55/34))))))))</f>
        <v/>
      </c>
      <c r="M55" t="str">
        <f t="shared" si="6"/>
        <v/>
      </c>
      <c r="N55" s="5" t="str">
        <f>IF(ISBLANK(D55),"",Open_time Control_1+(INT(L55)&amp;":"&amp;IF(ROUND(((L55-INT(L55))*60),0)&lt;10,0,"")&amp;ROUND(((L55-INT(L55))*60),0)))</f>
        <v/>
      </c>
      <c r="O55" s="5" t="str">
        <f>IF(ISBLANK(D55),"",Open_time Control_1+(INT(M55)&amp;":"&amp;IF(ROUND(((M55-INT(M55))*60),0)&lt;10,0,"")&amp;ROUND(((M55-INT(M55))*60),0)))</f>
        <v/>
      </c>
    </row>
    <row r="56" spans="4:15" ht="17" customHeight="1" x14ac:dyDescent="0.15">
      <c r="D56" s="23"/>
      <c r="E56" s="66"/>
      <c r="F56" s="67"/>
      <c r="G56" s="67"/>
      <c r="H56" s="68"/>
      <c r="I56" s="67"/>
      <c r="J56" s="67"/>
      <c r="K56" s="68"/>
      <c r="L56" t="str">
        <f t="shared" si="7"/>
        <v/>
      </c>
      <c r="M56" t="str">
        <f t="shared" si="6"/>
        <v/>
      </c>
      <c r="N56" s="5" t="str">
        <f>IF(ISBLANK(D56),"",Open_time Control_1+(INT(L56)&amp;":"&amp;IF(ROUND(((L56-INT(L56))*60),0)&lt;10,0,"")&amp;ROUND(((L56-INT(L56))*60),0)))</f>
        <v/>
      </c>
      <c r="O56" s="5" t="str">
        <f>IF(ISBLANK(D56),"",Open_time Control_1+(INT(M56)&amp;":"&amp;IF(ROUND(((M56-INT(M56))*60),0)&lt;10,0,"")&amp;ROUND(((M56-INT(M56))*60),0)))</f>
        <v/>
      </c>
    </row>
    <row r="57" spans="4:15" ht="17" customHeight="1" x14ac:dyDescent="0.15">
      <c r="D57" s="23"/>
      <c r="E57" s="66"/>
      <c r="F57" s="67"/>
      <c r="G57" s="67"/>
      <c r="H57" s="68"/>
      <c r="I57" s="67"/>
      <c r="J57" s="67"/>
      <c r="K57" s="68"/>
      <c r="L57" t="str">
        <f t="shared" si="7"/>
        <v/>
      </c>
      <c r="M57" t="str">
        <f t="shared" si="6"/>
        <v/>
      </c>
      <c r="N57" s="5" t="str">
        <f>IF(ISBLANK(D57),"",Open_time Control_1+(INT(L57)&amp;":"&amp;IF(ROUND(((L57-INT(L57))*60),0)&lt;10,0,"")&amp;ROUND(((L57-INT(L57))*60),0)))</f>
        <v/>
      </c>
      <c r="O57" s="5" t="str">
        <f>IF(ISBLANK(D57),"",Open_time Control_1+(INT(M57)&amp;":"&amp;IF(ROUND(((M57-INT(M57))*60),0)&lt;10,0,"")&amp;ROUND(((M57-INT(M57))*60),0)))</f>
        <v/>
      </c>
    </row>
    <row r="58" spans="4:15" ht="17" customHeight="1" x14ac:dyDescent="0.15">
      <c r="D58" s="23"/>
      <c r="E58" s="66"/>
      <c r="F58" s="67"/>
      <c r="G58" s="67"/>
      <c r="H58" s="68"/>
      <c r="I58" s="67"/>
      <c r="J58" s="67"/>
      <c r="K58" s="68"/>
      <c r="L58" t="str">
        <f t="shared" si="7"/>
        <v/>
      </c>
      <c r="M58" t="str">
        <f t="shared" si="6"/>
        <v/>
      </c>
      <c r="N58" s="5" t="str">
        <f>IF(ISBLANK(D58),"",Open_time Control_1+(INT(L58)&amp;":"&amp;IF(ROUND(((L58-INT(L58))*60),0)&lt;10,0,"")&amp;ROUND(((L58-INT(L58))*60),0)))</f>
        <v/>
      </c>
      <c r="O58" s="5" t="str">
        <f>IF(ISBLANK(D58),"",Open_time Control_1+(INT(M58)&amp;":"&amp;IF(ROUND(((M58-INT(M58))*60),0)&lt;10,0,"")&amp;ROUND(((M58-INT(M58))*60),0)))</f>
        <v/>
      </c>
    </row>
    <row r="59" spans="4:15" ht="17" customHeight="1" x14ac:dyDescent="0.15">
      <c r="D59" s="23"/>
      <c r="E59" s="66"/>
      <c r="F59" s="67"/>
      <c r="G59" s="67"/>
      <c r="H59" s="68"/>
      <c r="I59" s="67"/>
      <c r="J59" s="67"/>
      <c r="K59" s="68"/>
      <c r="L59" t="str">
        <f t="shared" si="7"/>
        <v/>
      </c>
      <c r="M59" t="str">
        <f t="shared" si="6"/>
        <v/>
      </c>
      <c r="N59" s="5" t="str">
        <f>IF(ISBLANK(D59),"",Open_time Control_1+(INT(L59)&amp;":"&amp;IF(ROUND(((L59-INT(L59))*60),0)&lt;10,0,"")&amp;ROUND(((L59-INT(L59))*60),0)))</f>
        <v/>
      </c>
      <c r="O59" s="5" t="str">
        <f>IF(ISBLANK(D59),"",Open_time Control_1+(INT(M59)&amp;":"&amp;IF(ROUND(((M59-INT(M59))*60),0)&lt;10,0,"")&amp;ROUND(((M59-INT(M59))*60),0)))</f>
        <v/>
      </c>
    </row>
    <row r="60" spans="4:15" ht="17" customHeight="1" x14ac:dyDescent="0.15">
      <c r="D60" s="23"/>
      <c r="E60" s="66"/>
      <c r="F60" s="67"/>
      <c r="G60" s="67"/>
      <c r="H60" s="68"/>
      <c r="I60" s="67"/>
      <c r="J60" s="67"/>
      <c r="K60" s="68"/>
      <c r="L60" t="str">
        <f t="shared" si="7"/>
        <v/>
      </c>
      <c r="M60" t="str">
        <f t="shared" si="6"/>
        <v/>
      </c>
      <c r="N60" s="5" t="str">
        <f>IF(ISBLANK(D60),"",Open_time Control_1+(INT(L60)&amp;":"&amp;IF(ROUND(((L60-INT(L60))*60),0)&lt;10,0,"")&amp;ROUND(((L60-INT(L60))*60),0)))</f>
        <v/>
      </c>
      <c r="O60" s="5" t="str">
        <f>IF(ISBLANK(D60),"",Open_time Control_1+(INT(M60)&amp;":"&amp;IF(ROUND(((M60-INT(M60))*60),0)&lt;10,0,"")&amp;ROUND(((M60-INT(M60))*60),0)))</f>
        <v/>
      </c>
    </row>
    <row r="61" spans="4:15" ht="17" customHeight="1" x14ac:dyDescent="0.15">
      <c r="D61" s="23"/>
      <c r="E61" s="66"/>
      <c r="F61" s="67"/>
      <c r="G61" s="67"/>
      <c r="H61" s="68"/>
      <c r="I61" s="67"/>
      <c r="J61" s="67"/>
      <c r="K61" s="68"/>
      <c r="L61" t="str">
        <f t="shared" si="7"/>
        <v/>
      </c>
      <c r="M61" t="str">
        <f t="shared" si="6"/>
        <v/>
      </c>
      <c r="N61" s="5" t="str">
        <f>IF(ISBLANK(D61),"",Open_time Control_1+(INT(L61)&amp;":"&amp;IF(ROUND(((L61-INT(L61))*60),0)&lt;10,0,"")&amp;ROUND(((L61-INT(L61))*60),0)))</f>
        <v/>
      </c>
      <c r="O61" s="5" t="str">
        <f>IF(ISBLANK(D61),"",Open_time Control_1+(INT(M61)&amp;":"&amp;IF(ROUND(((M61-INT(M61))*60),0)&lt;10,0,"")&amp;ROUND(((M61-INT(M61))*60),0)))</f>
        <v/>
      </c>
    </row>
    <row r="62" spans="4:15" ht="17" customHeight="1" x14ac:dyDescent="0.15">
      <c r="D62" s="23"/>
      <c r="E62" s="66"/>
      <c r="F62" s="67"/>
      <c r="G62" s="67"/>
      <c r="H62" s="68"/>
      <c r="I62" s="67"/>
      <c r="J62" s="67"/>
      <c r="K62" s="68"/>
      <c r="L62" t="str">
        <f t="shared" si="7"/>
        <v/>
      </c>
      <c r="M62" t="str">
        <f t="shared" si="6"/>
        <v/>
      </c>
      <c r="N62" s="5" t="str">
        <f>IF(ISBLANK(D62),"",Open_time Control_1+(INT(L62)&amp;":"&amp;IF(ROUND(((L62-INT(L62))*60),0)&lt;10,0,"")&amp;ROUND(((L62-INT(L62))*60),0)))</f>
        <v/>
      </c>
      <c r="O62" s="5" t="str">
        <f>IF(ISBLANK(D62),"",Open_time Control_1+(INT(M62)&amp;":"&amp;IF(ROUND(((M62-INT(M62))*60),0)&lt;10,0,"")&amp;ROUND(((M62-INT(M62))*60),0)))</f>
        <v/>
      </c>
    </row>
    <row r="63" spans="4:15" ht="17" customHeight="1" thickBot="1" x14ac:dyDescent="0.2">
      <c r="D63" s="47"/>
      <c r="E63" s="69"/>
      <c r="F63" s="70"/>
      <c r="G63" s="70"/>
      <c r="H63" s="71"/>
      <c r="I63" s="70"/>
      <c r="J63" s="70"/>
      <c r="K63" s="71"/>
      <c r="L63" t="str">
        <f t="shared" si="7"/>
        <v/>
      </c>
      <c r="M63" t="str">
        <f t="shared" si="6"/>
        <v/>
      </c>
      <c r="N63" s="5" t="str">
        <f>IF(ISBLANK(D63),"",Open_time Control_1+(INT(L63)&amp;":"&amp;IF(ROUND(((L63-INT(L63))*60),0)&lt;10,0,"")&amp;ROUND(((L63-INT(L63))*60),0)))</f>
        <v/>
      </c>
      <c r="O63" s="5" t="str">
        <f>IF(ISBLANK(D63),"",Open_time Control_1+(INT(M63)&amp;":"&amp;IF(ROUND(((M63-INT(M63))*60),0)&lt;10,0,"")&amp;ROUND(((M63-INT(M63))*60),0)))</f>
        <v/>
      </c>
    </row>
  </sheetData>
  <sheetProtection algorithmName="SHA-512" hashValue="hXqSV0bU1chupEFDmG8jcGyvWNS5PnswRem4CQMjxQ0nMAu2s0QEHhTqcZepwEmcZ4YXOuX/yUKRZfDjv3IWAw==" saltValue="rHiEE/Oer+IiCcmxqua5ww==" spinCount="100000" sheet="1" objects="1" scenarios="1" formatCells="0" selectLockedCells="1"/>
  <mergeCells count="12">
    <mergeCell ref="D52:H52"/>
    <mergeCell ref="I52:K52"/>
    <mergeCell ref="Q1:Z5"/>
    <mergeCell ref="A1:H1"/>
    <mergeCell ref="B8:H8"/>
    <mergeCell ref="D39:H39"/>
    <mergeCell ref="I39:K39"/>
    <mergeCell ref="J6:K6"/>
    <mergeCell ref="D13:H13"/>
    <mergeCell ref="D26:H26"/>
    <mergeCell ref="I13:K13"/>
    <mergeCell ref="I26:K26"/>
  </mergeCells>
  <phoneticPr fontId="16" type="noConversion"/>
  <pageMargins left="0.75" right="0.75" top="1" bottom="1" header="0.5" footer="0.5"/>
  <pageSetup orientation="portrait" horizontalDpi="4294967292" verticalDpi="4294967292"/>
  <headerFooter>
    <oddHeader>&amp;A</oddHeader>
    <oddFooter>Page &amp;P</oddFooter>
  </headerFooter>
  <drawing r:id="rId1"/>
  <mc:AlternateContent xmlns:mc="http://schemas.openxmlformats.org/markup-compatibility/2006">
    <mc:Choice Requires="v">
      <legacyDrawing r:id="rId2"/>
    </mc:Choice>
  </mc:AlternateContent>
  <extLst>
    <ext xmlns="http://schemas.openxmlformats.org/spreadsheetml/2006/main" xmlns:mx="http://schemas.microsoft.com/office/mac/excel/2008/main" uri="{64002731-A6B0-56B0-2670-7721B7C09600}">
      <mx:PLV Mode="0" OnePage="0" WScale="0"/>
    </ext>
  </extLs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0"/>
  <sheetViews>
    <sheetView showGridLines="0" zoomScale="92" zoomScaleNormal="92" zoomScalePageLayoutView="92" workbookViewId="0">
      <selection activeCell="F28" sqref="F28"/>
    </sheetView>
  </sheetViews>
  <sheetFormatPr baseColWidth="10" defaultColWidth="8.83203125" defaultRowHeight="13" x14ac:dyDescent="0.15"/>
  <cols>
    <col min="1" max="1" width="8.5" style="1" customWidth="1"/>
    <col min="2" max="3" width="11.6640625" customWidth="1"/>
    <col min="4" max="4" width="18" customWidth="1"/>
    <col min="5" max="5" width="23.83203125" customWidth="1"/>
    <col min="6" max="6" width="42" customWidth="1"/>
    <col min="7" max="7" width="13.5" customWidth="1"/>
    <col min="8" max="8" width="8" customWidth="1"/>
    <col min="9" max="9" width="12" customWidth="1"/>
    <col min="12" max="14" width="9" customWidth="1"/>
    <col min="18" max="19" width="8.83203125" customWidth="1"/>
  </cols>
  <sheetData>
    <row r="1" spans="1:22" ht="21" thickBot="1" x14ac:dyDescent="0.2">
      <c r="A1" s="114" t="s">
        <v>80</v>
      </c>
      <c r="B1" s="114"/>
      <c r="C1" s="114"/>
      <c r="D1" s="114"/>
      <c r="E1" s="114"/>
      <c r="F1" s="114"/>
      <c r="G1" s="114"/>
      <c r="H1" s="24" t="s">
        <v>29</v>
      </c>
    </row>
    <row r="2" spans="1:22" ht="33.75" customHeight="1" thickBot="1" x14ac:dyDescent="0.25">
      <c r="A2" s="65" t="s">
        <v>30</v>
      </c>
      <c r="B2" s="9" t="s">
        <v>3</v>
      </c>
      <c r="C2" s="9" t="s">
        <v>4</v>
      </c>
      <c r="D2" s="9" t="s">
        <v>25</v>
      </c>
      <c r="E2" s="9" t="s">
        <v>31</v>
      </c>
      <c r="F2" s="9" t="s">
        <v>59</v>
      </c>
      <c r="G2" s="65" t="s">
        <v>32</v>
      </c>
      <c r="H2" s="24" t="s">
        <v>29</v>
      </c>
      <c r="K2" s="113" t="s">
        <v>55</v>
      </c>
      <c r="L2" s="113"/>
      <c r="M2" s="113"/>
      <c r="N2" s="113"/>
      <c r="O2" s="113"/>
      <c r="P2" s="113"/>
      <c r="Q2" s="113"/>
      <c r="R2" s="113"/>
      <c r="S2" s="113"/>
      <c r="T2" s="113"/>
      <c r="U2" s="113"/>
    </row>
    <row r="3" spans="1:22" ht="36" customHeight="1" x14ac:dyDescent="0.45">
      <c r="A3" s="25"/>
      <c r="B3" s="26" t="d">
        <f>Control_1 Open_time</f>
        <v>2023-07-08T06:00:00.000</v>
      </c>
      <c r="C3" s="26" t="d">
        <f>Control_1 Close_time</f>
        <v>2023-07-08T06:59:59.99999979045242400</v>
      </c>
      <c r="D3" s="27"/>
      <c r="E3" s="28" t="str">
        <f>IF(ISBLANK(Control_1 Establishment_1),"",Control_1 Establishment_1)</f>
        <v>BUSINESS</v>
      </c>
      <c r="F3" s="85" t="str">
        <f>IF(ISBLANK('Control Entry'!I15),"",'Control Entry'!I15)</f>
        <v/>
      </c>
      <c r="G3" s="86"/>
      <c r="H3" s="24" t="s">
        <v>29</v>
      </c>
      <c r="K3" s="14"/>
      <c r="O3" s="131" t="s">
        <v>33</v>
      </c>
      <c r="P3" s="131"/>
      <c r="Q3" s="131"/>
      <c r="R3" s="131"/>
      <c r="S3" s="75" t="str">
        <f>IF('Control Entry'!D28=0,"","#1")</f>
        <v/>
      </c>
      <c r="U3" s="38"/>
    </row>
    <row r="4" spans="1:22" ht="36" customHeight="1" x14ac:dyDescent="0.2">
      <c r="A4" s="34">
        <f>IF(ISBLANK(Distance Control_1),"",Control_1 Distance)</f>
        <v>0</v>
      </c>
      <c r="B4" s="35" t="d">
        <f>Control_1 Open_time</f>
        <v>2023-07-08T06:00:00.000</v>
      </c>
      <c r="C4" s="35" t="d">
        <f>Control_1 Close_time</f>
        <v>2023-07-08T06:59:59.99999979045242400</v>
      </c>
      <c r="D4" s="36" t="str">
        <f>IF(ISBLANK(Locale Control_1),"",Locale Control_1)</f>
        <v>VICTORIA WEST</v>
      </c>
      <c r="E4" s="28" t="str">
        <f>IF(ISBLANK(Control_1 Establishment_2),"",Control_1 Establishment_2)</f>
        <v>Shell Gas</v>
      </c>
      <c r="F4" s="85" t="str">
        <f>IF(ISBLANK('Control Entry'!J15),"",'Control Entry'!J15)</f>
        <v/>
      </c>
      <c r="G4" s="86"/>
      <c r="H4" s="24" t="s">
        <v>29</v>
      </c>
      <c r="K4" s="14"/>
      <c r="M4" s="116" t="str">
        <f>IF(ISBLANK(brevet),"",brevet&amp;" km Randonnée")</f>
        <v>300 km Randonnée</v>
      </c>
      <c r="N4" s="116"/>
      <c r="O4" s="116"/>
      <c r="P4" s="116"/>
      <c r="Q4" s="116"/>
      <c r="R4" s="116"/>
      <c r="S4" s="116"/>
      <c r="T4" s="116"/>
      <c r="U4" s="39"/>
    </row>
    <row r="5" spans="1:22" ht="36" customHeight="1" thickBot="1" x14ac:dyDescent="0.25">
      <c r="A5" s="29"/>
      <c r="B5" s="30" t="d">
        <f>Control_1 Open_time</f>
        <v>2023-07-08T06:00:00.000</v>
      </c>
      <c r="C5" s="30" t="d">
        <f>Control_1 Close_time</f>
        <v>2023-07-08T06:59:59.99999979045242400</v>
      </c>
      <c r="D5" s="31"/>
      <c r="E5" s="32" t="str">
        <f>IF(ISBLANK(Control_1 Establishment_3),"",Control_1 Establishment_3)</f>
        <v>100 Esquimalt Rd</v>
      </c>
      <c r="F5" s="89" t="str">
        <f>IF(ISBLANK('Control Entry'!K15),"",'Control Entry'!K15)</f>
        <v/>
      </c>
      <c r="G5" s="88"/>
      <c r="H5" s="24" t="s">
        <v>29</v>
      </c>
      <c r="K5" s="14"/>
      <c r="M5" s="15"/>
      <c r="N5" s="107" t="s">
        <v>47</v>
      </c>
      <c r="O5" s="107"/>
      <c r="P5" s="52">
        <f>IF(ISBLANK(Brevet_Number),"",Brevet_Number)</f>
        <v>5274</v>
      </c>
      <c r="Q5" s="53"/>
      <c r="R5" s="119" t="d">
        <f>IF(ISBLANK('Control Entry'!$B10),"",'Control Entry'!$B10)</f>
        <v>2023-07-08</v>
      </c>
      <c r="S5" s="119"/>
      <c r="T5" s="119"/>
      <c r="U5" s="119"/>
      <c r="V5" s="40"/>
    </row>
    <row r="6" spans="1:22" ht="36" customHeight="1" x14ac:dyDescent="0.2">
      <c r="A6" s="25"/>
      <c r="B6" s="26" t="d">
        <f>Control_2 Open_time</f>
        <v>2023-07-08T07:08:00.000000097788870375</v>
      </c>
      <c r="C6" s="26" t="d">
        <f>Control_2 Close_time</f>
        <v>2023-07-08T08:55:59.99999984633177850</v>
      </c>
      <c r="D6" s="33"/>
      <c r="E6" s="28" t="str">
        <f>IF(ISBLANK(Control_2 Establishment_1),"",Control_2 Establishment_1)</f>
        <v>INFORMATION</v>
      </c>
      <c r="F6" s="85" t="str">
        <f>IF(ISBLANK('Control Entry'!I16),"",'Control Entry'!I16)</f>
        <v>Small yellow sign at entrance</v>
      </c>
      <c r="G6" s="86"/>
      <c r="H6" s="24" t="s">
        <v>29</v>
      </c>
      <c r="K6" s="14"/>
      <c r="L6" s="134" t="str">
        <f>IF(ISBLANK(Brevet_Description),"",Brevet_Description)</f>
        <v>Jordan River Jaunt</v>
      </c>
      <c r="M6" s="134"/>
      <c r="N6" s="134"/>
      <c r="O6" s="134"/>
      <c r="P6" s="134"/>
      <c r="Q6" s="134"/>
      <c r="R6" s="134"/>
      <c r="S6" s="134"/>
      <c r="T6" s="134"/>
      <c r="U6" s="134"/>
    </row>
    <row r="7" spans="1:22" ht="36" customHeight="1" x14ac:dyDescent="0.2">
      <c r="A7" s="34">
        <f>IF(ISBLANK(Distance Control_2),"",Control_2 Distance)</f>
        <v>38.700000000000003</v>
      </c>
      <c r="B7" s="35" t="d">
        <f>Control_2 Open_time</f>
        <v>2023-07-08T07:08:00.000000097788870375</v>
      </c>
      <c r="C7" s="35" t="d">
        <f>Control_2 Close_time</f>
        <v>2023-07-08T08:55:59.99999984633177850</v>
      </c>
      <c r="D7" s="36" t="str">
        <f>IF(ISBLANK(Locale Control_2),"",Locale Control_2)</f>
        <v>EAST SOOKE</v>
      </c>
      <c r="E7" s="48" t="str">
        <f>IF(ISBLANK(Control_2 Establishment_2),"",Control_2 Establishment_2)</f>
        <v>East Sooke Grocer and General Store</v>
      </c>
      <c r="F7" s="87" t="str">
        <f>IF(ISBLANK('Control Entry'!J16),"",'Control Entry'!J16)</f>
        <v>Crossing warning for ???</v>
      </c>
      <c r="G7" s="86"/>
      <c r="H7" s="24" t="s">
        <v>29</v>
      </c>
      <c r="J7" s="74"/>
      <c r="L7" s="74"/>
    </row>
    <row r="8" spans="1:22" ht="36" customHeight="1" thickBot="1" x14ac:dyDescent="0.25">
      <c r="A8" s="29"/>
      <c r="B8" s="30" t="d">
        <f>Control_2 Open_time</f>
        <v>2023-07-08T07:08:00.000000097788870375</v>
      </c>
      <c r="C8" s="30" t="d">
        <f>Control_2 Close_time</f>
        <v>2023-07-08T08:55:59.99999984633177850</v>
      </c>
      <c r="D8" s="31"/>
      <c r="E8" s="73" t="str">
        <f>IF(ISBLANK(Control_2 Establishment_3),"",Control_2 Establishment_3)</f>
        <v>5611 East Sooke Rd</v>
      </c>
      <c r="F8" s="89" t="str">
        <f>IF(ISBLANK('Control Entry'!K16),"",'Control Entry'!K16)</f>
        <v>KIDS       DOGS        SASQUATCH</v>
      </c>
      <c r="G8" s="88"/>
      <c r="H8" s="24" t="s">
        <v>29</v>
      </c>
      <c r="J8" s="15" t="s">
        <v>34</v>
      </c>
      <c r="L8" s="120"/>
      <c r="M8" s="120"/>
      <c r="N8" s="120"/>
      <c r="O8" s="120"/>
      <c r="P8" s="120"/>
      <c r="Q8" s="120"/>
      <c r="S8" s="41" t="s">
        <v>46</v>
      </c>
      <c r="T8" s="127"/>
      <c r="U8" s="127"/>
    </row>
    <row r="9" spans="1:22" ht="36" customHeight="1" thickBot="1" x14ac:dyDescent="0.3">
      <c r="A9" s="25"/>
      <c r="B9" s="26" t="d">
        <f>Control_3 Open_time</f>
        <v>2023-07-08T08:33:59.99999994412064550</v>
      </c>
      <c r="C9" s="26" t="d">
        <f>Control_3 Close_time</f>
        <v>2023-07-08T11:48:00.00000016763806350</v>
      </c>
      <c r="D9" s="33"/>
      <c r="E9" s="28" t="str">
        <f>IF(ISBLANK(Control_3 Establishment_1),"",Control_3 Establishment_1)</f>
        <v>BUSINESS</v>
      </c>
      <c r="F9" s="85" t="str">
        <f>IF(ISBLANK('Control Entry'!I17),"",'Control Entry'!I17)</f>
        <v>Facing store, bench to right</v>
      </c>
      <c r="G9" s="86"/>
      <c r="H9" s="24" t="s">
        <v>29</v>
      </c>
      <c r="J9" s="15" t="s">
        <v>35</v>
      </c>
      <c r="K9" s="15"/>
      <c r="L9" s="136" t="s">
        <v>54</v>
      </c>
      <c r="M9" s="136"/>
      <c r="N9" s="136"/>
      <c r="O9" s="136"/>
      <c r="P9" s="136"/>
      <c r="Q9" s="136"/>
      <c r="R9" s="136"/>
      <c r="S9" s="136"/>
      <c r="T9" s="136"/>
      <c r="U9" s="136"/>
    </row>
    <row r="10" spans="1:22" ht="36" customHeight="1" thickBot="1" x14ac:dyDescent="0.3">
      <c r="A10" s="34">
        <f>IF(ISBLANK(Distance Control_3),"",Control_3 Distance)</f>
        <v>87.1</v>
      </c>
      <c r="B10" s="35" t="d">
        <f>Control_3 Open_time</f>
        <v>2023-07-08T08:33:59.99999994412064550</v>
      </c>
      <c r="C10" s="35" t="d">
        <f>Control_3 Close_time</f>
        <v>2023-07-08T11:48:00.00000016763806350</v>
      </c>
      <c r="D10" s="36" t="str">
        <f>IF(ISBLANK(Locale Control_3),"",Locale Control_3)</f>
        <v>JORDAN RIVER</v>
      </c>
      <c r="E10" s="28" t="str">
        <f>IF(ISBLANK(Control_3 Establishment_2),"",Control_3 Establishment_2)</f>
        <v>Cold Shoulder Café</v>
      </c>
      <c r="F10" s="85" t="str">
        <f>IF(ISBLANK('Control Entry'!J17),"",'Control Entry'!J17)</f>
        <v>Name on bench???</v>
      </c>
      <c r="G10" s="86"/>
      <c r="H10" s="24" t="s">
        <v>29</v>
      </c>
      <c r="J10" s="15"/>
      <c r="K10" s="15"/>
      <c r="L10" s="129"/>
      <c r="M10" s="129"/>
      <c r="N10" s="129"/>
      <c r="O10" s="129"/>
      <c r="P10" s="129"/>
      <c r="Q10" s="129"/>
      <c r="R10" s="129"/>
      <c r="S10" s="129"/>
      <c r="T10" s="129"/>
      <c r="U10" s="129"/>
    </row>
    <row r="11" spans="1:22" ht="36" customHeight="1" thickBot="1" x14ac:dyDescent="0.3">
      <c r="A11" s="29"/>
      <c r="B11" s="30" t="d">
        <f>Control_3 Open_time</f>
        <v>2023-07-08T08:33:59.99999994412064550</v>
      </c>
      <c r="C11" s="30" t="d">
        <f>Control_3 Close_time</f>
        <v>2023-07-08T11:48:00.00000016763806350</v>
      </c>
      <c r="D11" s="31"/>
      <c r="E11" s="32" t="str">
        <f>IF(ISBLANK(Control_3 Establishment_3),"",Control_3 Establishment_3)</f>
        <v>11950 West Coast Rd</v>
      </c>
      <c r="F11" s="89" t="str">
        <f>IF(ISBLANK('Control Entry'!K17),"",'Control Entry'!K17)</f>
        <v>CHEV         DODGE         FORD</v>
      </c>
      <c r="G11" s="88"/>
      <c r="H11" s="24" t="s">
        <v>29</v>
      </c>
      <c r="J11" s="15" t="s">
        <v>36</v>
      </c>
      <c r="K11" s="15"/>
      <c r="L11" s="129"/>
      <c r="M11" s="129"/>
      <c r="N11" s="129"/>
      <c r="O11" s="15"/>
      <c r="P11" s="15" t="s">
        <v>37</v>
      </c>
      <c r="Q11" s="15"/>
      <c r="R11" s="15"/>
      <c r="S11" s="117"/>
      <c r="T11" s="117"/>
      <c r="U11" s="117"/>
    </row>
    <row r="12" spans="1:22" ht="36" customHeight="1" thickBot="1" x14ac:dyDescent="0.3">
      <c r="A12" s="25"/>
      <c r="B12" s="26" t="d">
        <f>Control_4 Open_time</f>
        <v>2023-07-08T10:22:59.99999988824129100</v>
      </c>
      <c r="C12" s="26" t="d">
        <f>Control_4 Close_time</f>
        <v>2023-07-08T15:56:00.00000026542693050</v>
      </c>
      <c r="D12" s="33"/>
      <c r="E12" s="28" t="str">
        <f>IF(ISBLANK(Control_4 Establishment_1),"",Control_4 Establishment_1)</f>
        <v>INFORMATION</v>
      </c>
      <c r="F12" s="85" t="str">
        <f>IF(ISBLANK('Control Entry'!I18),"",'Control Entry'!I18)</f>
        <v>Blue sign to right of gate</v>
      </c>
      <c r="G12" s="86"/>
      <c r="H12" s="24" t="s">
        <v>29</v>
      </c>
      <c r="J12" s="15" t="s">
        <v>38</v>
      </c>
      <c r="K12" s="15"/>
      <c r="L12" s="129"/>
      <c r="M12" s="129"/>
      <c r="N12" s="129"/>
      <c r="O12" s="15"/>
      <c r="P12" s="15" t="s">
        <v>39</v>
      </c>
      <c r="Q12" s="15"/>
      <c r="R12" s="15"/>
      <c r="S12" s="117"/>
      <c r="T12" s="117"/>
      <c r="U12" s="117"/>
    </row>
    <row r="13" spans="1:22" ht="36" customHeight="1" thickBot="1" x14ac:dyDescent="0.3">
      <c r="A13" s="34">
        <f>IF(ISBLANK(Distance Control_4),"",Control_4 Distance)</f>
        <v>149</v>
      </c>
      <c r="B13" s="35" t="d">
        <f>Control_4 Open_time</f>
        <v>2023-07-08T10:22:59.99999988824129100</v>
      </c>
      <c r="C13" s="35" t="d">
        <f>Control_4 Close_time</f>
        <v>2023-07-08T15:56:00.00000026542693050</v>
      </c>
      <c r="D13" s="36" t="str">
        <f>IF(ISBLANK(Locale Control_4),"",Locale Control_4)</f>
        <v>LANGFORD</v>
      </c>
      <c r="E13" s="28" t="str">
        <f>IF(ISBLANK(Control_4 Establishment_2),"",Control_4 Establishment_2)</f>
        <v>Mt. Wells Regional Park</v>
      </c>
      <c r="F13" s="85" t="str">
        <f>IF(ISBLANK('Control Entry'!J18),"",'Control Entry'!J18)</f>
        <v>Park opening hour?</v>
      </c>
      <c r="G13" s="86"/>
      <c r="H13" s="24" t="s">
        <v>29</v>
      </c>
      <c r="J13" s="15" t="s">
        <v>40</v>
      </c>
      <c r="L13" s="139"/>
      <c r="M13" s="139"/>
      <c r="N13" s="139"/>
      <c r="P13" s="15" t="s">
        <v>41</v>
      </c>
      <c r="Q13" s="15"/>
      <c r="R13" s="118"/>
      <c r="S13" s="118"/>
      <c r="T13" s="118"/>
      <c r="U13" s="118"/>
    </row>
    <row r="14" spans="1:22" ht="36" customHeight="1" thickBot="1" x14ac:dyDescent="0.25">
      <c r="A14" s="29"/>
      <c r="B14" s="30" t="d">
        <f>Control_4 Open_time</f>
        <v>2023-07-08T10:22:59.99999988824129100</v>
      </c>
      <c r="C14" s="30" t="d">
        <f>Control_4 Close_time</f>
        <v>2023-07-08T15:56:00.00000026542693050</v>
      </c>
      <c r="D14" s="31"/>
      <c r="E14" s="32" t="str">
        <f>IF(ISBLANK(Control_4 Establishment_3),"",Control_4 Establishment_3)</f>
        <v>Humpback Rd</v>
      </c>
      <c r="F14" s="89" t="str">
        <f>IF(ISBLANK('Control Entry'!K18),"",'Control Entry'!K18)</f>
        <v>SUNRISE         DAWN       7AM</v>
      </c>
      <c r="G14" s="88"/>
      <c r="H14" s="24" t="s">
        <v>29</v>
      </c>
    </row>
    <row r="15" spans="1:22" ht="36" customHeight="1" x14ac:dyDescent="0.2">
      <c r="A15" s="25"/>
      <c r="B15" s="26" t="d">
        <f>Control_5 Open_time</f>
        <v>2023-07-08T10:57:59.99999981839210125</v>
      </c>
      <c r="C15" s="26" t="d">
        <f>Control_5 Close_time</f>
        <v>2023-07-08T17:15:00.000</v>
      </c>
      <c r="D15" s="33"/>
      <c r="E15" s="28" t="str">
        <f>IF(ISBLANK(Control_5 Establishment_1),"",Control_5 Establishment_1)</f>
        <v>INFORMATION</v>
      </c>
      <c r="F15" s="85" t="str">
        <f>IF(ISBLANK('Control Entry'!I19),"",'Control Entry'!I19)</f>
        <v>Blue Park Open hours sign</v>
      </c>
      <c r="G15" s="86"/>
      <c r="H15" s="24" t="s">
        <v>29</v>
      </c>
      <c r="J15" s="15"/>
      <c r="L15" s="133" t="s">
        <v>58</v>
      </c>
      <c r="M15" s="133"/>
      <c r="N15" s="133"/>
      <c r="O15" s="133"/>
      <c r="P15" s="133"/>
      <c r="Q15" s="133"/>
      <c r="R15" s="133"/>
      <c r="S15" s="133"/>
      <c r="T15" s="133"/>
      <c r="U15" s="133"/>
    </row>
    <row r="16" spans="1:22" ht="36" customHeight="1" thickBot="1" x14ac:dyDescent="0.25">
      <c r="A16" s="34">
        <f>IF(ISBLANK(Distance Control_5),"",Control_5 Distance)</f>
        <v>168.7</v>
      </c>
      <c r="B16" s="35" t="d">
        <f>Control_5 Open_time</f>
        <v>2023-07-08T10:57:59.99999981839210125</v>
      </c>
      <c r="C16" s="35" t="d">
        <f>Control_5 Close_time</f>
        <v>2023-07-08T17:15:00.000</v>
      </c>
      <c r="D16" s="36" t="str">
        <f>IF(ISBLANK(Locale Control_5),"",Locale Control_5)</f>
        <v>HIGHLANDS</v>
      </c>
      <c r="E16" s="28" t="str">
        <f>IF(ISBLANK(Control_5 Establishment_2),"",Control_5 Establishment_2)</f>
        <v>Mt. Work Regional Park</v>
      </c>
      <c r="F16" s="85" t="str">
        <f>IF(ISBLANK('Control Entry'!J19),"",'Control Entry'!J19)</f>
        <v>Symbol on back lower right</v>
      </c>
      <c r="G16" s="86"/>
      <c r="H16" s="24" t="s">
        <v>29</v>
      </c>
      <c r="L16" s="137"/>
      <c r="M16" s="137"/>
      <c r="N16" s="137"/>
      <c r="O16" s="137"/>
      <c r="P16" s="137"/>
      <c r="Q16" s="137"/>
      <c r="R16" s="137"/>
      <c r="S16" s="137"/>
      <c r="T16" s="137"/>
      <c r="U16" s="137"/>
    </row>
    <row r="17" spans="1:22" ht="36" customHeight="1" thickBot="1" x14ac:dyDescent="0.25">
      <c r="A17" s="29"/>
      <c r="B17" s="30" t="d">
        <f>Control_5 Open_time</f>
        <v>2023-07-08T10:57:59.99999981839210125</v>
      </c>
      <c r="C17" s="30" t="d">
        <f>Control_5 Close_time</f>
        <v>2023-07-08T17:15:00.000</v>
      </c>
      <c r="D17" s="31"/>
      <c r="E17" s="32" t="str">
        <f>IF(ISBLANK(Control_5 Establishment_3),"",Control_5 Establishment_3)</f>
        <v>Ross Durance Rd</v>
      </c>
      <c r="F17" s="89" t="str">
        <f>IF(ISBLANK('Control Entry'!K19),"",'Control Entry'!K19)</f>
        <v>TREE       BIKE       CARTOON</v>
      </c>
      <c r="G17" s="88"/>
      <c r="H17" s="24" t="s">
        <v>29</v>
      </c>
    </row>
    <row r="18" spans="1:22" ht="36" customHeight="1" x14ac:dyDescent="0.2">
      <c r="A18" s="25"/>
      <c r="B18" s="26" t="d">
        <f>Control_6 Open_time</f>
        <v>2023-07-08T11:44:00.00000001396983525</v>
      </c>
      <c r="C18" s="26" t="d">
        <f>Control_6 Close_time</f>
        <v>2023-07-08T18:59:59.99999979045242400</v>
      </c>
      <c r="D18" s="33"/>
      <c r="E18" s="28" t="str">
        <f>IF(ISBLANK(Control_6 Establishment_1),"",Control_6 Establishment_1)</f>
        <v>INFORMATION</v>
      </c>
      <c r="F18" s="85" t="str">
        <f>IF(ISBLANK('Control Entry'!I20),"",'Control Entry'!I20)</f>
        <v>Power pole across Lands End Rd</v>
      </c>
      <c r="G18" s="86"/>
      <c r="H18" s="24" t="s">
        <v>29</v>
      </c>
    </row>
    <row r="19" spans="1:22" ht="36" customHeight="1" x14ac:dyDescent="0.2">
      <c r="A19" s="34">
        <f>IF(ISBLANK(Distance Control_6),"",Control_6 Distance)</f>
        <v>195</v>
      </c>
      <c r="B19" s="35" t="d">
        <f>Control_6 Open_time</f>
        <v>2023-07-08T11:44:00.00000001396983525</v>
      </c>
      <c r="C19" s="35" t="d">
        <f>Control_6 Close_time</f>
        <v>2023-07-08T18:59:59.99999979045242400</v>
      </c>
      <c r="D19" s="36" t="str">
        <f>IF(ISBLANK(Locale Control_6),"",Locale Control_6)</f>
        <v>NORTH SAANICH</v>
      </c>
      <c r="E19" s="28" t="str">
        <f>IF(ISBLANK(Control_6 Establishment_2),"",Control_6 Establishment_2)</f>
        <v>Stop sign</v>
      </c>
      <c r="F19" s="87" t="str">
        <f>IF(ISBLANK('Control Entry'!J20),"",'Control Entry'!J20)</f>
        <v>Bottom sign</v>
      </c>
      <c r="G19" s="86"/>
      <c r="H19" s="24" t="s">
        <v>29</v>
      </c>
    </row>
    <row r="20" spans="1:22" ht="36" customHeight="1" thickBot="1" x14ac:dyDescent="0.25">
      <c r="A20" s="29"/>
      <c r="B20" s="30" t="d">
        <f>Control_6 Open_time</f>
        <v>2023-07-08T11:44:00.00000001396983525</v>
      </c>
      <c r="C20" s="30" t="d">
        <f>Control_6 Close_time</f>
        <v>2023-07-08T18:59:59.99999979045242400</v>
      </c>
      <c r="D20" s="31"/>
      <c r="E20" s="32" t="str">
        <f>IF(ISBLANK(Control_6 Establishment_3),"",Control_6 Establishment_3)</f>
        <v>West Saanich Rd @ Lands End Rd</v>
      </c>
      <c r="F20" s="89" t="str">
        <f>IF(ISBLANK('Control Entry'!K20),"",'Control Entry'!K20)</f>
        <v>Pacifica __________________?</v>
      </c>
      <c r="G20" s="88"/>
      <c r="H20" s="24" t="s">
        <v>29</v>
      </c>
      <c r="J20" s="50" t="s">
        <v>44</v>
      </c>
      <c r="K20" s="50"/>
      <c r="L20" s="128" t="d">
        <f>IF(ISBLANK('Control Entry'!B12),"",'Control Entry'!B12)</f>
        <v>2023-07-08</v>
      </c>
      <c r="M20" s="128"/>
      <c r="N20" s="128"/>
      <c r="P20" s="15" t="s">
        <v>0</v>
      </c>
      <c r="Q20" s="15"/>
      <c r="S20" s="132" t="d">
        <f>IF(ISBLANK('Control Entry'!B13),"",'Control Entry'!B13)</f>
        <v>06:00:00.000</v>
      </c>
      <c r="T20" s="132"/>
      <c r="U20" s="132"/>
    </row>
    <row r="21" spans="1:22" ht="36" customHeight="1" x14ac:dyDescent="0.2">
      <c r="A21" s="25"/>
      <c r="B21" s="26" t="d">
        <f>Control_7 Open_time</f>
        <v>2023-07-08T13:16:59.99999997206032275</v>
      </c>
      <c r="C21" s="26" t="d">
        <f>Control_7 Close_time</f>
        <v>2023-07-08T22:19:59.99999993015081025</v>
      </c>
      <c r="D21" s="33"/>
      <c r="E21" s="28" t="str">
        <f>IF(ISBLANK(Control_7 Establishment_1),"",Control_7 Establishment_1)</f>
        <v>INFORMATION</v>
      </c>
      <c r="F21" s="85" t="str">
        <f>IF(ISBLANK('Control Entry'!I21),"",'Control Entry'!I21)</f>
        <v>Within closed road area</v>
      </c>
      <c r="G21" s="86"/>
      <c r="H21" s="24" t="s">
        <v>29</v>
      </c>
      <c r="J21" s="50"/>
      <c r="K21" s="50"/>
      <c r="L21" s="44"/>
      <c r="M21" s="44"/>
      <c r="N21" s="44"/>
      <c r="P21" s="15"/>
      <c r="Q21" s="15"/>
      <c r="S21" s="51"/>
      <c r="T21" s="51"/>
      <c r="U21" s="51"/>
    </row>
    <row r="22" spans="1:22" ht="36" customHeight="1" thickBot="1" x14ac:dyDescent="0.25">
      <c r="A22" s="34">
        <f>IF(ISBLANK(Distance Control_7),"",Control_7 Distance)</f>
        <v>244.9</v>
      </c>
      <c r="B22" s="35" t="d">
        <f>Control_7 Open_time</f>
        <v>2023-07-08T13:16:59.99999997206032275</v>
      </c>
      <c r="C22" s="35" t="d">
        <f>Control_7 Close_time</f>
        <v>2023-07-08T22:19:59.99999993015081025</v>
      </c>
      <c r="D22" s="36" t="str">
        <f>IF(ISBLANK(Locale Control_7),"",Locale Control_7)</f>
        <v>VICTORIA</v>
      </c>
      <c r="E22" s="28" t="str">
        <f>IF(ISBLANK(Control_7 Establishment_2),"",Control_7 Establishment_2)</f>
        <v>End of road</v>
      </c>
      <c r="F22" s="85" t="str">
        <f>IF(ISBLANK('Control Entry'!J21),"",'Control Entry'!J21)</f>
        <v>How many red chairs?</v>
      </c>
      <c r="G22" s="86"/>
      <c r="H22" s="24" t="s">
        <v>29</v>
      </c>
      <c r="J22" s="50" t="s">
        <v>45</v>
      </c>
      <c r="K22" s="50"/>
      <c r="L22" s="138"/>
      <c r="M22" s="138"/>
      <c r="N22" s="138"/>
      <c r="P22" s="15" t="s">
        <v>1</v>
      </c>
      <c r="Q22" s="15"/>
      <c r="S22" s="135"/>
      <c r="T22" s="135"/>
      <c r="U22" s="135"/>
    </row>
    <row r="23" spans="1:22" ht="36" customHeight="1" thickBot="1" x14ac:dyDescent="0.25">
      <c r="A23" s="29"/>
      <c r="B23" s="30" t="d">
        <f>Control_7 Open_time</f>
        <v>2023-07-08T13:16:59.99999997206032275</v>
      </c>
      <c r="C23" s="30" t="d">
        <f>Control_7 Close_time</f>
        <v>2023-07-08T22:19:59.99999993015081025</v>
      </c>
      <c r="D23" s="31"/>
      <c r="E23" s="32" t="str">
        <f>IF(ISBLANK(Control_7 Establishment_3),"",Control_7 Establishment_3)</f>
        <v>Clover Point loop</v>
      </c>
      <c r="F23" s="89" t="str">
        <f>IF(ISBLANK('Control Entry'!K21),"",'Control Entry'!K21)</f>
        <v>NONE         SOME        DOZENS</v>
      </c>
      <c r="G23" s="88"/>
      <c r="H23" s="24" t="s">
        <v>29</v>
      </c>
      <c r="J23" s="50"/>
      <c r="K23" s="50"/>
      <c r="L23" s="44"/>
      <c r="M23" s="44"/>
      <c r="N23" s="44"/>
      <c r="P23" s="15"/>
      <c r="Q23" s="15"/>
    </row>
    <row r="24" spans="1:22" ht="36" customHeight="1" thickBot="1" x14ac:dyDescent="0.25">
      <c r="A24" s="25"/>
      <c r="B24" s="26" t="d">
        <f>Control_8 Open_time</f>
        <v>2023-07-08T13:54:59.99999986030161375</v>
      </c>
      <c r="C24" s="26" t="d">
        <f>Control_8 Close_time</f>
        <v>2023-07-08T23:39:59.99999986030161375</v>
      </c>
      <c r="D24" s="33"/>
      <c r="E24" s="28" t="str">
        <f>IF(ISBLANK(Control_8 Establishment_1),"",Control_8 Establishment_1)</f>
        <v>INFORMATION</v>
      </c>
      <c r="F24" s="85" t="str">
        <f>IF(ISBLANK('Control Entry'!I22),"",'Control Entry'!I22)</f>
        <v>Goward parking lot, left side from road</v>
      </c>
      <c r="G24" s="86"/>
      <c r="H24" s="24" t="s">
        <v>29</v>
      </c>
      <c r="J24" s="135"/>
      <c r="K24" s="135"/>
      <c r="L24" s="135"/>
      <c r="M24" s="135"/>
      <c r="N24" s="135"/>
      <c r="P24" s="15" t="s">
        <v>2</v>
      </c>
      <c r="Q24" s="15"/>
      <c r="S24" s="135"/>
      <c r="T24" s="135"/>
      <c r="U24" s="135"/>
    </row>
    <row r="25" spans="1:22" ht="36" customHeight="1" x14ac:dyDescent="0.2">
      <c r="A25" s="34">
        <f>IF(ISBLANK(Distance Control_8),"",Control_8 Distance)</f>
        <v>265</v>
      </c>
      <c r="B25" s="35" t="d">
        <f>Control_8 Open_time</f>
        <v>2023-07-08T13:54:59.99999986030161375</v>
      </c>
      <c r="C25" s="35" t="d">
        <f>Control_8 Close_time</f>
        <v>2023-07-08T23:39:59.99999986030161375</v>
      </c>
      <c r="D25" s="36" t="str">
        <f>IF(ISBLANK(Locale Control_8),"",Locale Control_8)</f>
        <v>SAANICH</v>
      </c>
      <c r="E25" s="28" t="str">
        <f>IF(ISBLANK(Control_8 Establishment_2),"",Control_8 Establishment_2)</f>
        <v>Whitehead Park</v>
      </c>
      <c r="F25" s="87" t="str">
        <f>IF(ISBLANK('Control Entry'!J22),"",'Control Entry'!J22)</f>
        <v>Number at bottom left of mailboxes</v>
      </c>
      <c r="G25" s="86"/>
      <c r="H25" s="24" t="s">
        <v>29</v>
      </c>
      <c r="J25" s="130" t="s">
        <v>17</v>
      </c>
      <c r="K25" s="130"/>
      <c r="L25" s="130"/>
      <c r="M25" s="130"/>
      <c r="N25" s="130"/>
      <c r="O25" s="46"/>
      <c r="P25" s="109"/>
      <c r="Q25" s="109"/>
      <c r="R25" s="46"/>
      <c r="S25" s="107"/>
      <c r="T25" s="107"/>
      <c r="U25" s="107"/>
      <c r="V25" s="107"/>
    </row>
    <row r="26" spans="1:22" ht="36" customHeight="1" thickBot="1" x14ac:dyDescent="0.25">
      <c r="A26" s="29"/>
      <c r="B26" s="30" t="d">
        <f>Control_8 Open_time</f>
        <v>2023-07-08T13:54:59.99999986030161375</v>
      </c>
      <c r="C26" s="30" t="d">
        <f>Control_8 Close_time</f>
        <v>2023-07-08T23:39:59.99999986030161375</v>
      </c>
      <c r="D26" s="31"/>
      <c r="E26" s="32" t="str">
        <f>IF(ISBLANK(Control_8 Establishment_3),"",Control_8 Establishment_3)</f>
        <v>Goward @ Prospect Lake</v>
      </c>
      <c r="F26" s="89" t="str">
        <f>IF(ISBLANK('Control Entry'!K22),"",'Control Entry'!K22)</f>
        <v>V9E00 ______    _______</v>
      </c>
      <c r="G26" s="88"/>
      <c r="H26" s="24" t="s">
        <v>29</v>
      </c>
    </row>
    <row r="27" spans="1:22" ht="36" customHeight="1" x14ac:dyDescent="0.2">
      <c r="A27" s="25"/>
      <c r="B27" s="26" t="d">
        <f>Control_9 Open_time</f>
        <v>2023-07-08T14:30:59.99999998603016475</v>
      </c>
      <c r="C27" s="26" t="d">
        <f>Control_9 Close_time</f>
        <v>2023-07-09T00:58:00.00000002793967725</v>
      </c>
      <c r="D27" s="33"/>
      <c r="E27" s="28" t="str">
        <f>IF(ISBLANK(Control_9 Establishment_1),"",Control_9 Establishment_1)</f>
        <v>INFORMATION</v>
      </c>
      <c r="F27" s="85" t="str">
        <f>IF(ISBLANK('Control Entry'!I23),"",'Control Entry'!I23)</f>
        <v>At crosswalk AFTER roundabout</v>
      </c>
      <c r="G27" s="86"/>
      <c r="H27" s="24" t="s">
        <v>29</v>
      </c>
      <c r="K27" s="116" t="s">
        <v>56</v>
      </c>
      <c r="L27" s="109"/>
      <c r="M27" s="45" t="s">
        <v>57</v>
      </c>
      <c r="N27" s="109" t="s">
        <v>49</v>
      </c>
      <c r="O27" s="109"/>
      <c r="P27" s="109" t="s">
        <v>50</v>
      </c>
      <c r="Q27" s="109"/>
      <c r="R27" s="46" t="s">
        <v>51</v>
      </c>
      <c r="S27" s="107" t="s">
        <v>52</v>
      </c>
      <c r="T27" s="107"/>
      <c r="U27" s="107" t="s">
        <v>53</v>
      </c>
      <c r="V27" s="107"/>
    </row>
    <row r="28" spans="1:22" ht="36" customHeight="1" x14ac:dyDescent="0.2">
      <c r="A28" s="34">
        <f>IF(ISBLANK(Distance Control_9),"",Control_9 Distance)</f>
        <v>284.39999999999998</v>
      </c>
      <c r="B28" s="35" t="d">
        <f>Control_9 Open_time</f>
        <v>2023-07-08T14:30:59.99999998603016475</v>
      </c>
      <c r="C28" s="35" t="d">
        <f>Control_9 Close_time</f>
        <v>2023-07-09T00:58:00.00000002793967725</v>
      </c>
      <c r="D28" s="36" t="str">
        <f>IF(ISBLANK(Locale Control_9),"",Locale Control_9)</f>
        <v>LANGFORD</v>
      </c>
      <c r="E28" s="28" t="str">
        <f>IF(ISBLANK(Control_9 Establishment_2),"",Control_9 Establishment_2)</f>
        <v>Crosswalk after roundabout</v>
      </c>
      <c r="F28" s="85" t="str">
        <f>IF(ISBLANK('Control Entry'!J23),"",'Control Entry'!J23)</f>
        <v>Opposite side.  How many mail boxes?</v>
      </c>
      <c r="G28" s="86"/>
      <c r="H28" s="24" t="s">
        <v>29</v>
      </c>
    </row>
    <row r="29" spans="1:22" ht="36" customHeight="1" thickBot="1" x14ac:dyDescent="0.25">
      <c r="A29" s="29"/>
      <c r="B29" s="30" t="d">
        <f>Control_9 Open_time</f>
        <v>2023-07-08T14:30:59.99999998603016475</v>
      </c>
      <c r="C29" s="30" t="d">
        <f>Control_9 Close_time</f>
        <v>2023-07-09T00:58:00.00000002793967725</v>
      </c>
      <c r="D29" s="31"/>
      <c r="E29" s="32" t="str">
        <f>IF(ISBLANK(Control_9 Establishment_3),"",Control_9 Establishment_3)</f>
        <v>3081 Glen Lake Rd</v>
      </c>
      <c r="F29" s="89" t="str">
        <f>IF(ISBLANK('Control Entry'!K23),"",'Control Entry'!K23)</f>
        <v>TWO       THREE       FOUR</v>
      </c>
      <c r="G29" s="88"/>
      <c r="H29" s="24" t="s">
        <v>29</v>
      </c>
      <c r="M29" s="108" t="s">
        <v>42</v>
      </c>
      <c r="N29" s="108"/>
      <c r="O29" s="108"/>
      <c r="P29" s="108"/>
      <c r="Q29" s="108"/>
      <c r="R29" s="108"/>
      <c r="S29" s="108"/>
      <c r="T29" s="108"/>
      <c r="U29" s="49"/>
    </row>
    <row r="30" spans="1:22" ht="36" customHeight="1" x14ac:dyDescent="0.2">
      <c r="A30" s="25"/>
      <c r="B30" s="26" t="d">
        <f>Control_10 Open_time</f>
        <v>2023-07-08T15:02:59.9999999580904875</v>
      </c>
      <c r="C30" s="26" t="d">
        <f>Control_10 Close_time</f>
        <v>2023-07-09T02:00:00.00000020954757600</v>
      </c>
      <c r="D30" s="33"/>
      <c r="E30" s="28" t="str">
        <f>IF(ISBLANK(Control_10 Establishment_1),"",Control_10 Establishment_1)</f>
        <v>BUSINESS</v>
      </c>
      <c r="F30" s="85" t="str">
        <f>IF(ISBLANK('Control Entry'!I24),"",'Control Entry'!I24)</f>
        <v/>
      </c>
      <c r="G30" s="86"/>
      <c r="H30" s="24" t="s">
        <v>29</v>
      </c>
      <c r="M30" s="16"/>
      <c r="N30" s="18"/>
      <c r="O30" s="18"/>
      <c r="P30" s="19"/>
      <c r="Q30" s="16"/>
      <c r="R30" s="18"/>
      <c r="S30" s="18"/>
      <c r="T30" s="19"/>
    </row>
    <row r="31" spans="1:22" ht="36" customHeight="1" x14ac:dyDescent="0.2">
      <c r="A31" s="34">
        <f>IF(ISBLANK(Distance Control_10),"",Control_10 Distance)</f>
        <v>301.39999999999998</v>
      </c>
      <c r="B31" s="35" t="d">
        <f>Control_10 Open_time</f>
        <v>2023-07-08T15:02:59.9999999580904875</v>
      </c>
      <c r="C31" s="35" t="d">
        <f>Control_10 Close_time</f>
        <v>2023-07-09T02:00:00.00000020954757600</v>
      </c>
      <c r="D31" s="36" t="str">
        <f>IF(ISBLANK(Locale Control_10),"",Locale Control_10)</f>
        <v>VICTORIA WEST</v>
      </c>
      <c r="E31" s="28" t="str">
        <f>IF(ISBLANK(Control_10 Establishment_2),"",Control_10 Establishment_2)</f>
        <v>Shell Gas</v>
      </c>
      <c r="F31" s="85" t="str">
        <f>IF(ISBLANK('Control Entry'!J24),"",'Control Entry'!J24)</f>
        <v/>
      </c>
      <c r="G31" s="86"/>
      <c r="H31" s="24" t="s">
        <v>29</v>
      </c>
      <c r="M31" s="17"/>
      <c r="P31" s="20"/>
      <c r="Q31" s="17"/>
      <c r="T31" s="20"/>
    </row>
    <row r="32" spans="1:22" ht="36" customHeight="1" thickBot="1" x14ac:dyDescent="0.25">
      <c r="A32" s="29"/>
      <c r="B32" s="30" t="d">
        <f>Control_10 Open_time</f>
        <v>2023-07-08T15:02:59.9999999580904875</v>
      </c>
      <c r="C32" s="30" t="d">
        <f>Control_10 Close_time</f>
        <v>2023-07-09T02:00:00.00000020954757600</v>
      </c>
      <c r="D32" s="31"/>
      <c r="E32" s="32" t="str">
        <f>IF(ISBLANK(Control_10 Establishment_3),"",Control_10 Establishment_3)</f>
        <v>100 Esquimalt Rd</v>
      </c>
      <c r="F32" s="89" t="str">
        <f>IF(ISBLANK('Control Entry'!K24),"",'Control Entry'!K24)</f>
        <v/>
      </c>
      <c r="G32" s="88"/>
      <c r="H32" s="24" t="s">
        <v>29</v>
      </c>
      <c r="M32" s="121" t="s">
        <v>82</v>
      </c>
      <c r="N32" s="122"/>
      <c r="O32" s="122"/>
      <c r="P32" s="123"/>
      <c r="Q32" s="124" t="d">
        <f>'Control Entry'!B3</f>
        <v>2022-11-09</v>
      </c>
      <c r="R32" s="125"/>
      <c r="S32" s="125"/>
      <c r="T32" s="126"/>
    </row>
    <row r="33" spans="1:22" ht="36" customHeight="1" x14ac:dyDescent="0.2">
      <c r="A33" s="115" t="s">
        <v>43</v>
      </c>
      <c r="B33" s="115"/>
      <c r="C33" s="115"/>
      <c r="D33" s="115"/>
      <c r="E33" s="115"/>
      <c r="F33" s="115"/>
      <c r="G33" s="115"/>
      <c r="H33" s="37"/>
      <c r="I33" s="37"/>
      <c r="M33" s="110" t="s">
        <v>86</v>
      </c>
      <c r="N33" s="111"/>
      <c r="O33" s="111"/>
      <c r="P33" s="111"/>
      <c r="Q33" s="112" t="d">
        <f>'Control Entry'!B4</f>
        <v>2023-07-03</v>
      </c>
      <c r="R33" s="113"/>
      <c r="S33" s="113"/>
      <c r="T33" s="113"/>
      <c r="V33" s="44"/>
    </row>
    <row r="34" spans="1:22" ht="36" customHeight="1" x14ac:dyDescent="0.2">
      <c r="A34"/>
      <c r="O34" s="15"/>
      <c r="P34" s="15"/>
      <c r="Q34" s="15"/>
      <c r="R34" s="42"/>
    </row>
    <row r="35" spans="1:22" ht="36" customHeight="1" x14ac:dyDescent="0.2">
      <c r="A35"/>
      <c r="N35" s="108"/>
      <c r="O35" s="108"/>
      <c r="P35" s="108"/>
      <c r="Q35" s="108"/>
      <c r="R35" s="108"/>
      <c r="S35" s="108"/>
      <c r="T35" s="108"/>
      <c r="U35" s="108"/>
    </row>
    <row r="36" spans="1:22" ht="36" customHeight="1" x14ac:dyDescent="0.15">
      <c r="A36"/>
    </row>
    <row r="37" spans="1:22" ht="36" customHeight="1" x14ac:dyDescent="0.15">
      <c r="A37"/>
    </row>
    <row r="38" spans="1:22" ht="36" customHeight="1" x14ac:dyDescent="0.2">
      <c r="A38"/>
      <c r="N38" s="15"/>
    </row>
    <row r="39" spans="1:22" ht="36" customHeight="1" x14ac:dyDescent="0.15">
      <c r="A39"/>
    </row>
    <row r="40" spans="1:22" ht="36" customHeight="1" x14ac:dyDescent="0.15">
      <c r="A40"/>
    </row>
  </sheetData>
  <sheetProtection algorithmName="SHA-512" hashValue="iDQb38Z5WZp87lXMQAT4xTXeXKPICpVt+wSBVo/dofQxJAYMrgvpXFZDzKlfo5JR1/olCdCIytlMSqpHKz79Wg==" saltValue="3TGUHDVIfOEKM0XlLUm4zg==" spinCount="100000" sheet="1" objects="1" scenarios="1" formatCells="0" selectLockedCells="1"/>
  <mergeCells count="41">
    <mergeCell ref="N5:O5"/>
    <mergeCell ref="K27:L27"/>
    <mergeCell ref="J25:N25"/>
    <mergeCell ref="O3:R3"/>
    <mergeCell ref="S20:U20"/>
    <mergeCell ref="L15:U15"/>
    <mergeCell ref="L6:U6"/>
    <mergeCell ref="S24:U24"/>
    <mergeCell ref="J24:N24"/>
    <mergeCell ref="L9:U9"/>
    <mergeCell ref="L10:U10"/>
    <mergeCell ref="L16:U16"/>
    <mergeCell ref="L22:N22"/>
    <mergeCell ref="S22:U22"/>
    <mergeCell ref="L13:N13"/>
    <mergeCell ref="S11:U11"/>
    <mergeCell ref="A1:G1"/>
    <mergeCell ref="A33:G33"/>
    <mergeCell ref="M4:T4"/>
    <mergeCell ref="P25:Q25"/>
    <mergeCell ref="S25:T25"/>
    <mergeCell ref="S12:U12"/>
    <mergeCell ref="R13:U13"/>
    <mergeCell ref="R5:U5"/>
    <mergeCell ref="K2:U2"/>
    <mergeCell ref="L8:Q8"/>
    <mergeCell ref="M32:P32"/>
    <mergeCell ref="Q32:T32"/>
    <mergeCell ref="T8:U8"/>
    <mergeCell ref="L20:N20"/>
    <mergeCell ref="L11:N11"/>
    <mergeCell ref="L12:N12"/>
    <mergeCell ref="U25:V25"/>
    <mergeCell ref="N35:U35"/>
    <mergeCell ref="M29:T29"/>
    <mergeCell ref="N27:O27"/>
    <mergeCell ref="P27:Q27"/>
    <mergeCell ref="S27:T27"/>
    <mergeCell ref="U27:V27"/>
    <mergeCell ref="M33:P33"/>
    <mergeCell ref="Q33:T33"/>
  </mergeCells>
  <phoneticPr fontId="16" type="noConversion"/>
  <pageMargins left="0.2" right="0.2" top="0.2" bottom="0.2" header="0.51" footer="0.51"/>
  <pageSetup scale="45" orientation="landscape" horizontalDpi="4294967292" verticalDpi="4294967292"/>
  <ignoredErrors>
    <ignoredError sqref="L20" unlockedFormula="1"/>
  </ignoredErrors>
  <drawing r:id="rId1"/>
  <extLst>
    <ext xmlns="http://schemas.openxmlformats.org/spreadsheetml/2006/main" xmlns:mx="http://schemas.microsoft.com/office/mac/excel/2008/main" uri="{64002731-A6B0-56B0-2670-7721B7C09600}">
      <mx:PLV Mode="0" OnePage="0" WScale="100"/>
    </ext>
  </extLst>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0"/>
  <sheetViews>
    <sheetView showGridLines="0" zoomScale="92" zoomScaleNormal="92" zoomScalePageLayoutView="92" workbookViewId="0">
      <selection activeCell="L8" sqref="L8:Q8"/>
    </sheetView>
  </sheetViews>
  <sheetFormatPr baseColWidth="10" defaultColWidth="8.83203125" defaultRowHeight="13" x14ac:dyDescent="0.15"/>
  <cols>
    <col min="1" max="1" width="8.5" style="1" customWidth="1"/>
    <col min="2" max="3" width="11.6640625" customWidth="1"/>
    <col min="4" max="4" width="18" customWidth="1"/>
    <col min="5" max="5" width="23.83203125" customWidth="1"/>
    <col min="6" max="6" width="42" customWidth="1"/>
    <col min="7" max="7" width="13.5" customWidth="1"/>
    <col min="8" max="8" width="8" customWidth="1"/>
    <col min="9" max="9" width="12" customWidth="1"/>
    <col min="12" max="14" width="9" customWidth="1"/>
    <col min="18" max="18" width="8.83203125" customWidth="1"/>
    <col min="19" max="19" width="9" customWidth="1"/>
  </cols>
  <sheetData>
    <row r="1" spans="1:22" ht="21" thickBot="1" x14ac:dyDescent="0.2">
      <c r="A1" s="114" t="s">
        <v>74</v>
      </c>
      <c r="B1" s="114"/>
      <c r="C1" s="114"/>
      <c r="D1" s="114"/>
      <c r="E1" s="114"/>
      <c r="F1" s="114"/>
      <c r="G1" s="114"/>
      <c r="H1" s="24" t="s">
        <v>29</v>
      </c>
    </row>
    <row r="2" spans="1:22" ht="33.75" customHeight="1" thickBot="1" x14ac:dyDescent="0.25">
      <c r="A2" s="65" t="s">
        <v>30</v>
      </c>
      <c r="B2" s="9" t="s">
        <v>3</v>
      </c>
      <c r="C2" s="9" t="s">
        <v>4</v>
      </c>
      <c r="D2" s="9" t="s">
        <v>25</v>
      </c>
      <c r="E2" s="9" t="s">
        <v>31</v>
      </c>
      <c r="F2" s="9" t="s">
        <v>59</v>
      </c>
      <c r="G2" s="65" t="s">
        <v>32</v>
      </c>
      <c r="H2" s="24" t="s">
        <v>29</v>
      </c>
      <c r="K2" s="113" t="s">
        <v>55</v>
      </c>
      <c r="L2" s="113"/>
      <c r="M2" s="113"/>
      <c r="N2" s="113"/>
      <c r="O2" s="113"/>
      <c r="P2" s="113"/>
      <c r="Q2" s="113"/>
      <c r="R2" s="113"/>
      <c r="S2" s="113"/>
      <c r="T2" s="113"/>
      <c r="U2" s="113"/>
    </row>
    <row r="3" spans="1:22" ht="36" customHeight="1" x14ac:dyDescent="0.45">
      <c r="A3" s="25"/>
      <c r="B3" s="26" t="str">
        <f>'Control Entry'!N28</f>
        <v/>
      </c>
      <c r="C3" s="26" t="str">
        <f>'Control Entry'!O28</f>
        <v/>
      </c>
      <c r="D3" s="27"/>
      <c r="E3" s="28" t="str">
        <f>IF(ISBLANK('Control Entry'!F28),"",'Control Entry'!F28)</f>
        <v/>
      </c>
      <c r="F3" s="85" t="str">
        <f>IF(ISBLANK('Control Entry'!I28),"",'Control Entry'!I28)</f>
        <v/>
      </c>
      <c r="G3" s="86"/>
      <c r="H3" s="24" t="s">
        <v>29</v>
      </c>
      <c r="K3" s="14"/>
      <c r="O3" s="131" t="s">
        <v>73</v>
      </c>
      <c r="P3" s="131"/>
      <c r="Q3" s="131"/>
      <c r="R3" s="131"/>
      <c r="S3" s="75" t="str">
        <f>IF('Control Entry'!D28=0,"","#2")</f>
        <v/>
      </c>
      <c r="U3" s="38"/>
    </row>
    <row r="4" spans="1:22" ht="36" customHeight="1" x14ac:dyDescent="0.2">
      <c r="A4" s="34" t="str">
        <f>IF(ISBLANK('Control Entry'!D28),"",'Control Entry'!D28)</f>
        <v/>
      </c>
      <c r="B4" s="35" t="str">
        <f>'Control Entry'!N28</f>
        <v/>
      </c>
      <c r="C4" s="35" t="str">
        <f>'Control Entry'!O28</f>
        <v/>
      </c>
      <c r="D4" s="36" t="str">
        <f>IF(ISBLANK('Control Entry'!E28),"",'Control Entry'!E28)</f>
        <v/>
      </c>
      <c r="E4" s="28" t="str">
        <f>IF(ISBLANK('Control Entry'!G28),"",'Control Entry'!G28)</f>
        <v/>
      </c>
      <c r="F4" s="85" t="str">
        <f>IF(ISBLANK('Control Entry'!J28),"",'Control Entry'!J28)</f>
        <v/>
      </c>
      <c r="G4" s="86"/>
      <c r="H4" s="24" t="s">
        <v>29</v>
      </c>
      <c r="K4" s="14"/>
      <c r="M4" s="116" t="str">
        <f>IF(ISBLANK(brevet),"",brevet&amp;" km Randonnée")</f>
        <v>300 km Randonnée</v>
      </c>
      <c r="N4" s="116"/>
      <c r="O4" s="116"/>
      <c r="P4" s="116"/>
      <c r="Q4" s="116"/>
      <c r="R4" s="116"/>
      <c r="S4" s="116"/>
      <c r="T4" s="116"/>
      <c r="U4" s="39"/>
    </row>
    <row r="5" spans="1:22" ht="36" customHeight="1" thickBot="1" x14ac:dyDescent="0.25">
      <c r="A5" s="29"/>
      <c r="B5" s="30" t="str">
        <f>'Control Entry'!N28</f>
        <v/>
      </c>
      <c r="C5" s="30" t="str">
        <f>'Control Entry'!O28</f>
        <v/>
      </c>
      <c r="D5" s="31"/>
      <c r="E5" s="32" t="str">
        <f>IF(ISBLANK('Control Entry'!H28),"",'Control Entry'!H28)</f>
        <v/>
      </c>
      <c r="F5" s="89" t="str">
        <f>IF(ISBLANK('Control Entry'!K28),"",'Control Entry'!K28)</f>
        <v/>
      </c>
      <c r="G5" s="88"/>
      <c r="H5" s="24" t="s">
        <v>29</v>
      </c>
      <c r="K5" s="14"/>
      <c r="M5" s="15"/>
      <c r="N5" s="107" t="s">
        <v>47</v>
      </c>
      <c r="O5" s="107"/>
      <c r="P5" s="52">
        <f>IF(ISBLANK(Brevet_Number),"",Brevet_Number)</f>
        <v>5274</v>
      </c>
      <c r="Q5" s="53"/>
      <c r="R5" s="119" t="d">
        <f>IF(ISBLANK('Control Entry'!$B10),"",'Control Entry'!$B10)</f>
        <v>2023-07-08</v>
      </c>
      <c r="S5" s="119"/>
      <c r="T5" s="119"/>
      <c r="U5" s="119"/>
      <c r="V5" s="40"/>
    </row>
    <row r="6" spans="1:22" ht="36" customHeight="1" x14ac:dyDescent="0.2">
      <c r="A6" s="25"/>
      <c r="B6" s="26" t="str">
        <f>'Control Entry'!N29</f>
        <v/>
      </c>
      <c r="C6" s="26" t="str">
        <f>'Control Entry'!O29</f>
        <v/>
      </c>
      <c r="D6" s="33"/>
      <c r="E6" s="28" t="str">
        <f>IF(ISBLANK('Control Entry'!F29),"",'Control Entry'!F29)</f>
        <v/>
      </c>
      <c r="F6" s="85" t="str">
        <f>IF(ISBLANK('Control Entry'!I29),"",'Control Entry'!I29)</f>
        <v/>
      </c>
      <c r="G6" s="86"/>
      <c r="H6" s="24" t="s">
        <v>29</v>
      </c>
      <c r="K6" s="14"/>
      <c r="L6" s="134" t="str">
        <f>IF(ISBLANK(Brevet_Description),"",Brevet_Description)</f>
        <v>Jordan River Jaunt</v>
      </c>
      <c r="M6" s="134"/>
      <c r="N6" s="134"/>
      <c r="O6" s="134"/>
      <c r="P6" s="134"/>
      <c r="Q6" s="134"/>
      <c r="R6" s="134"/>
      <c r="S6" s="134"/>
      <c r="T6" s="134"/>
      <c r="U6" s="134"/>
    </row>
    <row r="7" spans="1:22" ht="36" customHeight="1" x14ac:dyDescent="0.2">
      <c r="A7" s="34" t="str">
        <f>IF(ISBLANK('Control Entry'!D29),"",'Control Entry'!D29)</f>
        <v/>
      </c>
      <c r="B7" s="35" t="str">
        <f>'Control Entry'!N29</f>
        <v/>
      </c>
      <c r="C7" s="35" t="str">
        <f>'Control Entry'!O29</f>
        <v/>
      </c>
      <c r="D7" s="36" t="str">
        <f>IF(ISBLANK('Control Entry'!E29),"",'Control Entry'!E29)</f>
        <v/>
      </c>
      <c r="E7" s="28" t="str">
        <f>IF(ISBLANK('Control Entry'!G29),"",'Control Entry'!G29)</f>
        <v/>
      </c>
      <c r="F7" s="85" t="str">
        <f>IF(ISBLANK('Control Entry'!J29),"",'Control Entry'!J29)</f>
        <v/>
      </c>
      <c r="G7" s="86"/>
      <c r="H7" s="24" t="s">
        <v>29</v>
      </c>
    </row>
    <row r="8" spans="1:22" ht="36" customHeight="1" thickBot="1" x14ac:dyDescent="0.25">
      <c r="A8" s="29"/>
      <c r="B8" s="30" t="str">
        <f>'Control Entry'!N29</f>
        <v/>
      </c>
      <c r="C8" s="30" t="str">
        <f>'Control Entry'!O29</f>
        <v/>
      </c>
      <c r="D8" s="31"/>
      <c r="E8" s="32" t="str">
        <f>IF(ISBLANK('Control Entry'!H29),"",'Control Entry'!H29)</f>
        <v/>
      </c>
      <c r="F8" s="89" t="str">
        <f>IF(ISBLANK('Control Entry'!K29),"",'Control Entry'!K29)</f>
        <v/>
      </c>
      <c r="G8" s="88"/>
      <c r="H8" s="24" t="s">
        <v>29</v>
      </c>
      <c r="J8" s="15" t="s">
        <v>34</v>
      </c>
      <c r="L8" s="120"/>
      <c r="M8" s="120"/>
      <c r="N8" s="120"/>
      <c r="O8" s="120"/>
      <c r="P8" s="120"/>
      <c r="Q8" s="120"/>
      <c r="S8" s="41" t="s">
        <v>46</v>
      </c>
      <c r="T8" s="127"/>
      <c r="U8" s="127"/>
    </row>
    <row r="9" spans="1:22" ht="36" customHeight="1" thickBot="1" x14ac:dyDescent="0.3">
      <c r="A9" s="25"/>
      <c r="B9" s="26" t="str">
        <f>'Control Entry'!N30</f>
        <v/>
      </c>
      <c r="C9" s="26" t="str">
        <f>'Control Entry'!O30</f>
        <v/>
      </c>
      <c r="D9" s="33"/>
      <c r="E9" s="28" t="str">
        <f>IF(ISBLANK('Control Entry'!F30),"",'Control Entry'!F30)</f>
        <v/>
      </c>
      <c r="F9" s="85" t="str">
        <f>IF(ISBLANK('Control Entry'!I30),"",'Control Entry'!I30)</f>
        <v/>
      </c>
      <c r="G9" s="86"/>
      <c r="H9" s="24" t="s">
        <v>29</v>
      </c>
      <c r="J9" s="15" t="s">
        <v>35</v>
      </c>
      <c r="K9" s="15"/>
      <c r="L9" s="136" t="s">
        <v>54</v>
      </c>
      <c r="M9" s="136"/>
      <c r="N9" s="136"/>
      <c r="O9" s="136"/>
      <c r="P9" s="136"/>
      <c r="Q9" s="136"/>
      <c r="R9" s="136"/>
      <c r="S9" s="136"/>
      <c r="T9" s="136"/>
      <c r="U9" s="136"/>
    </row>
    <row r="10" spans="1:22" ht="36" customHeight="1" thickBot="1" x14ac:dyDescent="0.3">
      <c r="A10" s="34" t="str">
        <f>IF(ISBLANK('Control Entry'!D30),"",'Control Entry'!D30)</f>
        <v/>
      </c>
      <c r="B10" s="35" t="str">
        <f>'Control Entry'!N30</f>
        <v/>
      </c>
      <c r="C10" s="35" t="str">
        <f>'Control Entry'!O30</f>
        <v/>
      </c>
      <c r="D10" s="36" t="str">
        <f>IF(ISBLANK('Control Entry'!E30),"",'Control Entry'!E30)</f>
        <v/>
      </c>
      <c r="E10" s="28" t="str">
        <f>IF(ISBLANK('Control Entry'!G30),"",'Control Entry'!G30)</f>
        <v/>
      </c>
      <c r="F10" s="85" t="str">
        <f>IF(ISBLANK('Control Entry'!J30),"",'Control Entry'!J30)</f>
        <v/>
      </c>
      <c r="G10" s="86"/>
      <c r="H10" s="24" t="s">
        <v>29</v>
      </c>
      <c r="J10" s="15"/>
      <c r="K10" s="15"/>
      <c r="L10" s="129"/>
      <c r="M10" s="129"/>
      <c r="N10" s="129"/>
      <c r="O10" s="129"/>
      <c r="P10" s="129"/>
      <c r="Q10" s="129"/>
      <c r="R10" s="129"/>
      <c r="S10" s="129"/>
      <c r="T10" s="129"/>
      <c r="U10" s="129"/>
    </row>
    <row r="11" spans="1:22" ht="36" customHeight="1" thickBot="1" x14ac:dyDescent="0.3">
      <c r="A11" s="29"/>
      <c r="B11" s="30" t="str">
        <f>'Control Entry'!N30</f>
        <v/>
      </c>
      <c r="C11" s="30" t="str">
        <f>'Control Entry'!O30</f>
        <v/>
      </c>
      <c r="D11" s="31"/>
      <c r="E11" s="32" t="str">
        <f>IF(ISBLANK('Control Entry'!H30),"",'Control Entry'!H30)</f>
        <v/>
      </c>
      <c r="F11" s="89" t="str">
        <f>IF(ISBLANK('Control Entry'!K30),"",'Control Entry'!K30)</f>
        <v/>
      </c>
      <c r="G11" s="88"/>
      <c r="H11" s="24" t="s">
        <v>29</v>
      </c>
      <c r="J11" s="15" t="s">
        <v>36</v>
      </c>
      <c r="K11" s="15"/>
      <c r="L11" s="129"/>
      <c r="M11" s="129"/>
      <c r="N11" s="129"/>
      <c r="O11" s="15"/>
      <c r="P11" s="15" t="s">
        <v>37</v>
      </c>
      <c r="Q11" s="15"/>
      <c r="R11" s="15"/>
      <c r="S11" s="117"/>
      <c r="T11" s="117"/>
      <c r="U11" s="117"/>
    </row>
    <row r="12" spans="1:22" ht="36" customHeight="1" thickBot="1" x14ac:dyDescent="0.3">
      <c r="A12" s="25"/>
      <c r="B12" s="26" t="str">
        <f>'Control Entry'!N31</f>
        <v/>
      </c>
      <c r="C12" s="26" t="str">
        <f>'Control Entry'!O31</f>
        <v/>
      </c>
      <c r="D12" s="33"/>
      <c r="E12" s="28" t="str">
        <f>IF(ISBLANK('Control Entry'!F31),"",'Control Entry'!F31)</f>
        <v/>
      </c>
      <c r="F12" s="85" t="str">
        <f>IF(ISBLANK('Control Entry'!I31),"",'Control Entry'!I31)</f>
        <v/>
      </c>
      <c r="G12" s="86"/>
      <c r="H12" s="24" t="s">
        <v>29</v>
      </c>
      <c r="J12" s="15" t="s">
        <v>38</v>
      </c>
      <c r="K12" s="15"/>
      <c r="L12" s="129"/>
      <c r="M12" s="129"/>
      <c r="N12" s="129"/>
      <c r="O12" s="15"/>
      <c r="P12" s="15" t="s">
        <v>39</v>
      </c>
      <c r="Q12" s="15"/>
      <c r="R12" s="15"/>
      <c r="S12" s="117"/>
      <c r="T12" s="117"/>
      <c r="U12" s="117"/>
    </row>
    <row r="13" spans="1:22" ht="36" customHeight="1" thickBot="1" x14ac:dyDescent="0.3">
      <c r="A13" s="34" t="str">
        <f>IF(ISBLANK('Control Entry'!D31),"",'Control Entry'!D31)</f>
        <v/>
      </c>
      <c r="B13" s="35" t="str">
        <f>'Control Entry'!N31</f>
        <v/>
      </c>
      <c r="C13" s="35" t="str">
        <f>'Control Entry'!O31</f>
        <v/>
      </c>
      <c r="D13" s="36" t="str">
        <f>IF(ISBLANK('Control Entry'!E31),"",'Control Entry'!E31)</f>
        <v/>
      </c>
      <c r="E13" s="28" t="str">
        <f>IF(ISBLANK('Control Entry'!G31),"",'Control Entry'!G31)</f>
        <v/>
      </c>
      <c r="F13" s="85" t="str">
        <f>IF(ISBLANK('Control Entry'!J31),"",'Control Entry'!J31)</f>
        <v/>
      </c>
      <c r="G13" s="86"/>
      <c r="H13" s="24" t="s">
        <v>29</v>
      </c>
      <c r="J13" s="15" t="s">
        <v>40</v>
      </c>
      <c r="L13" s="139"/>
      <c r="M13" s="139"/>
      <c r="N13" s="139"/>
      <c r="P13" s="15" t="s">
        <v>41</v>
      </c>
      <c r="Q13" s="15"/>
      <c r="R13" s="118"/>
      <c r="S13" s="118"/>
      <c r="T13" s="118"/>
      <c r="U13" s="118"/>
    </row>
    <row r="14" spans="1:22" ht="36" customHeight="1" thickBot="1" x14ac:dyDescent="0.25">
      <c r="A14" s="29"/>
      <c r="B14" s="30" t="str">
        <f>'Control Entry'!N31</f>
        <v/>
      </c>
      <c r="C14" s="30" t="str">
        <f>'Control Entry'!O31</f>
        <v/>
      </c>
      <c r="D14" s="31"/>
      <c r="E14" s="32" t="str">
        <f>IF(ISBLANK('Control Entry'!H31),"",'Control Entry'!H31)</f>
        <v/>
      </c>
      <c r="F14" s="89" t="str">
        <f>IF(ISBLANK('Control Entry'!K31),"",'Control Entry'!K31)</f>
        <v/>
      </c>
      <c r="G14" s="88"/>
      <c r="H14" s="24" t="s">
        <v>29</v>
      </c>
    </row>
    <row r="15" spans="1:22" ht="36" customHeight="1" x14ac:dyDescent="0.2">
      <c r="A15" s="25"/>
      <c r="B15" s="26" t="str">
        <f>'Control Entry'!N32</f>
        <v/>
      </c>
      <c r="C15" s="26" t="str">
        <f>'Control Entry'!O32</f>
        <v/>
      </c>
      <c r="D15" s="33"/>
      <c r="E15" s="28" t="str">
        <f>IF(ISBLANK('Control Entry'!F32),"",'Control Entry'!F32)</f>
        <v/>
      </c>
      <c r="F15" s="85" t="str">
        <f>IF(ISBLANK('Control Entry'!I32),"",'Control Entry'!I32)</f>
        <v/>
      </c>
      <c r="G15" s="86"/>
      <c r="H15" s="24" t="s">
        <v>29</v>
      </c>
      <c r="J15" s="15"/>
      <c r="L15" s="133" t="s">
        <v>58</v>
      </c>
      <c r="M15" s="133"/>
      <c r="N15" s="133"/>
      <c r="O15" s="133"/>
      <c r="P15" s="133"/>
      <c r="Q15" s="133"/>
      <c r="R15" s="133"/>
      <c r="S15" s="133"/>
      <c r="T15" s="133"/>
      <c r="U15" s="133"/>
    </row>
    <row r="16" spans="1:22" ht="36" customHeight="1" thickBot="1" x14ac:dyDescent="0.25">
      <c r="A16" s="34" t="str">
        <f>IF(ISBLANK('Control Entry'!D32),"",'Control Entry'!D32)</f>
        <v/>
      </c>
      <c r="B16" s="35" t="str">
        <f>'Control Entry'!N32</f>
        <v/>
      </c>
      <c r="C16" s="35" t="str">
        <f>'Control Entry'!O32</f>
        <v/>
      </c>
      <c r="D16" s="36" t="str">
        <f>IF(ISBLANK('Control Entry'!E32),"",'Control Entry'!E32)</f>
        <v/>
      </c>
      <c r="E16" s="28" t="str">
        <f>IF(ISBLANK('Control Entry'!G32),"",'Control Entry'!G32)</f>
        <v/>
      </c>
      <c r="F16" s="85" t="str">
        <f>IF(ISBLANK('Control Entry'!J32),"",'Control Entry'!J32)</f>
        <v/>
      </c>
      <c r="G16" s="86"/>
      <c r="H16" s="24" t="s">
        <v>29</v>
      </c>
      <c r="L16" s="137"/>
      <c r="M16" s="137"/>
      <c r="N16" s="137"/>
      <c r="O16" s="137"/>
      <c r="P16" s="137"/>
      <c r="Q16" s="137"/>
      <c r="R16" s="137"/>
      <c r="S16" s="137"/>
      <c r="T16" s="137"/>
      <c r="U16" s="137"/>
    </row>
    <row r="17" spans="1:22" ht="36" customHeight="1" thickBot="1" x14ac:dyDescent="0.25">
      <c r="A17" s="29"/>
      <c r="B17" s="30" t="str">
        <f>'Control Entry'!N32</f>
        <v/>
      </c>
      <c r="C17" s="30" t="str">
        <f>'Control Entry'!O32</f>
        <v/>
      </c>
      <c r="D17" s="31"/>
      <c r="E17" s="32" t="str">
        <f>IF(ISBLANK('Control Entry'!H32),"",'Control Entry'!H32)</f>
        <v/>
      </c>
      <c r="F17" s="89" t="str">
        <f>IF(ISBLANK('Control Entry'!K32),"",'Control Entry'!K32)</f>
        <v/>
      </c>
      <c r="G17" s="88"/>
      <c r="H17" s="24" t="s">
        <v>29</v>
      </c>
    </row>
    <row r="18" spans="1:22" ht="36" customHeight="1" x14ac:dyDescent="0.2">
      <c r="A18" s="25"/>
      <c r="B18" s="26" t="str">
        <f>'Control Entry'!N33</f>
        <v/>
      </c>
      <c r="C18" s="26" t="str">
        <f>'Control Entry'!O33</f>
        <v/>
      </c>
      <c r="D18" s="33"/>
      <c r="E18" s="28" t="str">
        <f>IF(ISBLANK('Control Entry'!F33),"",'Control Entry'!F33)</f>
        <v/>
      </c>
      <c r="F18" s="85" t="str">
        <f>IF(ISBLANK('Control Entry'!I33),"",'Control Entry'!I33)</f>
        <v/>
      </c>
      <c r="G18" s="86"/>
      <c r="H18" s="24" t="s">
        <v>29</v>
      </c>
    </row>
    <row r="19" spans="1:22" ht="36" customHeight="1" x14ac:dyDescent="0.2">
      <c r="A19" s="34" t="str">
        <f>IF(ISBLANK('Control Entry'!D33),"",'Control Entry'!D33)</f>
        <v/>
      </c>
      <c r="B19" s="35" t="str">
        <f>'Control Entry'!N33</f>
        <v/>
      </c>
      <c r="C19" s="35" t="str">
        <f>'Control Entry'!O33</f>
        <v/>
      </c>
      <c r="D19" s="36" t="str">
        <f>IF(ISBLANK('Control Entry'!E33),"",'Control Entry'!E33)</f>
        <v/>
      </c>
      <c r="E19" s="28" t="str">
        <f>IF(ISBLANK('Control Entry'!G33),"",'Control Entry'!G33)</f>
        <v/>
      </c>
      <c r="F19" s="85" t="str">
        <f>IF(ISBLANK('Control Entry'!J33),"",'Control Entry'!J33)</f>
        <v/>
      </c>
      <c r="G19" s="86"/>
      <c r="H19" s="24" t="s">
        <v>29</v>
      </c>
    </row>
    <row r="20" spans="1:22" ht="36" customHeight="1" thickBot="1" x14ac:dyDescent="0.25">
      <c r="A20" s="29"/>
      <c r="B20" s="30" t="str">
        <f>'Control Entry'!N33</f>
        <v/>
      </c>
      <c r="C20" s="30" t="str">
        <f>'Control Entry'!O33</f>
        <v/>
      </c>
      <c r="D20" s="31"/>
      <c r="E20" s="32" t="str">
        <f>IF(ISBLANK('Control Entry'!H33),"",'Control Entry'!H33)</f>
        <v/>
      </c>
      <c r="F20" s="89" t="str">
        <f>IF(ISBLANK('Control Entry'!K33),"",'Control Entry'!K33)</f>
        <v/>
      </c>
      <c r="G20" s="88"/>
      <c r="H20" s="24" t="s">
        <v>29</v>
      </c>
      <c r="J20" s="50" t="s">
        <v>44</v>
      </c>
      <c r="K20" s="50"/>
      <c r="L20" s="140" t="d">
        <f>IF(ISBLANK('Control Entry'!B12),"",'Control Entry'!B12)</f>
        <v>2023-07-08</v>
      </c>
      <c r="M20" s="140"/>
      <c r="N20" s="140"/>
      <c r="P20" s="15" t="s">
        <v>0</v>
      </c>
      <c r="Q20" s="15"/>
      <c r="S20" s="132" t="d">
        <f>IF(ISBLANK('Control Entry'!B13),"",'Control Entry'!B13)</f>
        <v>06:00:00.000</v>
      </c>
      <c r="T20" s="132"/>
      <c r="U20" s="132"/>
    </row>
    <row r="21" spans="1:22" ht="36" customHeight="1" x14ac:dyDescent="0.2">
      <c r="A21" s="25"/>
      <c r="B21" s="26" t="str">
        <f>'Control Entry'!N34</f>
        <v/>
      </c>
      <c r="C21" s="26" t="str">
        <f>'Control Entry'!O34</f>
        <v/>
      </c>
      <c r="D21" s="33"/>
      <c r="E21" s="28" t="str">
        <f>IF(ISBLANK('Control Entry'!F34),"",'Control Entry'!F34)</f>
        <v/>
      </c>
      <c r="F21" s="85" t="str">
        <f>IF(ISBLANK('Control Entry'!I34),"",'Control Entry'!I34)</f>
        <v/>
      </c>
      <c r="G21" s="86"/>
      <c r="H21" s="24" t="s">
        <v>29</v>
      </c>
      <c r="J21" s="134" t="s">
        <v>90</v>
      </c>
      <c r="K21" s="134"/>
      <c r="L21" s="134"/>
      <c r="M21" s="134"/>
      <c r="N21" s="134"/>
      <c r="O21" s="134"/>
      <c r="P21" s="134"/>
      <c r="Q21" s="134"/>
      <c r="R21" s="134"/>
      <c r="S21" s="134"/>
      <c r="T21" s="134"/>
      <c r="U21" s="134"/>
    </row>
    <row r="22" spans="1:22" ht="36" customHeight="1" thickBot="1" x14ac:dyDescent="0.25">
      <c r="A22" s="34" t="str">
        <f>IF(ISBLANK('Control Entry'!D34),"",'Control Entry'!D34)</f>
        <v/>
      </c>
      <c r="B22" s="35" t="str">
        <f>'Control Entry'!N34</f>
        <v/>
      </c>
      <c r="C22" s="35" t="str">
        <f>'Control Entry'!O34</f>
        <v/>
      </c>
      <c r="D22" s="36" t="str">
        <f>IF(ISBLANK('Control Entry'!E34),"",'Control Entry'!E34)</f>
        <v/>
      </c>
      <c r="E22" s="28" t="str">
        <f>IF(ISBLANK('Control Entry'!G34),"",'Control Entry'!G34)</f>
        <v/>
      </c>
      <c r="F22" s="85" t="str">
        <f>IF(ISBLANK('Control Entry'!J34),"",'Control Entry'!J34)</f>
        <v/>
      </c>
      <c r="G22" s="86"/>
      <c r="H22" s="24" t="s">
        <v>29</v>
      </c>
      <c r="J22" s="50" t="s">
        <v>45</v>
      </c>
      <c r="K22" s="50"/>
      <c r="L22" s="138"/>
      <c r="M22" s="138"/>
      <c r="N22" s="138"/>
      <c r="P22" s="15" t="s">
        <v>1</v>
      </c>
      <c r="Q22" s="15"/>
      <c r="S22" s="135"/>
      <c r="T22" s="135"/>
      <c r="U22" s="135"/>
    </row>
    <row r="23" spans="1:22" ht="36" customHeight="1" thickBot="1" x14ac:dyDescent="0.25">
      <c r="A23" s="29"/>
      <c r="B23" s="30" t="str">
        <f>'Control Entry'!N34</f>
        <v/>
      </c>
      <c r="C23" s="30" t="str">
        <f>'Control Entry'!O34</f>
        <v/>
      </c>
      <c r="D23" s="31"/>
      <c r="E23" s="32" t="str">
        <f>IF(ISBLANK('Control Entry'!H34),"",'Control Entry'!H34)</f>
        <v/>
      </c>
      <c r="F23" s="89" t="str">
        <f>IF(ISBLANK('Control Entry'!K34),"",'Control Entry'!K34)</f>
        <v/>
      </c>
      <c r="G23" s="88"/>
      <c r="H23" s="24" t="s">
        <v>29</v>
      </c>
      <c r="J23" s="50"/>
      <c r="K23" s="50"/>
      <c r="L23" s="44"/>
      <c r="M23" s="44"/>
      <c r="N23" s="44"/>
      <c r="P23" s="15"/>
      <c r="Q23" s="15"/>
    </row>
    <row r="24" spans="1:22" ht="36" customHeight="1" thickBot="1" x14ac:dyDescent="0.25">
      <c r="A24" s="25"/>
      <c r="B24" s="26" t="str">
        <f>'Control Entry'!N35</f>
        <v/>
      </c>
      <c r="C24" s="26" t="str">
        <f>'Control Entry'!O35</f>
        <v/>
      </c>
      <c r="D24" s="33"/>
      <c r="E24" s="28" t="str">
        <f>IF(ISBLANK('Control Entry'!F35),"",'Control Entry'!F35)</f>
        <v/>
      </c>
      <c r="F24" s="85" t="str">
        <f>IF(ISBLANK('Control Entry'!I35),"",'Control Entry'!I35)</f>
        <v/>
      </c>
      <c r="G24" s="86"/>
      <c r="H24" s="24" t="s">
        <v>29</v>
      </c>
      <c r="J24" s="135"/>
      <c r="K24" s="135"/>
      <c r="L24" s="135"/>
      <c r="M24" s="135"/>
      <c r="N24" s="135"/>
      <c r="P24" s="15" t="s">
        <v>2</v>
      </c>
      <c r="Q24" s="15"/>
      <c r="S24" s="135"/>
      <c r="T24" s="135"/>
      <c r="U24" s="135"/>
    </row>
    <row r="25" spans="1:22" ht="36" customHeight="1" x14ac:dyDescent="0.2">
      <c r="A25" s="34" t="str">
        <f>IF(ISBLANK('Control Entry'!D35),"",'Control Entry'!D35)</f>
        <v/>
      </c>
      <c r="B25" s="35" t="str">
        <f>'Control Entry'!N35</f>
        <v/>
      </c>
      <c r="C25" s="35" t="str">
        <f>'Control Entry'!O35</f>
        <v/>
      </c>
      <c r="D25" s="36" t="str">
        <f>IF(ISBLANK('Control Entry'!E35),"",'Control Entry'!E35)</f>
        <v/>
      </c>
      <c r="E25" s="28" t="str">
        <f>IF(ISBLANK('Control Entry'!G35),"",'Control Entry'!G35)</f>
        <v/>
      </c>
      <c r="F25" s="85" t="str">
        <f>IF(ISBLANK('Control Entry'!J35),"",'Control Entry'!J35)</f>
        <v/>
      </c>
      <c r="G25" s="86"/>
      <c r="H25" s="24" t="s">
        <v>29</v>
      </c>
      <c r="J25" s="130" t="s">
        <v>17</v>
      </c>
      <c r="K25" s="130"/>
      <c r="L25" s="130"/>
      <c r="M25" s="130"/>
      <c r="N25" s="130"/>
      <c r="O25" s="46"/>
      <c r="P25" s="109"/>
      <c r="Q25" s="109"/>
      <c r="R25" s="46"/>
      <c r="S25" s="107"/>
      <c r="T25" s="107"/>
      <c r="U25" s="107"/>
      <c r="V25" s="107"/>
    </row>
    <row r="26" spans="1:22" ht="36" customHeight="1" thickBot="1" x14ac:dyDescent="0.25">
      <c r="A26" s="29"/>
      <c r="B26" s="30" t="str">
        <f>'Control Entry'!N35</f>
        <v/>
      </c>
      <c r="C26" s="30" t="str">
        <f>'Control Entry'!O35</f>
        <v/>
      </c>
      <c r="D26" s="31"/>
      <c r="E26" s="32" t="str">
        <f>IF(ISBLANK('Control Entry'!H35),"",'Control Entry'!H35)</f>
        <v/>
      </c>
      <c r="F26" s="89" t="str">
        <f>IF(ISBLANK('Control Entry'!K35),"",'Control Entry'!K35)</f>
        <v/>
      </c>
      <c r="G26" s="88"/>
      <c r="H26" s="24" t="s">
        <v>29</v>
      </c>
    </row>
    <row r="27" spans="1:22" ht="36" customHeight="1" x14ac:dyDescent="0.2">
      <c r="A27" s="25"/>
      <c r="B27" s="26" t="str">
        <f>'Control Entry'!N36</f>
        <v/>
      </c>
      <c r="C27" s="26" t="str">
        <f>'Control Entry'!O36</f>
        <v/>
      </c>
      <c r="D27" s="33"/>
      <c r="E27" s="28" t="str">
        <f>IF(ISBLANK('Control Entry'!F36),"",'Control Entry'!F36)</f>
        <v/>
      </c>
      <c r="F27" s="85" t="str">
        <f>IF(ISBLANK('Control Entry'!I36),"",'Control Entry'!I36)</f>
        <v/>
      </c>
      <c r="G27" s="86"/>
      <c r="H27" s="24" t="s">
        <v>29</v>
      </c>
      <c r="K27" s="116" t="s">
        <v>56</v>
      </c>
      <c r="L27" s="109"/>
      <c r="M27" s="45" t="s">
        <v>57</v>
      </c>
      <c r="N27" s="109" t="s">
        <v>49</v>
      </c>
      <c r="O27" s="109"/>
      <c r="P27" s="109" t="s">
        <v>50</v>
      </c>
      <c r="Q27" s="109"/>
      <c r="R27" s="46" t="s">
        <v>51</v>
      </c>
      <c r="S27" s="107" t="s">
        <v>52</v>
      </c>
      <c r="T27" s="107"/>
      <c r="U27" s="107" t="s">
        <v>53</v>
      </c>
      <c r="V27" s="107"/>
    </row>
    <row r="28" spans="1:22" ht="36" customHeight="1" x14ac:dyDescent="0.2">
      <c r="A28" s="34" t="str">
        <f>IF(ISBLANK('Control Entry'!D36),"",'Control Entry'!D36)</f>
        <v/>
      </c>
      <c r="B28" s="35" t="str">
        <f>'Control Entry'!N36</f>
        <v/>
      </c>
      <c r="C28" s="35" t="str">
        <f>'Control Entry'!O36</f>
        <v/>
      </c>
      <c r="D28" s="36" t="str">
        <f>IF(ISBLANK('Control Entry'!E36),"",'Control Entry'!E36)</f>
        <v/>
      </c>
      <c r="E28" s="28" t="str">
        <f>IF(ISBLANK('Control Entry'!G36),"",'Control Entry'!G36)</f>
        <v/>
      </c>
      <c r="F28" s="85" t="str">
        <f>IF(ISBLANK('Control Entry'!J36),"",'Control Entry'!J36)</f>
        <v/>
      </c>
      <c r="G28" s="86"/>
      <c r="H28" s="24" t="s">
        <v>29</v>
      </c>
    </row>
    <row r="29" spans="1:22" ht="36" customHeight="1" thickBot="1" x14ac:dyDescent="0.25">
      <c r="A29" s="29"/>
      <c r="B29" s="30" t="str">
        <f>'Control Entry'!N36</f>
        <v/>
      </c>
      <c r="C29" s="30" t="str">
        <f>'Control Entry'!O36</f>
        <v/>
      </c>
      <c r="D29" s="31"/>
      <c r="E29" s="32" t="str">
        <f>IF(ISBLANK('Control Entry'!H36),"",'Control Entry'!H36)</f>
        <v/>
      </c>
      <c r="F29" s="89" t="str">
        <f>IF(ISBLANK('Control Entry'!K36),"",'Control Entry'!K36)</f>
        <v/>
      </c>
      <c r="G29" s="88"/>
      <c r="H29" s="24" t="s">
        <v>29</v>
      </c>
      <c r="M29" s="108" t="s">
        <v>42</v>
      </c>
      <c r="N29" s="108"/>
      <c r="O29" s="108"/>
      <c r="P29" s="108"/>
      <c r="Q29" s="108"/>
      <c r="R29" s="108"/>
      <c r="S29" s="108"/>
      <c r="T29" s="108"/>
      <c r="U29" s="49"/>
    </row>
    <row r="30" spans="1:22" ht="36" customHeight="1" x14ac:dyDescent="0.2">
      <c r="A30" s="25"/>
      <c r="B30" s="26" t="str">
        <f>'Control Entry'!N37</f>
        <v/>
      </c>
      <c r="C30" s="26" t="str">
        <f>'Control Entry'!O37</f>
        <v/>
      </c>
      <c r="D30" s="33"/>
      <c r="E30" s="28" t="str">
        <f>IF(ISBLANK('Control Entry'!F37),"",'Control Entry'!F37)</f>
        <v/>
      </c>
      <c r="F30" s="85" t="str">
        <f>IF(ISBLANK('Control Entry'!I37),"",'Control Entry'!I37)</f>
        <v/>
      </c>
      <c r="G30" s="86"/>
      <c r="H30" s="24" t="s">
        <v>29</v>
      </c>
      <c r="M30" s="16"/>
      <c r="N30" s="18"/>
      <c r="O30" s="18"/>
      <c r="P30" s="19"/>
      <c r="Q30" s="16"/>
      <c r="R30" s="18"/>
      <c r="S30" s="18"/>
      <c r="T30" s="19"/>
    </row>
    <row r="31" spans="1:22" ht="36" customHeight="1" x14ac:dyDescent="0.2">
      <c r="A31" s="34" t="str">
        <f>IF(ISBLANK('Control Entry'!D37),"",'Control Entry'!D37)</f>
        <v/>
      </c>
      <c r="B31" s="35" t="str">
        <f>'Control Entry'!N37</f>
        <v/>
      </c>
      <c r="C31" s="35" t="str">
        <f>'Control Entry'!O37</f>
        <v/>
      </c>
      <c r="D31" s="36" t="str">
        <f>IF(ISBLANK('Control Entry'!E37),"",'Control Entry'!E37)</f>
        <v>SECRET</v>
      </c>
      <c r="E31" s="28" t="str">
        <f>IF(ISBLANK('Control Entry'!G37),"",'Control Entry'!G37)</f>
        <v/>
      </c>
      <c r="F31" s="85" t="str">
        <f>IF(ISBLANK('Control Entry'!J37),"",'Control Entry'!J37)</f>
        <v/>
      </c>
      <c r="G31" s="86"/>
      <c r="H31" s="24" t="s">
        <v>29</v>
      </c>
      <c r="M31" s="17"/>
      <c r="P31" s="20"/>
      <c r="Q31" s="17"/>
      <c r="T31" s="20"/>
    </row>
    <row r="32" spans="1:22" ht="36" customHeight="1" thickBot="1" x14ac:dyDescent="0.25">
      <c r="A32" s="29"/>
      <c r="B32" s="30" t="str">
        <f>'Control Entry'!N37</f>
        <v/>
      </c>
      <c r="C32" s="30" t="str">
        <f>'Control Entry'!O37</f>
        <v/>
      </c>
      <c r="D32" s="31"/>
      <c r="E32" s="32" t="str">
        <f>IF(ISBLANK('Control Entry'!H37),"",'Control Entry'!H37)</f>
        <v/>
      </c>
      <c r="F32" s="89" t="str">
        <f>IF(ISBLANK('Control Entry'!K37),"",'Control Entry'!K37)</f>
        <v/>
      </c>
      <c r="G32" s="88"/>
      <c r="H32" s="24" t="s">
        <v>29</v>
      </c>
      <c r="M32" s="121" t="s">
        <v>82</v>
      </c>
      <c r="N32" s="122"/>
      <c r="O32" s="122"/>
      <c r="P32" s="123"/>
      <c r="Q32" s="124" t="d">
        <f>'Control Entry'!B3</f>
        <v>2022-11-09</v>
      </c>
      <c r="R32" s="125"/>
      <c r="S32" s="125"/>
      <c r="T32" s="126"/>
    </row>
    <row r="33" spans="1:22" ht="36" customHeight="1" x14ac:dyDescent="0.2">
      <c r="A33" s="115" t="s">
        <v>43</v>
      </c>
      <c r="B33" s="115"/>
      <c r="C33" s="115"/>
      <c r="D33" s="115"/>
      <c r="E33" s="115"/>
      <c r="F33" s="115"/>
      <c r="G33" s="115"/>
      <c r="H33" s="37"/>
      <c r="I33" s="37"/>
      <c r="M33" s="110" t="s">
        <v>86</v>
      </c>
      <c r="N33" s="111"/>
      <c r="O33" s="111"/>
      <c r="P33" s="111"/>
      <c r="Q33" s="112" t="d">
        <f>'Control Entry'!B4</f>
        <v>2023-07-03</v>
      </c>
      <c r="R33" s="113"/>
      <c r="S33" s="113"/>
      <c r="T33" s="113"/>
      <c r="V33" s="44"/>
    </row>
    <row r="34" spans="1:22" ht="36" customHeight="1" x14ac:dyDescent="0.2">
      <c r="A34"/>
      <c r="O34" s="15"/>
      <c r="P34" s="15"/>
      <c r="Q34" s="15"/>
      <c r="R34" s="42"/>
    </row>
    <row r="35" spans="1:22" ht="36" customHeight="1" x14ac:dyDescent="0.2">
      <c r="A35"/>
      <c r="N35" s="108"/>
      <c r="O35" s="108"/>
      <c r="P35" s="108"/>
      <c r="Q35" s="108"/>
      <c r="R35" s="108"/>
      <c r="S35" s="108"/>
      <c r="T35" s="108"/>
      <c r="U35" s="108"/>
    </row>
    <row r="36" spans="1:22" ht="36" customHeight="1" x14ac:dyDescent="0.15">
      <c r="A36"/>
    </row>
    <row r="37" spans="1:22" ht="36" customHeight="1" x14ac:dyDescent="0.15">
      <c r="A37"/>
    </row>
    <row r="38" spans="1:22" ht="36" customHeight="1" x14ac:dyDescent="0.2">
      <c r="A38"/>
      <c r="N38" s="15"/>
    </row>
    <row r="39" spans="1:22" ht="36" customHeight="1" x14ac:dyDescent="0.15">
      <c r="A39"/>
    </row>
    <row r="40" spans="1:22" ht="36" customHeight="1" x14ac:dyDescent="0.15">
      <c r="A40"/>
    </row>
  </sheetData>
  <sheetProtection algorithmName="SHA-512" hashValue="DiqJ+JOYBhoyZ1m99XU4D8NDihYKDATVeEm7KPe0KaI0+RIl/s0HliAQDBep4bratR5dvcZSaZLG/PV3ddwAYA==" saltValue="BtrAYkICphSvoTgltO5kCQ==" spinCount="100000" sheet="1" objects="1" scenarios="1" formatCells="0" selectLockedCells="1"/>
  <mergeCells count="42">
    <mergeCell ref="L16:U16"/>
    <mergeCell ref="L22:N22"/>
    <mergeCell ref="S22:U22"/>
    <mergeCell ref="L11:N11"/>
    <mergeCell ref="S11:U11"/>
    <mergeCell ref="L12:N12"/>
    <mergeCell ref="S12:U12"/>
    <mergeCell ref="L13:N13"/>
    <mergeCell ref="R13:U13"/>
    <mergeCell ref="J21:U21"/>
    <mergeCell ref="U27:V27"/>
    <mergeCell ref="M33:P33"/>
    <mergeCell ref="J24:N24"/>
    <mergeCell ref="A1:G1"/>
    <mergeCell ref="K2:U2"/>
    <mergeCell ref="M4:T4"/>
    <mergeCell ref="N5:O5"/>
    <mergeCell ref="R5:U5"/>
    <mergeCell ref="O3:R3"/>
    <mergeCell ref="S24:U24"/>
    <mergeCell ref="Q33:T33"/>
    <mergeCell ref="L20:N20"/>
    <mergeCell ref="L6:U6"/>
    <mergeCell ref="T8:U8"/>
    <mergeCell ref="L9:U9"/>
    <mergeCell ref="L10:U10"/>
    <mergeCell ref="M32:P32"/>
    <mergeCell ref="Q32:T32"/>
    <mergeCell ref="A33:G33"/>
    <mergeCell ref="N35:U35"/>
    <mergeCell ref="L8:Q8"/>
    <mergeCell ref="M29:T29"/>
    <mergeCell ref="L15:U15"/>
    <mergeCell ref="S20:U20"/>
    <mergeCell ref="J25:N25"/>
    <mergeCell ref="P25:Q25"/>
    <mergeCell ref="S25:T25"/>
    <mergeCell ref="U25:V25"/>
    <mergeCell ref="K27:L27"/>
    <mergeCell ref="N27:O27"/>
    <mergeCell ref="P27:Q27"/>
    <mergeCell ref="S27:T27"/>
  </mergeCells>
  <phoneticPr fontId="16" type="noConversion"/>
  <conditionalFormatting sqref="J22:N22">
    <cfRule type="expression" dxfId="14" priority="2">
      <formula>$S$3="#2"</formula>
    </cfRule>
  </conditionalFormatting>
  <conditionalFormatting sqref="J21:U21">
    <cfRule type="expression" dxfId="13" priority="1">
      <formula>$S$3&lt;&gt;"#2"</formula>
    </cfRule>
  </conditionalFormatting>
  <conditionalFormatting sqref="K27:V27">
    <cfRule type="expression" dxfId="12" priority="3">
      <formula>$S$3="#2"</formula>
    </cfRule>
  </conditionalFormatting>
  <conditionalFormatting sqref="P22:U24">
    <cfRule type="expression" dxfId="11" priority="4">
      <formula>$S$3="#2"</formula>
    </cfRule>
  </conditionalFormatting>
  <printOptions horizontalCentered="1" verticalCentered="1"/>
  <pageMargins left="0.2" right="0.2" top="0.2" bottom="0.2" header="0.51" footer="0.51"/>
  <pageSetup scale="45" orientation="landscape" horizontalDpi="4294967292" verticalDpi="4294967292"/>
  <drawing r:id="rId1"/>
  <extLst>
    <ext xmlns="http://schemas.openxmlformats.org/spreadsheetml/2006/main" xmlns:mx="http://schemas.microsoft.com/office/mac/excel/2008/main" uri="{64002731-A6B0-56B0-2670-7721B7C09600}">
      <mx:PLV Mode="0" OnePage="0" WScale="100"/>
    </ext>
  </extLst>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4409A-CD2B-D847-B15D-2D9B75969139}">
  <sheetPr>
    <pageSetUpPr fitToPage="1"/>
  </sheetPr>
  <dimension ref="A1:V40"/>
  <sheetViews>
    <sheetView showGridLines="0" zoomScale="92" zoomScaleNormal="92" zoomScalePageLayoutView="92" workbookViewId="0">
      <selection activeCell="F3" sqref="F3"/>
    </sheetView>
  </sheetViews>
  <sheetFormatPr baseColWidth="10" defaultColWidth="8.83203125" defaultRowHeight="13" x14ac:dyDescent="0.15"/>
  <cols>
    <col min="1" max="1" width="8.5" style="1" customWidth="1"/>
    <col min="2" max="3" width="11.6640625" customWidth="1"/>
    <col min="4" max="4" width="18" customWidth="1"/>
    <col min="5" max="5" width="23.83203125" customWidth="1"/>
    <col min="6" max="6" width="42" customWidth="1"/>
    <col min="7" max="7" width="13.5" customWidth="1"/>
    <col min="8" max="8" width="8" customWidth="1"/>
    <col min="9" max="9" width="12" customWidth="1"/>
    <col min="12" max="14" width="9" customWidth="1"/>
    <col min="18" max="18" width="8.83203125" customWidth="1"/>
    <col min="19" max="19" width="9" customWidth="1"/>
  </cols>
  <sheetData>
    <row r="1" spans="1:22" ht="21" thickBot="1" x14ac:dyDescent="0.2">
      <c r="A1" s="114" t="s">
        <v>74</v>
      </c>
      <c r="B1" s="114"/>
      <c r="C1" s="114"/>
      <c r="D1" s="114"/>
      <c r="E1" s="114"/>
      <c r="F1" s="114"/>
      <c r="G1" s="114"/>
      <c r="H1" s="24" t="s">
        <v>29</v>
      </c>
    </row>
    <row r="2" spans="1:22" ht="33.75" customHeight="1" thickBot="1" x14ac:dyDescent="0.25">
      <c r="A2" s="65" t="s">
        <v>30</v>
      </c>
      <c r="B2" s="9" t="s">
        <v>3</v>
      </c>
      <c r="C2" s="9" t="s">
        <v>4</v>
      </c>
      <c r="D2" s="9" t="s">
        <v>25</v>
      </c>
      <c r="E2" s="9" t="s">
        <v>31</v>
      </c>
      <c r="F2" s="9" t="s">
        <v>59</v>
      </c>
      <c r="G2" s="65" t="s">
        <v>32</v>
      </c>
      <c r="H2" s="24" t="s">
        <v>29</v>
      </c>
      <c r="K2" s="113" t="s">
        <v>55</v>
      </c>
      <c r="L2" s="113"/>
      <c r="M2" s="113"/>
      <c r="N2" s="113"/>
      <c r="O2" s="113"/>
      <c r="P2" s="113"/>
      <c r="Q2" s="113"/>
      <c r="R2" s="113"/>
      <c r="S2" s="113"/>
      <c r="T2" s="113"/>
      <c r="U2" s="113"/>
    </row>
    <row r="3" spans="1:22" ht="36" customHeight="1" x14ac:dyDescent="0.45">
      <c r="A3" s="25"/>
      <c r="B3" s="26" t="str">
        <f>'Control Entry'!N41</f>
        <v/>
      </c>
      <c r="C3" s="26" t="str">
        <f>'Control Entry'!O41</f>
        <v/>
      </c>
      <c r="D3" s="27"/>
      <c r="E3" s="28" t="str">
        <f>IF(ISBLANK('Control Entry'!F41),"",'Control Entry'!F41)</f>
        <v/>
      </c>
      <c r="F3" s="85" t="str">
        <f>IF(ISBLANK('Control Entry'!I41),"",'Control Entry'!I41)</f>
        <v/>
      </c>
      <c r="G3" s="86"/>
      <c r="H3" s="24" t="s">
        <v>29</v>
      </c>
      <c r="K3" s="14"/>
      <c r="O3" s="131" t="s">
        <v>73</v>
      </c>
      <c r="P3" s="131"/>
      <c r="Q3" s="131"/>
      <c r="R3" s="131"/>
      <c r="S3" s="75" t="str">
        <f>IF('Control Entry'!D41&lt;&gt;0,"#3",IF(AND('Control Entry'!D41=0,'Control Entry'!D54&lt;&gt;0),"#1",""))</f>
        <v/>
      </c>
      <c r="T3" s="76"/>
      <c r="U3" s="38"/>
    </row>
    <row r="4" spans="1:22" ht="36" customHeight="1" x14ac:dyDescent="0.2">
      <c r="A4" s="34" t="str">
        <f>IF(ISBLANK('Control Entry'!D41),"",'Control Entry'!D41)</f>
        <v/>
      </c>
      <c r="B4" s="35" t="str">
        <f>'Control Entry'!N41</f>
        <v/>
      </c>
      <c r="C4" s="35" t="str">
        <f>'Control Entry'!O41</f>
        <v/>
      </c>
      <c r="D4" s="36" t="str">
        <f>IF(ISBLANK('Control Entry'!E41),"",'Control Entry'!E41)</f>
        <v/>
      </c>
      <c r="E4" s="28" t="str">
        <f>IF(ISBLANK('Control Entry'!G41),"",'Control Entry'!G41)</f>
        <v/>
      </c>
      <c r="F4" s="85" t="str">
        <f>IF(ISBLANK('Control Entry'!J41),"",'Control Entry'!J41)</f>
        <v/>
      </c>
      <c r="G4" s="86"/>
      <c r="H4" s="24" t="s">
        <v>29</v>
      </c>
      <c r="K4" s="14"/>
      <c r="M4" s="116" t="str">
        <f>IF(ISBLANK(brevet),"",brevet&amp;" km Randonnée")</f>
        <v>300 km Randonnée</v>
      </c>
      <c r="N4" s="116"/>
      <c r="O4" s="116"/>
      <c r="P4" s="116"/>
      <c r="Q4" s="116"/>
      <c r="R4" s="116"/>
      <c r="S4" s="116"/>
      <c r="T4" s="116"/>
      <c r="U4" s="39"/>
    </row>
    <row r="5" spans="1:22" ht="36" customHeight="1" thickBot="1" x14ac:dyDescent="0.25">
      <c r="A5" s="29"/>
      <c r="B5" s="30" t="str">
        <f>'Control Entry'!N41</f>
        <v/>
      </c>
      <c r="C5" s="30" t="str">
        <f>'Control Entry'!O41</f>
        <v/>
      </c>
      <c r="D5" s="31"/>
      <c r="E5" s="32" t="str">
        <f>IF(ISBLANK('Control Entry'!H41),"",'Control Entry'!H41)</f>
        <v/>
      </c>
      <c r="F5" s="89" t="str">
        <f>IF(ISBLANK('Control Entry'!K41),"",'Control Entry'!K41)</f>
        <v/>
      </c>
      <c r="G5" s="88"/>
      <c r="H5" s="24" t="s">
        <v>29</v>
      </c>
      <c r="K5" s="14"/>
      <c r="M5" s="15"/>
      <c r="N5" s="107" t="s">
        <v>47</v>
      </c>
      <c r="O5" s="107"/>
      <c r="P5" s="52">
        <f>IF(ISBLANK(Brevet_Number),"",Brevet_Number)</f>
        <v>5274</v>
      </c>
      <c r="Q5" s="53"/>
      <c r="R5" s="119" t="d">
        <f>IF(ISBLANK('Control Entry'!$B10),"",'Control Entry'!$B10)</f>
        <v>2023-07-08</v>
      </c>
      <c r="S5" s="119"/>
      <c r="T5" s="119"/>
      <c r="U5" s="119"/>
      <c r="V5" s="40"/>
    </row>
    <row r="6" spans="1:22" ht="36" customHeight="1" x14ac:dyDescent="0.2">
      <c r="A6" s="25"/>
      <c r="B6" s="26" t="str">
        <f>'Control Entry'!N42</f>
        <v/>
      </c>
      <c r="C6" s="26" t="str">
        <f>'Control Entry'!O42</f>
        <v/>
      </c>
      <c r="D6" s="33"/>
      <c r="E6" s="28" t="str">
        <f>IF(ISBLANK('Control Entry'!F42),"",'Control Entry'!F42)</f>
        <v/>
      </c>
      <c r="F6" s="85" t="str">
        <f>IF(ISBLANK('Control Entry'!I42),"",'Control Entry'!I42)</f>
        <v/>
      </c>
      <c r="G6" s="86"/>
      <c r="H6" s="24" t="s">
        <v>29</v>
      </c>
      <c r="K6" s="14"/>
      <c r="L6" s="134" t="str">
        <f>IF(ISBLANK(Brevet_Description),"",Brevet_Description)</f>
        <v>Jordan River Jaunt</v>
      </c>
      <c r="M6" s="134"/>
      <c r="N6" s="134"/>
      <c r="O6" s="134"/>
      <c r="P6" s="134"/>
      <c r="Q6" s="134"/>
      <c r="R6" s="134"/>
      <c r="S6" s="134"/>
      <c r="T6" s="134"/>
      <c r="U6" s="134"/>
    </row>
    <row r="7" spans="1:22" ht="36" customHeight="1" x14ac:dyDescent="0.2">
      <c r="A7" s="34" t="str">
        <f>IF(ISBLANK('Control Entry'!D42),"",'Control Entry'!D42)</f>
        <v/>
      </c>
      <c r="B7" s="35" t="str">
        <f>'Control Entry'!N42</f>
        <v/>
      </c>
      <c r="C7" s="35" t="str">
        <f>'Control Entry'!O42</f>
        <v/>
      </c>
      <c r="D7" s="36" t="str">
        <f>IF(ISBLANK('Control Entry'!E42),"",'Control Entry'!E42)</f>
        <v/>
      </c>
      <c r="E7" s="28" t="str">
        <f>IF(ISBLANK('Control Entry'!G42),"",'Control Entry'!G42)</f>
        <v/>
      </c>
      <c r="F7" s="85" t="str">
        <f>IF(ISBLANK('Control Entry'!J42),"",'Control Entry'!J42)</f>
        <v/>
      </c>
      <c r="G7" s="86"/>
      <c r="H7" s="24" t="s">
        <v>29</v>
      </c>
    </row>
    <row r="8" spans="1:22" ht="36" customHeight="1" thickBot="1" x14ac:dyDescent="0.25">
      <c r="A8" s="29"/>
      <c r="B8" s="30" t="str">
        <f>'Control Entry'!N42</f>
        <v/>
      </c>
      <c r="C8" s="30" t="str">
        <f>'Control Entry'!O42</f>
        <v/>
      </c>
      <c r="D8" s="31"/>
      <c r="E8" s="32" t="str">
        <f>IF(ISBLANK('Control Entry'!H42),"",'Control Entry'!H42)</f>
        <v/>
      </c>
      <c r="F8" s="89" t="str">
        <f>IF(ISBLANK('Control Entry'!K42),"",'Control Entry'!K42)</f>
        <v/>
      </c>
      <c r="G8" s="88"/>
      <c r="H8" s="24" t="s">
        <v>29</v>
      </c>
      <c r="J8" s="15" t="s">
        <v>34</v>
      </c>
      <c r="L8" s="120"/>
      <c r="M8" s="120"/>
      <c r="N8" s="120"/>
      <c r="O8" s="120"/>
      <c r="P8" s="120"/>
      <c r="Q8" s="120"/>
      <c r="S8" s="41" t="s">
        <v>46</v>
      </c>
      <c r="T8" s="127"/>
      <c r="U8" s="127"/>
    </row>
    <row r="9" spans="1:22" ht="36" customHeight="1" thickBot="1" x14ac:dyDescent="0.3">
      <c r="A9" s="25"/>
      <c r="B9" s="26" t="str">
        <f>'Control Entry'!N43</f>
        <v/>
      </c>
      <c r="C9" s="26" t="str">
        <f>'Control Entry'!O43</f>
        <v/>
      </c>
      <c r="D9" s="33"/>
      <c r="E9" s="28" t="str">
        <f>IF(ISBLANK('Control Entry'!F43),"",'Control Entry'!F43)</f>
        <v/>
      </c>
      <c r="F9" s="85" t="str">
        <f>IF(ISBLANK('Control Entry'!I43),"",'Control Entry'!I43)</f>
        <v/>
      </c>
      <c r="G9" s="86"/>
      <c r="H9" s="24" t="s">
        <v>29</v>
      </c>
      <c r="J9" s="15" t="s">
        <v>35</v>
      </c>
      <c r="K9" s="15"/>
      <c r="L9" s="136" t="s">
        <v>54</v>
      </c>
      <c r="M9" s="136"/>
      <c r="N9" s="136"/>
      <c r="O9" s="136"/>
      <c r="P9" s="136"/>
      <c r="Q9" s="136"/>
      <c r="R9" s="136"/>
      <c r="S9" s="136"/>
      <c r="T9" s="136"/>
      <c r="U9" s="136"/>
    </row>
    <row r="10" spans="1:22" ht="36" customHeight="1" thickBot="1" x14ac:dyDescent="0.3">
      <c r="A10" s="34" t="str">
        <f>IF(ISBLANK('Control Entry'!D43),"",'Control Entry'!D43)</f>
        <v/>
      </c>
      <c r="B10" s="35" t="str">
        <f>'Control Entry'!N43</f>
        <v/>
      </c>
      <c r="C10" s="35" t="str">
        <f>'Control Entry'!O43</f>
        <v/>
      </c>
      <c r="D10" s="36" t="str">
        <f>IF(ISBLANK('Control Entry'!E43),"",'Control Entry'!E43)</f>
        <v/>
      </c>
      <c r="E10" s="28" t="str">
        <f>IF(ISBLANK('Control Entry'!G43),"",'Control Entry'!G43)</f>
        <v/>
      </c>
      <c r="F10" s="85" t="str">
        <f>IF(ISBLANK('Control Entry'!J43),"",'Control Entry'!J43)</f>
        <v/>
      </c>
      <c r="G10" s="86"/>
      <c r="H10" s="24" t="s">
        <v>29</v>
      </c>
      <c r="J10" s="15"/>
      <c r="K10" s="15"/>
      <c r="L10" s="129"/>
      <c r="M10" s="129"/>
      <c r="N10" s="129"/>
      <c r="O10" s="129"/>
      <c r="P10" s="129"/>
      <c r="Q10" s="129"/>
      <c r="R10" s="129"/>
      <c r="S10" s="129"/>
      <c r="T10" s="129"/>
      <c r="U10" s="129"/>
    </row>
    <row r="11" spans="1:22" ht="36" customHeight="1" thickBot="1" x14ac:dyDescent="0.3">
      <c r="A11" s="29"/>
      <c r="B11" s="30" t="str">
        <f>'Control Entry'!N43</f>
        <v/>
      </c>
      <c r="C11" s="30" t="str">
        <f>'Control Entry'!O43</f>
        <v/>
      </c>
      <c r="D11" s="31"/>
      <c r="E11" s="32" t="str">
        <f>IF(ISBLANK('Control Entry'!H43),"",'Control Entry'!H43)</f>
        <v/>
      </c>
      <c r="F11" s="89" t="str">
        <f>IF(ISBLANK('Control Entry'!K43),"",'Control Entry'!K43)</f>
        <v/>
      </c>
      <c r="G11" s="88"/>
      <c r="H11" s="24" t="s">
        <v>29</v>
      </c>
      <c r="J11" s="15" t="s">
        <v>36</v>
      </c>
      <c r="K11" s="15"/>
      <c r="L11" s="129"/>
      <c r="M11" s="129"/>
      <c r="N11" s="129"/>
      <c r="O11" s="15"/>
      <c r="P11" s="15" t="s">
        <v>37</v>
      </c>
      <c r="Q11" s="15"/>
      <c r="R11" s="15"/>
      <c r="S11" s="117"/>
      <c r="T11" s="117"/>
      <c r="U11" s="117"/>
    </row>
    <row r="12" spans="1:22" ht="36" customHeight="1" thickBot="1" x14ac:dyDescent="0.3">
      <c r="A12" s="25"/>
      <c r="B12" s="26" t="str">
        <f>'Control Entry'!N44</f>
        <v/>
      </c>
      <c r="C12" s="26" t="str">
        <f>'Control Entry'!O44</f>
        <v/>
      </c>
      <c r="D12" s="33"/>
      <c r="E12" s="28" t="str">
        <f>IF(ISBLANK('Control Entry'!F44),"",'Control Entry'!F44)</f>
        <v/>
      </c>
      <c r="F12" s="85" t="str">
        <f>IF(ISBLANK('Control Entry'!I44),"",'Control Entry'!I44)</f>
        <v/>
      </c>
      <c r="G12" s="86"/>
      <c r="H12" s="24" t="s">
        <v>29</v>
      </c>
      <c r="J12" s="15" t="s">
        <v>38</v>
      </c>
      <c r="K12" s="15"/>
      <c r="L12" s="129"/>
      <c r="M12" s="129"/>
      <c r="N12" s="129"/>
      <c r="O12" s="15"/>
      <c r="P12" s="15" t="s">
        <v>39</v>
      </c>
      <c r="Q12" s="15"/>
      <c r="R12" s="15"/>
      <c r="S12" s="117"/>
      <c r="T12" s="117"/>
      <c r="U12" s="117"/>
    </row>
    <row r="13" spans="1:22" ht="36" customHeight="1" thickBot="1" x14ac:dyDescent="0.3">
      <c r="A13" s="34" t="str">
        <f>IF(ISBLANK('Control Entry'!D44),"",'Control Entry'!D44)</f>
        <v/>
      </c>
      <c r="B13" s="35" t="str">
        <f>'Control Entry'!N44</f>
        <v/>
      </c>
      <c r="C13" s="35" t="str">
        <f>'Control Entry'!O44</f>
        <v/>
      </c>
      <c r="D13" s="36" t="str">
        <f>IF(ISBLANK('Control Entry'!E44),"",'Control Entry'!E44)</f>
        <v/>
      </c>
      <c r="E13" s="28" t="str">
        <f>IF(ISBLANK('Control Entry'!G44),"",'Control Entry'!G44)</f>
        <v/>
      </c>
      <c r="F13" s="85" t="str">
        <f>IF(ISBLANK('Control Entry'!J44),"",'Control Entry'!J44)</f>
        <v/>
      </c>
      <c r="G13" s="86"/>
      <c r="H13" s="24" t="s">
        <v>29</v>
      </c>
      <c r="J13" s="15" t="s">
        <v>40</v>
      </c>
      <c r="L13" s="139"/>
      <c r="M13" s="139"/>
      <c r="N13" s="139"/>
      <c r="P13" s="15" t="s">
        <v>41</v>
      </c>
      <c r="Q13" s="15"/>
      <c r="R13" s="118"/>
      <c r="S13" s="118"/>
      <c r="T13" s="118"/>
      <c r="U13" s="118"/>
    </row>
    <row r="14" spans="1:22" ht="36" customHeight="1" thickBot="1" x14ac:dyDescent="0.25">
      <c r="A14" s="29"/>
      <c r="B14" s="30" t="str">
        <f>'Control Entry'!N44</f>
        <v/>
      </c>
      <c r="C14" s="30" t="str">
        <f>'Control Entry'!O44</f>
        <v/>
      </c>
      <c r="D14" s="31"/>
      <c r="E14" s="32" t="str">
        <f>IF(ISBLANK('Control Entry'!H44),"",'Control Entry'!H44)</f>
        <v/>
      </c>
      <c r="F14" s="89" t="str">
        <f>IF(ISBLANK('Control Entry'!K44),"",'Control Entry'!K44)</f>
        <v/>
      </c>
      <c r="G14" s="88"/>
      <c r="H14" s="24" t="s">
        <v>29</v>
      </c>
    </row>
    <row r="15" spans="1:22" ht="36" customHeight="1" x14ac:dyDescent="0.2">
      <c r="A15" s="25"/>
      <c r="B15" s="26" t="str">
        <f>'Control Entry'!N45</f>
        <v/>
      </c>
      <c r="C15" s="26" t="str">
        <f>'Control Entry'!O45</f>
        <v/>
      </c>
      <c r="D15" s="33"/>
      <c r="E15" s="28" t="str">
        <f>IF(ISBLANK('Control Entry'!F45),"",'Control Entry'!F45)</f>
        <v/>
      </c>
      <c r="F15" s="85" t="str">
        <f>IF(ISBLANK('Control Entry'!I45),"",'Control Entry'!I45)</f>
        <v/>
      </c>
      <c r="G15" s="86"/>
      <c r="H15" s="24" t="s">
        <v>29</v>
      </c>
      <c r="J15" s="15"/>
      <c r="L15" s="133" t="s">
        <v>58</v>
      </c>
      <c r="M15" s="133"/>
      <c r="N15" s="133"/>
      <c r="O15" s="133"/>
      <c r="P15" s="133"/>
      <c r="Q15" s="133"/>
      <c r="R15" s="133"/>
      <c r="S15" s="133"/>
      <c r="T15" s="133"/>
      <c r="U15" s="133"/>
    </row>
    <row r="16" spans="1:22" ht="36" customHeight="1" thickBot="1" x14ac:dyDescent="0.25">
      <c r="A16" s="34" t="str">
        <f>IF(ISBLANK('Control Entry'!D45),"",'Control Entry'!D45)</f>
        <v/>
      </c>
      <c r="B16" s="35" t="str">
        <f>'Control Entry'!N45</f>
        <v/>
      </c>
      <c r="C16" s="35" t="str">
        <f>'Control Entry'!O45</f>
        <v/>
      </c>
      <c r="D16" s="36" t="str">
        <f>IF(ISBLANK('Control Entry'!E45),"",'Control Entry'!E45)</f>
        <v/>
      </c>
      <c r="E16" s="28" t="str">
        <f>IF(ISBLANK('Control Entry'!G45),"",'Control Entry'!G45)</f>
        <v/>
      </c>
      <c r="F16" s="85" t="str">
        <f>IF(ISBLANK('Control Entry'!J45),"",'Control Entry'!J45)</f>
        <v/>
      </c>
      <c r="G16" s="86"/>
      <c r="H16" s="24" t="s">
        <v>29</v>
      </c>
      <c r="L16" s="141"/>
      <c r="M16" s="141"/>
      <c r="N16" s="141"/>
      <c r="O16" s="141"/>
      <c r="P16" s="141"/>
      <c r="Q16" s="141"/>
      <c r="R16" s="141"/>
      <c r="S16" s="141"/>
      <c r="T16" s="141"/>
      <c r="U16" s="141"/>
    </row>
    <row r="17" spans="1:22" ht="36" customHeight="1" thickBot="1" x14ac:dyDescent="0.25">
      <c r="A17" s="29"/>
      <c r="B17" s="30" t="str">
        <f>'Control Entry'!N45</f>
        <v/>
      </c>
      <c r="C17" s="30" t="str">
        <f>'Control Entry'!O45</f>
        <v/>
      </c>
      <c r="D17" s="31"/>
      <c r="E17" s="32" t="str">
        <f>IF(ISBLANK('Control Entry'!H45),"",'Control Entry'!H45)</f>
        <v/>
      </c>
      <c r="F17" s="89" t="str">
        <f>IF(ISBLANK('Control Entry'!K45),"",'Control Entry'!K45)</f>
        <v/>
      </c>
      <c r="G17" s="88"/>
      <c r="H17" s="24" t="s">
        <v>29</v>
      </c>
    </row>
    <row r="18" spans="1:22" ht="36" customHeight="1" x14ac:dyDescent="0.2">
      <c r="A18" s="25"/>
      <c r="B18" s="26" t="str">
        <f>'Control Entry'!N46</f>
        <v/>
      </c>
      <c r="C18" s="26" t="str">
        <f>'Control Entry'!O46</f>
        <v/>
      </c>
      <c r="D18" s="33"/>
      <c r="E18" s="28" t="str">
        <f>IF(ISBLANK('Control Entry'!F46),"",'Control Entry'!F46)</f>
        <v/>
      </c>
      <c r="F18" s="85" t="str">
        <f>IF(ISBLANK('Control Entry'!I46),"",'Control Entry'!I46)</f>
        <v/>
      </c>
      <c r="G18" s="86"/>
      <c r="H18" s="24" t="s">
        <v>29</v>
      </c>
    </row>
    <row r="19" spans="1:22" ht="36" customHeight="1" x14ac:dyDescent="0.2">
      <c r="A19" s="34" t="str">
        <f>IF(ISBLANK('Control Entry'!D46),"",'Control Entry'!D46)</f>
        <v/>
      </c>
      <c r="B19" s="35" t="str">
        <f>'Control Entry'!N46</f>
        <v/>
      </c>
      <c r="C19" s="35" t="str">
        <f>'Control Entry'!O46</f>
        <v/>
      </c>
      <c r="D19" s="36" t="str">
        <f>IF(ISBLANK('Control Entry'!E46),"",'Control Entry'!E46)</f>
        <v/>
      </c>
      <c r="E19" s="28" t="str">
        <f>IF(ISBLANK('Control Entry'!G46),"",'Control Entry'!G46)</f>
        <v/>
      </c>
      <c r="F19" s="85" t="str">
        <f>IF(ISBLANK('Control Entry'!J46),"",'Control Entry'!J46)</f>
        <v/>
      </c>
      <c r="G19" s="86"/>
      <c r="H19" s="24" t="s">
        <v>29</v>
      </c>
    </row>
    <row r="20" spans="1:22" ht="36" customHeight="1" thickBot="1" x14ac:dyDescent="0.25">
      <c r="A20" s="29"/>
      <c r="B20" s="30" t="str">
        <f>'Control Entry'!N46</f>
        <v/>
      </c>
      <c r="C20" s="30" t="str">
        <f>'Control Entry'!O46</f>
        <v/>
      </c>
      <c r="D20" s="31"/>
      <c r="E20" s="32" t="str">
        <f>IF(ISBLANK('Control Entry'!H46),"",'Control Entry'!H46)</f>
        <v/>
      </c>
      <c r="F20" s="89" t="str">
        <f>IF(ISBLANK('Control Entry'!K46),"",'Control Entry'!K46)</f>
        <v/>
      </c>
      <c r="G20" s="88"/>
      <c r="H20" s="24" t="s">
        <v>29</v>
      </c>
      <c r="J20" s="50" t="s">
        <v>44</v>
      </c>
      <c r="K20" s="50"/>
      <c r="L20" s="128" t="d">
        <f>IF(ISBLANK('Control Entry'!B12),"",'Control Entry'!B12)</f>
        <v>2023-07-08</v>
      </c>
      <c r="M20" s="128"/>
      <c r="N20" s="128"/>
      <c r="P20" s="15" t="s">
        <v>0</v>
      </c>
      <c r="Q20" s="15"/>
      <c r="S20" s="132" t="d">
        <f>IF(ISBLANK('Control Entry'!B13),"",'Control Entry'!B13)</f>
        <v>06:00:00.000</v>
      </c>
      <c r="T20" s="132"/>
      <c r="U20" s="132"/>
    </row>
    <row r="21" spans="1:22" ht="36" customHeight="1" x14ac:dyDescent="0.2">
      <c r="A21" s="25"/>
      <c r="B21" s="26" t="str">
        <f>'Control Entry'!N47</f>
        <v/>
      </c>
      <c r="C21" s="26" t="str">
        <f>'Control Entry'!O47</f>
        <v/>
      </c>
      <c r="D21" s="33"/>
      <c r="E21" s="28" t="str">
        <f>IF(ISBLANK('Control Entry'!F47),"",'Control Entry'!F47)</f>
        <v/>
      </c>
      <c r="F21" s="85" t="str">
        <f>IF(ISBLANK('Control Entry'!I47),"",'Control Entry'!I47)</f>
        <v/>
      </c>
      <c r="G21" s="86"/>
      <c r="H21" s="24" t="s">
        <v>29</v>
      </c>
      <c r="J21" s="134" t="s">
        <v>90</v>
      </c>
      <c r="K21" s="134"/>
      <c r="L21" s="134"/>
      <c r="M21" s="134"/>
      <c r="N21" s="134"/>
      <c r="O21" s="134"/>
      <c r="P21" s="134"/>
      <c r="Q21" s="134"/>
      <c r="R21" s="134"/>
      <c r="S21" s="134"/>
      <c r="T21" s="134"/>
      <c r="U21" s="134"/>
    </row>
    <row r="22" spans="1:22" ht="36" customHeight="1" thickBot="1" x14ac:dyDescent="0.25">
      <c r="A22" s="34" t="str">
        <f>IF(ISBLANK('Control Entry'!D47),"",'Control Entry'!D47)</f>
        <v/>
      </c>
      <c r="B22" s="35" t="str">
        <f>'Control Entry'!N47</f>
        <v/>
      </c>
      <c r="C22" s="35" t="str">
        <f>'Control Entry'!O47</f>
        <v/>
      </c>
      <c r="D22" s="36" t="str">
        <f>IF(ISBLANK('Control Entry'!E47),"",'Control Entry'!E47)</f>
        <v/>
      </c>
      <c r="E22" s="28" t="str">
        <f>IF(ISBLANK('Control Entry'!G47),"",'Control Entry'!G47)</f>
        <v/>
      </c>
      <c r="F22" s="85" t="str">
        <f>IF(ISBLANK('Control Entry'!J47),"",'Control Entry'!J47)</f>
        <v/>
      </c>
      <c r="G22" s="86"/>
      <c r="H22" s="24" t="s">
        <v>29</v>
      </c>
      <c r="J22" s="50" t="s">
        <v>45</v>
      </c>
      <c r="K22" s="50"/>
      <c r="L22" s="90"/>
      <c r="M22" s="90"/>
      <c r="N22" s="90"/>
      <c r="P22" s="15" t="s">
        <v>1</v>
      </c>
      <c r="Q22" s="15"/>
      <c r="S22" s="135"/>
      <c r="T22" s="135"/>
      <c r="U22" s="135"/>
    </row>
    <row r="23" spans="1:22" ht="36" customHeight="1" thickBot="1" x14ac:dyDescent="0.25">
      <c r="A23" s="29"/>
      <c r="B23" s="30" t="str">
        <f>'Control Entry'!N47</f>
        <v/>
      </c>
      <c r="C23" s="30" t="str">
        <f>'Control Entry'!O47</f>
        <v/>
      </c>
      <c r="D23" s="31"/>
      <c r="E23" s="32" t="str">
        <f>IF(ISBLANK('Control Entry'!H47),"",'Control Entry'!H47)</f>
        <v/>
      </c>
      <c r="F23" s="89" t="str">
        <f>IF(ISBLANK('Control Entry'!K47),"",'Control Entry'!K47)</f>
        <v/>
      </c>
      <c r="G23" s="88"/>
      <c r="H23" s="24" t="s">
        <v>29</v>
      </c>
      <c r="J23" s="50"/>
      <c r="K23" s="50"/>
      <c r="L23" s="44"/>
      <c r="M23" s="44"/>
      <c r="N23" s="44"/>
      <c r="P23" s="15"/>
      <c r="Q23" s="15"/>
    </row>
    <row r="24" spans="1:22" ht="36" customHeight="1" thickBot="1" x14ac:dyDescent="0.25">
      <c r="A24" s="25"/>
      <c r="B24" s="26" t="str">
        <f>'Control Entry'!N48</f>
        <v/>
      </c>
      <c r="C24" s="26" t="str">
        <f>'Control Entry'!O48</f>
        <v/>
      </c>
      <c r="D24" s="33"/>
      <c r="E24" s="28" t="str">
        <f>IF(ISBLANK('Control Entry'!F48),"",'Control Entry'!F48)</f>
        <v/>
      </c>
      <c r="F24" s="85" t="str">
        <f>IF(ISBLANK('Control Entry'!I48),"",'Control Entry'!I48)</f>
        <v/>
      </c>
      <c r="G24" s="86"/>
      <c r="H24" s="24" t="s">
        <v>29</v>
      </c>
      <c r="J24" s="135"/>
      <c r="K24" s="135"/>
      <c r="L24" s="135"/>
      <c r="M24" s="135"/>
      <c r="N24" s="135"/>
      <c r="P24" s="15" t="s">
        <v>2</v>
      </c>
      <c r="Q24" s="15"/>
      <c r="S24" s="135"/>
      <c r="T24" s="135"/>
      <c r="U24" s="135"/>
    </row>
    <row r="25" spans="1:22" ht="36" customHeight="1" x14ac:dyDescent="0.2">
      <c r="A25" s="34" t="str">
        <f>IF(ISBLANK('Control Entry'!D48),"",'Control Entry'!D48)</f>
        <v/>
      </c>
      <c r="B25" s="35" t="str">
        <f>'Control Entry'!N48</f>
        <v/>
      </c>
      <c r="C25" s="35" t="str">
        <f>'Control Entry'!O48</f>
        <v/>
      </c>
      <c r="D25" s="36" t="str">
        <f>IF(ISBLANK('Control Entry'!E48),"",'Control Entry'!E48)</f>
        <v/>
      </c>
      <c r="E25" s="28" t="str">
        <f>IF(ISBLANK('Control Entry'!G48),"",'Control Entry'!G48)</f>
        <v/>
      </c>
      <c r="F25" s="85" t="str">
        <f>IF(ISBLANK('Control Entry'!J48),"",'Control Entry'!J48)</f>
        <v/>
      </c>
      <c r="G25" s="86"/>
      <c r="H25" s="24" t="s">
        <v>29</v>
      </c>
      <c r="J25" s="130" t="s">
        <v>17</v>
      </c>
      <c r="K25" s="130"/>
      <c r="L25" s="130"/>
      <c r="M25" s="130"/>
      <c r="N25" s="130"/>
      <c r="O25" s="46"/>
      <c r="P25" s="109"/>
      <c r="Q25" s="109"/>
      <c r="R25" s="46"/>
      <c r="S25" s="107"/>
      <c r="T25" s="107"/>
      <c r="U25" s="107"/>
      <c r="V25" s="107"/>
    </row>
    <row r="26" spans="1:22" ht="36" customHeight="1" thickBot="1" x14ac:dyDescent="0.25">
      <c r="A26" s="29"/>
      <c r="B26" s="30" t="str">
        <f>'Control Entry'!N48</f>
        <v/>
      </c>
      <c r="C26" s="30" t="str">
        <f>'Control Entry'!O48</f>
        <v/>
      </c>
      <c r="D26" s="31"/>
      <c r="E26" s="32" t="str">
        <f>IF(ISBLANK('Control Entry'!H48),"",'Control Entry'!H48)</f>
        <v/>
      </c>
      <c r="F26" s="89" t="str">
        <f>IF(ISBLANK('Control Entry'!K48),"",'Control Entry'!K48)</f>
        <v/>
      </c>
      <c r="G26" s="88"/>
      <c r="H26" s="24" t="s">
        <v>29</v>
      </c>
    </row>
    <row r="27" spans="1:22" ht="36" customHeight="1" x14ac:dyDescent="0.2">
      <c r="A27" s="25"/>
      <c r="B27" s="26" t="str">
        <f>'Control Entry'!N49</f>
        <v/>
      </c>
      <c r="C27" s="26" t="str">
        <f>'Control Entry'!O49</f>
        <v/>
      </c>
      <c r="D27" s="33"/>
      <c r="E27" s="28" t="str">
        <f>IF(ISBLANK('Control Entry'!F49),"",'Control Entry'!F49)</f>
        <v/>
      </c>
      <c r="F27" s="85" t="str">
        <f>IF(ISBLANK('Control Entry'!I49),"",'Control Entry'!I49)</f>
        <v/>
      </c>
      <c r="G27" s="86"/>
      <c r="H27" s="24" t="s">
        <v>29</v>
      </c>
      <c r="K27" s="116" t="s">
        <v>56</v>
      </c>
      <c r="L27" s="109"/>
      <c r="M27" s="45" t="s">
        <v>57</v>
      </c>
      <c r="N27" s="109" t="s">
        <v>49</v>
      </c>
      <c r="O27" s="109"/>
      <c r="P27" s="109" t="s">
        <v>50</v>
      </c>
      <c r="Q27" s="109"/>
      <c r="R27" s="46" t="s">
        <v>51</v>
      </c>
      <c r="S27" s="107" t="s">
        <v>52</v>
      </c>
      <c r="T27" s="107"/>
      <c r="U27" s="107" t="s">
        <v>53</v>
      </c>
      <c r="V27" s="107"/>
    </row>
    <row r="28" spans="1:22" ht="36" customHeight="1" x14ac:dyDescent="0.2">
      <c r="A28" s="34" t="str">
        <f>IF(ISBLANK('Control Entry'!D49),"",'Control Entry'!D49)</f>
        <v/>
      </c>
      <c r="B28" s="35" t="str">
        <f>'Control Entry'!N49</f>
        <v/>
      </c>
      <c r="C28" s="35" t="str">
        <f>'Control Entry'!O49</f>
        <v/>
      </c>
      <c r="D28" s="36" t="str">
        <f>IF(ISBLANK('Control Entry'!E49),"",'Control Entry'!E49)</f>
        <v/>
      </c>
      <c r="E28" s="28" t="str">
        <f>IF(ISBLANK('Control Entry'!G49),"",'Control Entry'!G49)</f>
        <v/>
      </c>
      <c r="F28" s="85" t="str">
        <f>IF(ISBLANK('Control Entry'!J49),"",'Control Entry'!J49)</f>
        <v/>
      </c>
      <c r="G28" s="86"/>
      <c r="H28" s="24" t="s">
        <v>29</v>
      </c>
    </row>
    <row r="29" spans="1:22" ht="36" customHeight="1" thickBot="1" x14ac:dyDescent="0.25">
      <c r="A29" s="29"/>
      <c r="B29" s="30" t="str">
        <f>'Control Entry'!N49</f>
        <v/>
      </c>
      <c r="C29" s="30" t="str">
        <f>'Control Entry'!O49</f>
        <v/>
      </c>
      <c r="D29" s="31"/>
      <c r="E29" s="32" t="str">
        <f>IF(ISBLANK('Control Entry'!H49),"",'Control Entry'!H49)</f>
        <v/>
      </c>
      <c r="F29" s="89" t="str">
        <f>IF(ISBLANK('Control Entry'!K49),"",'Control Entry'!K49)</f>
        <v/>
      </c>
      <c r="G29" s="88"/>
      <c r="H29" s="24" t="s">
        <v>29</v>
      </c>
      <c r="M29" s="108" t="s">
        <v>42</v>
      </c>
      <c r="N29" s="108"/>
      <c r="O29" s="108"/>
      <c r="P29" s="108"/>
      <c r="Q29" s="108"/>
      <c r="R29" s="108"/>
      <c r="S29" s="108"/>
      <c r="T29" s="108"/>
      <c r="U29" s="49"/>
    </row>
    <row r="30" spans="1:22" ht="36" customHeight="1" x14ac:dyDescent="0.2">
      <c r="A30" s="25"/>
      <c r="B30" s="26" t="str">
        <f>'Control Entry'!N50</f>
        <v/>
      </c>
      <c r="C30" s="26" t="str">
        <f>'Control Entry'!O50</f>
        <v/>
      </c>
      <c r="D30" s="33"/>
      <c r="E30" s="28" t="str">
        <f>IF(ISBLANK('Control Entry'!F50),"",'Control Entry'!F50)</f>
        <v/>
      </c>
      <c r="F30" s="85" t="str">
        <f>IF(ISBLANK('Control Entry'!I50),"",'Control Entry'!I50)</f>
        <v/>
      </c>
      <c r="G30" s="86"/>
      <c r="H30" s="24" t="s">
        <v>29</v>
      </c>
      <c r="M30" s="16"/>
      <c r="N30" s="18"/>
      <c r="O30" s="18"/>
      <c r="P30" s="19"/>
      <c r="Q30" s="16"/>
      <c r="R30" s="18"/>
      <c r="S30" s="18"/>
      <c r="T30" s="19"/>
    </row>
    <row r="31" spans="1:22" ht="36" customHeight="1" x14ac:dyDescent="0.2">
      <c r="A31" s="34" t="str">
        <f>IF(ISBLANK('Control Entry'!D50),"",'Control Entry'!D50)</f>
        <v/>
      </c>
      <c r="B31" s="35" t="str">
        <f>'Control Entry'!N50</f>
        <v/>
      </c>
      <c r="C31" s="35" t="str">
        <f>'Control Entry'!O50</f>
        <v/>
      </c>
      <c r="D31" s="36" t="str">
        <f>IF(ISBLANK('Control Entry'!E50),"",'Control Entry'!E50)</f>
        <v/>
      </c>
      <c r="E31" s="28" t="str">
        <f>IF(ISBLANK('Control Entry'!G50),"",'Control Entry'!G50)</f>
        <v/>
      </c>
      <c r="F31" s="85" t="str">
        <f>IF(ISBLANK('Control Entry'!J50),"",'Control Entry'!J50)</f>
        <v/>
      </c>
      <c r="G31" s="86"/>
      <c r="H31" s="24" t="s">
        <v>29</v>
      </c>
      <c r="M31" s="17"/>
      <c r="P31" s="20"/>
      <c r="Q31" s="17"/>
      <c r="T31" s="20"/>
    </row>
    <row r="32" spans="1:22" ht="36" customHeight="1" thickBot="1" x14ac:dyDescent="0.25">
      <c r="A32" s="29"/>
      <c r="B32" s="30" t="str">
        <f>'Control Entry'!N50</f>
        <v/>
      </c>
      <c r="C32" s="30" t="str">
        <f>'Control Entry'!O50</f>
        <v/>
      </c>
      <c r="D32" s="31"/>
      <c r="E32" s="32" t="str">
        <f>IF(ISBLANK('Control Entry'!H50),"",'Control Entry'!H50)</f>
        <v/>
      </c>
      <c r="F32" s="89" t="str">
        <f>IF(ISBLANK('Control Entry'!K50),"",'Control Entry'!K50)</f>
        <v/>
      </c>
      <c r="G32" s="88"/>
      <c r="H32" s="24" t="s">
        <v>29</v>
      </c>
      <c r="M32" s="121" t="s">
        <v>82</v>
      </c>
      <c r="N32" s="122"/>
      <c r="O32" s="122"/>
      <c r="P32" s="123"/>
      <c r="Q32" s="124" t="d">
        <f>'Control Entry'!B3</f>
        <v>2022-11-09</v>
      </c>
      <c r="R32" s="125"/>
      <c r="S32" s="125"/>
      <c r="T32" s="126"/>
    </row>
    <row r="33" spans="1:22" ht="36" customHeight="1" x14ac:dyDescent="0.2">
      <c r="A33" s="115" t="s">
        <v>43</v>
      </c>
      <c r="B33" s="115"/>
      <c r="C33" s="115"/>
      <c r="D33" s="115"/>
      <c r="E33" s="115"/>
      <c r="F33" s="115"/>
      <c r="G33" s="115"/>
      <c r="H33" s="37"/>
      <c r="I33" s="37"/>
      <c r="M33" s="110" t="s">
        <v>86</v>
      </c>
      <c r="N33" s="111"/>
      <c r="O33" s="111"/>
      <c r="P33" s="111"/>
      <c r="Q33" s="112" t="d">
        <f>'Control Entry'!B4</f>
        <v>2023-07-03</v>
      </c>
      <c r="R33" s="113"/>
      <c r="S33" s="113"/>
      <c r="T33" s="113"/>
      <c r="U33" s="82"/>
      <c r="V33" s="44"/>
    </row>
    <row r="34" spans="1:22" ht="36" customHeight="1" x14ac:dyDescent="0.2">
      <c r="A34"/>
      <c r="O34" s="15"/>
      <c r="P34" s="15"/>
      <c r="Q34" s="15"/>
      <c r="R34" s="42"/>
    </row>
    <row r="35" spans="1:22" ht="36" customHeight="1" x14ac:dyDescent="0.2">
      <c r="A35"/>
      <c r="N35" s="108"/>
      <c r="O35" s="108"/>
      <c r="P35" s="108"/>
      <c r="Q35" s="108"/>
      <c r="R35" s="108"/>
      <c r="S35" s="108"/>
      <c r="T35" s="108"/>
      <c r="U35" s="108"/>
    </row>
    <row r="36" spans="1:22" ht="36" customHeight="1" x14ac:dyDescent="0.15">
      <c r="A36"/>
    </row>
    <row r="37" spans="1:22" ht="36" customHeight="1" x14ac:dyDescent="0.15">
      <c r="A37"/>
    </row>
    <row r="38" spans="1:22" ht="36" customHeight="1" x14ac:dyDescent="0.2">
      <c r="A38"/>
      <c r="N38" s="15"/>
    </row>
    <row r="39" spans="1:22" ht="36" customHeight="1" x14ac:dyDescent="0.15">
      <c r="A39"/>
    </row>
    <row r="40" spans="1:22" ht="36" customHeight="1" x14ac:dyDescent="0.15">
      <c r="A40"/>
    </row>
  </sheetData>
  <sheetProtection algorithmName="SHA-512" hashValue="n04OlOPypxKiXZHfTF7SZ14P8gX/OWk/qktZJUCZqh+6Nv8BjLLr9UXJBNwuWtsY5jnC73Xiuu+JFtcLWZMoiA==" saltValue="FabpdyB7wrMR7nA5d9noMA==" spinCount="100000" sheet="1" objects="1" scenarios="1" formatCells="0" selectLockedCells="1"/>
  <mergeCells count="41">
    <mergeCell ref="S22:U22"/>
    <mergeCell ref="J24:N24"/>
    <mergeCell ref="S24:U24"/>
    <mergeCell ref="S11:U11"/>
    <mergeCell ref="L12:N12"/>
    <mergeCell ref="S12:U12"/>
    <mergeCell ref="L13:N13"/>
    <mergeCell ref="R13:U13"/>
    <mergeCell ref="J21:U21"/>
    <mergeCell ref="M33:P33"/>
    <mergeCell ref="Q33:T33"/>
    <mergeCell ref="L20:N20"/>
    <mergeCell ref="A33:G33"/>
    <mergeCell ref="N35:U35"/>
    <mergeCell ref="U27:V27"/>
    <mergeCell ref="M29:T29"/>
    <mergeCell ref="K27:L27"/>
    <mergeCell ref="N27:O27"/>
    <mergeCell ref="P27:Q27"/>
    <mergeCell ref="S27:T27"/>
    <mergeCell ref="J25:N25"/>
    <mergeCell ref="P25:Q25"/>
    <mergeCell ref="S25:T25"/>
    <mergeCell ref="U25:V25"/>
    <mergeCell ref="M32:P32"/>
    <mergeCell ref="Q32:T32"/>
    <mergeCell ref="A1:G1"/>
    <mergeCell ref="K2:U2"/>
    <mergeCell ref="M4:T4"/>
    <mergeCell ref="N5:O5"/>
    <mergeCell ref="R5:U5"/>
    <mergeCell ref="O3:R3"/>
    <mergeCell ref="L6:U6"/>
    <mergeCell ref="L8:Q8"/>
    <mergeCell ref="T8:U8"/>
    <mergeCell ref="L15:U15"/>
    <mergeCell ref="S20:U20"/>
    <mergeCell ref="L9:U9"/>
    <mergeCell ref="L10:U10"/>
    <mergeCell ref="L11:N11"/>
    <mergeCell ref="L16:U16"/>
  </mergeCells>
  <conditionalFormatting sqref="J22:N22">
    <cfRule type="expression" dxfId="10" priority="3">
      <formula>$S$3="#3"</formula>
    </cfRule>
  </conditionalFormatting>
  <conditionalFormatting sqref="J21:U21">
    <cfRule type="expression" dxfId="9" priority="1">
      <formula>$S$3&lt;&gt;"#3"</formula>
    </cfRule>
  </conditionalFormatting>
  <conditionalFormatting sqref="K27:V27">
    <cfRule type="expression" dxfId="8" priority="2">
      <formula>$S$3="#3"</formula>
    </cfRule>
  </conditionalFormatting>
  <conditionalFormatting sqref="P22:U24">
    <cfRule type="expression" dxfId="7" priority="4">
      <formula>$S$3="#3"</formula>
    </cfRule>
  </conditionalFormatting>
  <printOptions horizontalCentered="1" verticalCentered="1"/>
  <pageMargins left="0.2" right="0.2" top="0.2" bottom="0.2" header="0.51" footer="0.51"/>
  <pageSetup scale="44" orientation="landscape" horizontalDpi="4294967292" verticalDpi="4294967292"/>
  <ignoredErrors>
    <ignoredError sqref="L20" unlockedFormula="1"/>
  </ignoredErrors>
  <drawing r:id="rId1"/>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6F177-8884-5D4F-9CF4-14229878B446}">
  <sheetPr>
    <pageSetUpPr fitToPage="1"/>
  </sheetPr>
  <dimension ref="A1:V40"/>
  <sheetViews>
    <sheetView showGridLines="0" topLeftCell="G1" zoomScale="92" zoomScaleNormal="92" zoomScalePageLayoutView="92" workbookViewId="0">
      <selection activeCell="L8" sqref="L8:Q8"/>
    </sheetView>
  </sheetViews>
  <sheetFormatPr baseColWidth="10" defaultColWidth="8.83203125" defaultRowHeight="13" x14ac:dyDescent="0.15"/>
  <cols>
    <col min="1" max="1" width="8.5" style="1" customWidth="1"/>
    <col min="2" max="3" width="11.6640625" customWidth="1"/>
    <col min="4" max="4" width="18" customWidth="1"/>
    <col min="5" max="5" width="23.83203125" customWidth="1"/>
    <col min="6" max="6" width="42" customWidth="1"/>
    <col min="7" max="7" width="13.5" customWidth="1"/>
    <col min="8" max="8" width="8" customWidth="1"/>
    <col min="9" max="9" width="12" customWidth="1"/>
    <col min="12" max="14" width="9" customWidth="1"/>
    <col min="18" max="18" width="8.83203125" customWidth="1"/>
    <col min="19" max="19" width="9" customWidth="1"/>
  </cols>
  <sheetData>
    <row r="1" spans="1:22" ht="21" thickBot="1" x14ac:dyDescent="0.2">
      <c r="A1" s="114" t="s">
        <v>74</v>
      </c>
      <c r="B1" s="114"/>
      <c r="C1" s="114"/>
      <c r="D1" s="114"/>
      <c r="E1" s="114"/>
      <c r="F1" s="114"/>
      <c r="G1" s="114"/>
      <c r="H1" s="24" t="s">
        <v>29</v>
      </c>
    </row>
    <row r="2" spans="1:22" ht="33.75" customHeight="1" thickBot="1" x14ac:dyDescent="0.25">
      <c r="A2" s="65" t="s">
        <v>30</v>
      </c>
      <c r="B2" s="9" t="s">
        <v>3</v>
      </c>
      <c r="C2" s="9" t="s">
        <v>4</v>
      </c>
      <c r="D2" s="9" t="s">
        <v>25</v>
      </c>
      <c r="E2" s="9" t="s">
        <v>31</v>
      </c>
      <c r="F2" s="9" t="s">
        <v>59</v>
      </c>
      <c r="G2" s="65" t="s">
        <v>32</v>
      </c>
      <c r="H2" s="24" t="s">
        <v>29</v>
      </c>
      <c r="K2" s="113" t="s">
        <v>55</v>
      </c>
      <c r="L2" s="113"/>
      <c r="M2" s="113"/>
      <c r="N2" s="113"/>
      <c r="O2" s="113"/>
      <c r="P2" s="113"/>
      <c r="Q2" s="113"/>
      <c r="R2" s="113"/>
      <c r="S2" s="113"/>
      <c r="T2" s="113"/>
      <c r="U2" s="113"/>
    </row>
    <row r="3" spans="1:22" ht="36" customHeight="1" x14ac:dyDescent="0.45">
      <c r="A3" s="25"/>
      <c r="B3" s="26" t="str">
        <f>'Control Entry'!N54</f>
        <v/>
      </c>
      <c r="C3" s="26" t="str">
        <f>'Control Entry'!O54</f>
        <v/>
      </c>
      <c r="D3" s="27"/>
      <c r="E3" s="28" t="str">
        <f>IF(ISBLANK('Control Entry'!F54),"",'Control Entry'!F54)</f>
        <v/>
      </c>
      <c r="F3" s="85" t="str">
        <f>IF(ISBLANK('Control Entry'!I54),"",'Control Entry'!I54)</f>
        <v/>
      </c>
      <c r="G3" s="86"/>
      <c r="H3" s="24" t="s">
        <v>29</v>
      </c>
      <c r="K3" s="14"/>
      <c r="O3" s="131" t="s">
        <v>73</v>
      </c>
      <c r="P3" s="131"/>
      <c r="Q3" s="131"/>
      <c r="R3" s="131"/>
      <c r="S3" s="75" t="str">
        <f>IF(AND('Control Entry'!D41=0,'Control Entry'!D54&lt;&gt;0),"#2",IF('Control Entry'!D54=0,"","#4"))</f>
        <v/>
      </c>
      <c r="T3" s="76"/>
      <c r="U3" s="38"/>
    </row>
    <row r="4" spans="1:22" ht="36" customHeight="1" x14ac:dyDescent="0.2">
      <c r="A4" s="34" t="str">
        <f>IF(ISBLANK('Control Entry'!D54),"",'Control Entry'!D54)</f>
        <v/>
      </c>
      <c r="B4" s="35" t="str">
        <f>'Control Entry'!N54</f>
        <v/>
      </c>
      <c r="C4" s="35" t="str">
        <f>'Control Entry'!O54</f>
        <v/>
      </c>
      <c r="D4" s="36" t="str">
        <f>IF(ISBLANK('Control Entry'!E54),"",'Control Entry'!E54)</f>
        <v/>
      </c>
      <c r="E4" s="28" t="str">
        <f>IF(ISBLANK('Control Entry'!G54),"",'Control Entry'!G54)</f>
        <v/>
      </c>
      <c r="F4" s="85" t="str">
        <f>IF(ISBLANK('Control Entry'!J54),"",'Control Entry'!J54)</f>
        <v/>
      </c>
      <c r="G4" s="86"/>
      <c r="H4" s="24" t="s">
        <v>29</v>
      </c>
      <c r="K4" s="14"/>
      <c r="M4" s="116" t="str">
        <f>IF(ISBLANK(brevet),"",brevet&amp;" km Randonnée")</f>
        <v>300 km Randonnée</v>
      </c>
      <c r="N4" s="116"/>
      <c r="O4" s="116"/>
      <c r="P4" s="116"/>
      <c r="Q4" s="116"/>
      <c r="R4" s="116"/>
      <c r="S4" s="116"/>
      <c r="T4" s="116"/>
      <c r="U4" s="39"/>
    </row>
    <row r="5" spans="1:22" ht="36" customHeight="1" thickBot="1" x14ac:dyDescent="0.25">
      <c r="A5" s="29"/>
      <c r="B5" s="30" t="str">
        <f>'Control Entry'!N54</f>
        <v/>
      </c>
      <c r="C5" s="30" t="str">
        <f>'Control Entry'!O54</f>
        <v/>
      </c>
      <c r="D5" s="31"/>
      <c r="E5" s="32" t="str">
        <f>IF(ISBLANK('Control Entry'!H54),"",'Control Entry'!H54)</f>
        <v/>
      </c>
      <c r="F5" s="89" t="str">
        <f>IF(ISBLANK('Control Entry'!K54),"",'Control Entry'!K54)</f>
        <v/>
      </c>
      <c r="G5" s="88"/>
      <c r="H5" s="24" t="s">
        <v>29</v>
      </c>
      <c r="K5" s="14"/>
      <c r="M5" s="15"/>
      <c r="N5" s="107" t="s">
        <v>47</v>
      </c>
      <c r="O5" s="107"/>
      <c r="P5" s="52">
        <f>IF(ISBLANK(Brevet_Number),"",Brevet_Number)</f>
        <v>5274</v>
      </c>
      <c r="Q5" s="53"/>
      <c r="R5" s="119" t="d">
        <f>IF(ISBLANK('Control Entry'!$B10),"",'Control Entry'!$B10)</f>
        <v>2023-07-08</v>
      </c>
      <c r="S5" s="119"/>
      <c r="T5" s="119"/>
      <c r="U5" s="119"/>
      <c r="V5" s="40"/>
    </row>
    <row r="6" spans="1:22" ht="36" customHeight="1" x14ac:dyDescent="0.2">
      <c r="A6" s="25"/>
      <c r="B6" s="26" t="str">
        <f>'Control Entry'!N55</f>
        <v/>
      </c>
      <c r="C6" s="26" t="str">
        <f>'Control Entry'!O55</f>
        <v/>
      </c>
      <c r="D6" s="33"/>
      <c r="E6" s="28" t="str">
        <f>IF(ISBLANK('Control Entry'!F55),"",'Control Entry'!F55)</f>
        <v/>
      </c>
      <c r="F6" s="85" t="str">
        <f>IF(ISBLANK('Control Entry'!I55),"",'Control Entry'!I55)</f>
        <v/>
      </c>
      <c r="G6" s="86"/>
      <c r="H6" s="24" t="s">
        <v>29</v>
      </c>
      <c r="K6" s="14"/>
      <c r="L6" s="134" t="str">
        <f>IF(ISBLANK(Brevet_Description),"",Brevet_Description)</f>
        <v>Jordan River Jaunt</v>
      </c>
      <c r="M6" s="134"/>
      <c r="N6" s="134"/>
      <c r="O6" s="134"/>
      <c r="P6" s="134"/>
      <c r="Q6" s="134"/>
      <c r="R6" s="134"/>
      <c r="S6" s="134"/>
      <c r="T6" s="134"/>
      <c r="U6" s="134"/>
    </row>
    <row r="7" spans="1:22" ht="36" customHeight="1" x14ac:dyDescent="0.2">
      <c r="A7" s="34" t="str">
        <f>IF(ISBLANK('Control Entry'!D55),"",'Control Entry'!D55)</f>
        <v/>
      </c>
      <c r="B7" s="35" t="str">
        <f>'Control Entry'!N55</f>
        <v/>
      </c>
      <c r="C7" s="35" t="str">
        <f>'Control Entry'!O55</f>
        <v/>
      </c>
      <c r="D7" s="36" t="str">
        <f>IF(ISBLANK('Control Entry'!E55),"",'Control Entry'!E55)</f>
        <v/>
      </c>
      <c r="E7" s="28" t="str">
        <f>IF(ISBLANK('Control Entry'!G55),"",'Control Entry'!G55)</f>
        <v/>
      </c>
      <c r="F7" s="85" t="str">
        <f>IF(ISBLANK('Control Entry'!J55),"",'Control Entry'!J55)</f>
        <v/>
      </c>
      <c r="G7" s="86"/>
      <c r="H7" s="24" t="s">
        <v>29</v>
      </c>
    </row>
    <row r="8" spans="1:22" ht="36" customHeight="1" thickBot="1" x14ac:dyDescent="0.25">
      <c r="A8" s="29"/>
      <c r="B8" s="30" t="str">
        <f>'Control Entry'!N55</f>
        <v/>
      </c>
      <c r="C8" s="30" t="str">
        <f>'Control Entry'!O55</f>
        <v/>
      </c>
      <c r="D8" s="31"/>
      <c r="E8" s="32" t="str">
        <f>IF(ISBLANK('Control Entry'!H55),"",'Control Entry'!H55)</f>
        <v/>
      </c>
      <c r="F8" s="89" t="str">
        <f>IF(ISBLANK('Control Entry'!K55),"",'Control Entry'!K55)</f>
        <v/>
      </c>
      <c r="G8" s="88"/>
      <c r="H8" s="24" t="s">
        <v>29</v>
      </c>
      <c r="J8" s="15" t="s">
        <v>34</v>
      </c>
      <c r="L8" s="120"/>
      <c r="M8" s="120"/>
      <c r="N8" s="120"/>
      <c r="O8" s="120"/>
      <c r="P8" s="120"/>
      <c r="Q8" s="120"/>
      <c r="S8" s="41" t="s">
        <v>46</v>
      </c>
      <c r="T8" s="127"/>
      <c r="U8" s="127"/>
    </row>
    <row r="9" spans="1:22" ht="36" customHeight="1" thickBot="1" x14ac:dyDescent="0.3">
      <c r="A9" s="25"/>
      <c r="B9" s="26" t="str">
        <f>'Control Entry'!N56</f>
        <v/>
      </c>
      <c r="C9" s="26" t="str">
        <f>'Control Entry'!O56</f>
        <v/>
      </c>
      <c r="D9" s="33"/>
      <c r="E9" s="28" t="str">
        <f>IF(ISBLANK('Control Entry'!F56),"",'Control Entry'!F56)</f>
        <v/>
      </c>
      <c r="F9" s="85" t="str">
        <f>IF(ISBLANK('Control Entry'!I56),"",'Control Entry'!I56)</f>
        <v/>
      </c>
      <c r="G9" s="86"/>
      <c r="H9" s="24" t="s">
        <v>29</v>
      </c>
      <c r="J9" s="15" t="s">
        <v>35</v>
      </c>
      <c r="K9" s="15"/>
      <c r="L9" s="136" t="s">
        <v>54</v>
      </c>
      <c r="M9" s="136"/>
      <c r="N9" s="136"/>
      <c r="O9" s="136"/>
      <c r="P9" s="136"/>
      <c r="Q9" s="136"/>
      <c r="R9" s="136"/>
      <c r="S9" s="136"/>
      <c r="T9" s="136"/>
      <c r="U9" s="136"/>
    </row>
    <row r="10" spans="1:22" ht="36" customHeight="1" thickBot="1" x14ac:dyDescent="0.3">
      <c r="A10" s="34" t="str">
        <f>IF(ISBLANK('Control Entry'!D56),"",'Control Entry'!D56)</f>
        <v/>
      </c>
      <c r="B10" s="35" t="str">
        <f>'Control Entry'!N56</f>
        <v/>
      </c>
      <c r="C10" s="35" t="str">
        <f>'Control Entry'!O56</f>
        <v/>
      </c>
      <c r="D10" s="36" t="str">
        <f>IF(ISBLANK('Control Entry'!E56),"",'Control Entry'!E56)</f>
        <v/>
      </c>
      <c r="E10" s="28" t="str">
        <f>IF(ISBLANK('Control Entry'!G56),"",'Control Entry'!G56)</f>
        <v/>
      </c>
      <c r="F10" s="85" t="str">
        <f>IF(ISBLANK('Control Entry'!J56),"",'Control Entry'!J56)</f>
        <v/>
      </c>
      <c r="G10" s="86"/>
      <c r="H10" s="24" t="s">
        <v>29</v>
      </c>
      <c r="J10" s="15"/>
      <c r="K10" s="15"/>
      <c r="L10" s="129"/>
      <c r="M10" s="129"/>
      <c r="N10" s="129"/>
      <c r="O10" s="129"/>
      <c r="P10" s="129"/>
      <c r="Q10" s="129"/>
      <c r="R10" s="129"/>
      <c r="S10" s="129"/>
      <c r="T10" s="129"/>
      <c r="U10" s="129"/>
    </row>
    <row r="11" spans="1:22" ht="36" customHeight="1" thickBot="1" x14ac:dyDescent="0.3">
      <c r="A11" s="29"/>
      <c r="B11" s="30" t="str">
        <f>'Control Entry'!N56</f>
        <v/>
      </c>
      <c r="C11" s="30" t="str">
        <f>'Control Entry'!O56</f>
        <v/>
      </c>
      <c r="D11" s="31"/>
      <c r="E11" s="32" t="str">
        <f>IF(ISBLANK('Control Entry'!H56),"",'Control Entry'!H56)</f>
        <v/>
      </c>
      <c r="F11" s="89" t="str">
        <f>IF(ISBLANK('Control Entry'!K56),"",'Control Entry'!K56)</f>
        <v/>
      </c>
      <c r="G11" s="88"/>
      <c r="H11" s="24" t="s">
        <v>29</v>
      </c>
      <c r="J11" s="15" t="s">
        <v>36</v>
      </c>
      <c r="K11" s="15"/>
      <c r="L11" s="129"/>
      <c r="M11" s="129"/>
      <c r="N11" s="129"/>
      <c r="O11" s="15"/>
      <c r="P11" s="15" t="s">
        <v>37</v>
      </c>
      <c r="Q11" s="15"/>
      <c r="R11" s="15"/>
      <c r="S11" s="117"/>
      <c r="T11" s="117"/>
      <c r="U11" s="117"/>
    </row>
    <row r="12" spans="1:22" ht="36" customHeight="1" thickBot="1" x14ac:dyDescent="0.3">
      <c r="A12" s="25"/>
      <c r="B12" s="26" t="str">
        <f>'Control Entry'!N57</f>
        <v/>
      </c>
      <c r="C12" s="26" t="str">
        <f>'Control Entry'!O57</f>
        <v/>
      </c>
      <c r="D12" s="33"/>
      <c r="E12" s="28" t="str">
        <f>IF(ISBLANK('Control Entry'!F57),"",'Control Entry'!F57)</f>
        <v/>
      </c>
      <c r="F12" s="85" t="str">
        <f>IF(ISBLANK('Control Entry'!I57),"",'Control Entry'!I57)</f>
        <v/>
      </c>
      <c r="G12" s="86"/>
      <c r="H12" s="24" t="s">
        <v>29</v>
      </c>
      <c r="J12" s="15" t="s">
        <v>38</v>
      </c>
      <c r="K12" s="15"/>
      <c r="L12" s="129"/>
      <c r="M12" s="129"/>
      <c r="N12" s="129"/>
      <c r="O12" s="15"/>
      <c r="P12" s="15" t="s">
        <v>39</v>
      </c>
      <c r="Q12" s="15"/>
      <c r="R12" s="15"/>
      <c r="S12" s="117"/>
      <c r="T12" s="117"/>
      <c r="U12" s="117"/>
    </row>
    <row r="13" spans="1:22" ht="36" customHeight="1" thickBot="1" x14ac:dyDescent="0.3">
      <c r="A13" s="34" t="str">
        <f>IF(ISBLANK('Control Entry'!D57),"",'Control Entry'!D57)</f>
        <v/>
      </c>
      <c r="B13" s="35" t="str">
        <f>'Control Entry'!N57</f>
        <v/>
      </c>
      <c r="C13" s="35" t="str">
        <f>'Control Entry'!O57</f>
        <v/>
      </c>
      <c r="D13" s="36" t="str">
        <f>IF(ISBLANK('Control Entry'!E57),"",'Control Entry'!E57)</f>
        <v/>
      </c>
      <c r="E13" s="28" t="str">
        <f>IF(ISBLANK('Control Entry'!G57),"",'Control Entry'!G57)</f>
        <v/>
      </c>
      <c r="F13" s="85" t="str">
        <f>IF(ISBLANK('Control Entry'!J57),"",'Control Entry'!J57)</f>
        <v/>
      </c>
      <c r="G13" s="86"/>
      <c r="H13" s="24" t="s">
        <v>29</v>
      </c>
      <c r="J13" s="15" t="s">
        <v>40</v>
      </c>
      <c r="L13" s="139"/>
      <c r="M13" s="139"/>
      <c r="N13" s="139"/>
      <c r="P13" s="15" t="s">
        <v>41</v>
      </c>
      <c r="Q13" s="15"/>
      <c r="R13" s="118"/>
      <c r="S13" s="118"/>
      <c r="T13" s="118"/>
      <c r="U13" s="118"/>
    </row>
    <row r="14" spans="1:22" ht="36" customHeight="1" thickBot="1" x14ac:dyDescent="0.25">
      <c r="A14" s="29"/>
      <c r="B14" s="30" t="str">
        <f>'Control Entry'!N57</f>
        <v/>
      </c>
      <c r="C14" s="30" t="str">
        <f>'Control Entry'!O57</f>
        <v/>
      </c>
      <c r="D14" s="31"/>
      <c r="E14" s="32" t="str">
        <f>IF(ISBLANK('Control Entry'!H57),"",'Control Entry'!H57)</f>
        <v/>
      </c>
      <c r="F14" s="89" t="str">
        <f>IF(ISBLANK('Control Entry'!K57),"",'Control Entry'!K57)</f>
        <v/>
      </c>
      <c r="G14" s="88"/>
      <c r="H14" s="24" t="s">
        <v>29</v>
      </c>
    </row>
    <row r="15" spans="1:22" ht="36" customHeight="1" x14ac:dyDescent="0.2">
      <c r="A15" s="25"/>
      <c r="B15" s="26" t="str">
        <f>'Control Entry'!N58</f>
        <v/>
      </c>
      <c r="C15" s="26" t="str">
        <f>'Control Entry'!O58</f>
        <v/>
      </c>
      <c r="D15" s="33"/>
      <c r="E15" s="28" t="str">
        <f>IF(ISBLANK('Control Entry'!F58),"",'Control Entry'!F58)</f>
        <v/>
      </c>
      <c r="F15" s="85" t="str">
        <f>IF(ISBLANK('Control Entry'!I58),"",'Control Entry'!I58)</f>
        <v/>
      </c>
      <c r="G15" s="86"/>
      <c r="H15" s="24" t="s">
        <v>29</v>
      </c>
      <c r="J15" s="15"/>
      <c r="L15" s="133" t="s">
        <v>58</v>
      </c>
      <c r="M15" s="133"/>
      <c r="N15" s="133"/>
      <c r="O15" s="133"/>
      <c r="P15" s="133"/>
      <c r="Q15" s="133"/>
      <c r="R15" s="133"/>
      <c r="S15" s="133"/>
      <c r="T15" s="133"/>
      <c r="U15" s="133"/>
    </row>
    <row r="16" spans="1:22" ht="36" customHeight="1" thickBot="1" x14ac:dyDescent="0.25">
      <c r="A16" s="34" t="str">
        <f>IF(ISBLANK('Control Entry'!D58),"",'Control Entry'!D58)</f>
        <v/>
      </c>
      <c r="B16" s="35" t="str">
        <f>'Control Entry'!N58</f>
        <v/>
      </c>
      <c r="C16" s="35" t="str">
        <f>'Control Entry'!O58</f>
        <v/>
      </c>
      <c r="D16" s="36" t="str">
        <f>IF(ISBLANK('Control Entry'!E58),"",'Control Entry'!E58)</f>
        <v/>
      </c>
      <c r="E16" s="28" t="str">
        <f>IF(ISBLANK('Control Entry'!G58),"",'Control Entry'!G58)</f>
        <v/>
      </c>
      <c r="F16" s="85" t="str">
        <f>IF(ISBLANK('Control Entry'!J58),"",'Control Entry'!J58)</f>
        <v/>
      </c>
      <c r="G16" s="86"/>
      <c r="H16" s="24" t="s">
        <v>29</v>
      </c>
      <c r="L16" s="141"/>
      <c r="M16" s="141"/>
      <c r="N16" s="141"/>
      <c r="O16" s="141"/>
      <c r="P16" s="141"/>
      <c r="Q16" s="141"/>
      <c r="R16" s="141"/>
      <c r="S16" s="141"/>
      <c r="T16" s="141"/>
      <c r="U16" s="141"/>
    </row>
    <row r="17" spans="1:22" ht="36" customHeight="1" thickBot="1" x14ac:dyDescent="0.25">
      <c r="A17" s="29"/>
      <c r="B17" s="30" t="str">
        <f>'Control Entry'!N58</f>
        <v/>
      </c>
      <c r="C17" s="30" t="str">
        <f>'Control Entry'!O58</f>
        <v/>
      </c>
      <c r="D17" s="31"/>
      <c r="E17" s="32" t="str">
        <f>IF(ISBLANK('Control Entry'!H58),"",'Control Entry'!H58)</f>
        <v/>
      </c>
      <c r="F17" s="89" t="str">
        <f>IF(ISBLANK('Control Entry'!K58),"",'Control Entry'!K58)</f>
        <v/>
      </c>
      <c r="G17" s="88"/>
      <c r="H17" s="24" t="s">
        <v>29</v>
      </c>
    </row>
    <row r="18" spans="1:22" ht="36" customHeight="1" x14ac:dyDescent="0.2">
      <c r="A18" s="25"/>
      <c r="B18" s="26" t="str">
        <f>'Control Entry'!N59</f>
        <v/>
      </c>
      <c r="C18" s="26" t="str">
        <f>'Control Entry'!O59</f>
        <v/>
      </c>
      <c r="D18" s="33"/>
      <c r="E18" s="28" t="str">
        <f>IF(ISBLANK('Control Entry'!F59),"",'Control Entry'!F59)</f>
        <v/>
      </c>
      <c r="F18" s="85" t="str">
        <f>IF(ISBLANK('Control Entry'!I59),"",'Control Entry'!I59)</f>
        <v/>
      </c>
      <c r="G18" s="86"/>
      <c r="H18" s="24" t="s">
        <v>29</v>
      </c>
    </row>
    <row r="19" spans="1:22" ht="36" customHeight="1" x14ac:dyDescent="0.2">
      <c r="A19" s="34" t="str">
        <f>IF(ISBLANK('Control Entry'!D59),"",'Control Entry'!D59)</f>
        <v/>
      </c>
      <c r="B19" s="35" t="str">
        <f>'Control Entry'!N59</f>
        <v/>
      </c>
      <c r="C19" s="35" t="str">
        <f>'Control Entry'!O59</f>
        <v/>
      </c>
      <c r="D19" s="36" t="str">
        <f>IF(ISBLANK('Control Entry'!E59),"",'Control Entry'!E59)</f>
        <v/>
      </c>
      <c r="E19" s="28" t="str">
        <f>IF(ISBLANK('Control Entry'!G59),"",'Control Entry'!G59)</f>
        <v/>
      </c>
      <c r="F19" s="85" t="str">
        <f>IF(ISBLANK('Control Entry'!J59),"",'Control Entry'!J59)</f>
        <v/>
      </c>
      <c r="G19" s="86"/>
      <c r="H19" s="24" t="s">
        <v>29</v>
      </c>
    </row>
    <row r="20" spans="1:22" ht="36" customHeight="1" thickBot="1" x14ac:dyDescent="0.25">
      <c r="A20" s="29"/>
      <c r="B20" s="30" t="str">
        <f>'Control Entry'!N59</f>
        <v/>
      </c>
      <c r="C20" s="30" t="str">
        <f>'Control Entry'!O59</f>
        <v/>
      </c>
      <c r="D20" s="31"/>
      <c r="E20" s="32" t="str">
        <f>IF(ISBLANK('Control Entry'!H59),"",'Control Entry'!H59)</f>
        <v/>
      </c>
      <c r="F20" s="89" t="str">
        <f>IF(ISBLANK('Control Entry'!K59),"",'Control Entry'!K59)</f>
        <v/>
      </c>
      <c r="G20" s="88"/>
      <c r="H20" s="24" t="s">
        <v>29</v>
      </c>
      <c r="J20" s="50" t="s">
        <v>44</v>
      </c>
      <c r="K20" s="50"/>
      <c r="L20" s="128" t="d">
        <f>IF(ISBLANK('Control Entry'!B12),"",'Control Entry'!B12)</f>
        <v>2023-07-08</v>
      </c>
      <c r="M20" s="128"/>
      <c r="N20" s="128"/>
      <c r="P20" s="15" t="s">
        <v>0</v>
      </c>
      <c r="Q20" s="15"/>
      <c r="S20" s="132" t="d">
        <f>IF(ISBLANK('Control Entry'!B13),"",'Control Entry'!B13)</f>
        <v>06:00:00.000</v>
      </c>
      <c r="T20" s="132"/>
      <c r="U20" s="132"/>
    </row>
    <row r="21" spans="1:22" ht="36" customHeight="1" x14ac:dyDescent="0.2">
      <c r="A21" s="25"/>
      <c r="B21" s="26" t="str">
        <f>'Control Entry'!N60</f>
        <v/>
      </c>
      <c r="C21" s="26" t="str">
        <f>'Control Entry'!O60</f>
        <v/>
      </c>
      <c r="D21" s="33"/>
      <c r="E21" s="28" t="str">
        <f>IF(ISBLANK('Control Entry'!F60),"",'Control Entry'!F60)</f>
        <v/>
      </c>
      <c r="F21" s="85" t="str">
        <f>IF(ISBLANK('Control Entry'!I60),"",'Control Entry'!I60)</f>
        <v/>
      </c>
      <c r="G21" s="86"/>
      <c r="H21" s="24" t="s">
        <v>29</v>
      </c>
      <c r="J21" s="134" t="s">
        <v>90</v>
      </c>
      <c r="K21" s="134"/>
      <c r="L21" s="134"/>
      <c r="M21" s="134"/>
      <c r="N21" s="134"/>
      <c r="O21" s="134"/>
      <c r="P21" s="134"/>
      <c r="Q21" s="134"/>
      <c r="R21" s="134"/>
      <c r="S21" s="134"/>
      <c r="T21" s="134"/>
      <c r="U21" s="134"/>
    </row>
    <row r="22" spans="1:22" ht="36" customHeight="1" thickBot="1" x14ac:dyDescent="0.25">
      <c r="A22" s="34" t="str">
        <f>IF(ISBLANK('Control Entry'!D60),"",'Control Entry'!D60)</f>
        <v/>
      </c>
      <c r="B22" s="35" t="str">
        <f>'Control Entry'!N60</f>
        <v/>
      </c>
      <c r="C22" s="35" t="str">
        <f>'Control Entry'!O60</f>
        <v/>
      </c>
      <c r="D22" s="36" t="str">
        <f>IF(ISBLANK('Control Entry'!E60),"",'Control Entry'!E60)</f>
        <v/>
      </c>
      <c r="E22" s="28" t="str">
        <f>IF(ISBLANK('Control Entry'!G60),"",'Control Entry'!G60)</f>
        <v/>
      </c>
      <c r="F22" s="85" t="str">
        <f>IF(ISBLANK('Control Entry'!J60),"",'Control Entry'!J60)</f>
        <v/>
      </c>
      <c r="G22" s="86"/>
      <c r="H22" s="24" t="s">
        <v>29</v>
      </c>
      <c r="J22" s="15" t="s">
        <v>45</v>
      </c>
      <c r="K22" s="15"/>
      <c r="M22" s="135"/>
      <c r="N22" s="135"/>
      <c r="O22" s="135"/>
      <c r="P22" s="15" t="s">
        <v>1</v>
      </c>
      <c r="Q22" s="15"/>
      <c r="S22" s="135"/>
      <c r="T22" s="135"/>
      <c r="U22" s="135"/>
    </row>
    <row r="23" spans="1:22" ht="36" customHeight="1" thickBot="1" x14ac:dyDescent="0.25">
      <c r="A23" s="29"/>
      <c r="B23" s="30" t="str">
        <f>'Control Entry'!N60</f>
        <v/>
      </c>
      <c r="C23" s="30" t="str">
        <f>'Control Entry'!O60</f>
        <v/>
      </c>
      <c r="D23" s="31"/>
      <c r="E23" s="32" t="str">
        <f>IF(ISBLANK('Control Entry'!H60),"",'Control Entry'!H60)</f>
        <v/>
      </c>
      <c r="F23" s="89" t="str">
        <f>IF(ISBLANK('Control Entry'!K60),"",'Control Entry'!K60)</f>
        <v/>
      </c>
      <c r="G23" s="88"/>
      <c r="H23" s="24" t="s">
        <v>29</v>
      </c>
      <c r="J23" s="50"/>
      <c r="K23" s="50"/>
      <c r="L23" s="44"/>
      <c r="M23" s="44"/>
      <c r="N23" s="44"/>
      <c r="P23" s="15"/>
      <c r="Q23" s="15"/>
    </row>
    <row r="24" spans="1:22" ht="36" customHeight="1" thickBot="1" x14ac:dyDescent="0.25">
      <c r="A24" s="25"/>
      <c r="B24" s="26" t="str">
        <f>'Control Entry'!N61</f>
        <v/>
      </c>
      <c r="C24" s="26" t="str">
        <f>'Control Entry'!O61</f>
        <v/>
      </c>
      <c r="D24" s="33"/>
      <c r="E24" s="28" t="str">
        <f>IF(ISBLANK('Control Entry'!F61),"",'Control Entry'!F61)</f>
        <v/>
      </c>
      <c r="F24" s="85" t="str">
        <f>IF(ISBLANK('Control Entry'!I61),"",'Control Entry'!I61)</f>
        <v/>
      </c>
      <c r="G24" s="86"/>
      <c r="H24" s="24" t="s">
        <v>29</v>
      </c>
      <c r="J24" s="135"/>
      <c r="K24" s="135"/>
      <c r="L24" s="135"/>
      <c r="M24" s="135"/>
      <c r="N24" s="135"/>
      <c r="P24" s="15" t="s">
        <v>2</v>
      </c>
      <c r="Q24" s="15"/>
      <c r="S24" s="135"/>
      <c r="T24" s="135"/>
      <c r="U24" s="135"/>
    </row>
    <row r="25" spans="1:22" ht="36" customHeight="1" x14ac:dyDescent="0.2">
      <c r="A25" s="34" t="str">
        <f>IF(ISBLANK('Control Entry'!D61),"",'Control Entry'!D61)</f>
        <v/>
      </c>
      <c r="B25" s="35" t="str">
        <f>'Control Entry'!N61</f>
        <v/>
      </c>
      <c r="C25" s="35" t="str">
        <f>'Control Entry'!O61</f>
        <v/>
      </c>
      <c r="D25" s="36" t="str">
        <f>IF(ISBLANK('Control Entry'!E61),"",'Control Entry'!E61)</f>
        <v/>
      </c>
      <c r="E25" s="28" t="str">
        <f>IF(ISBLANK('Control Entry'!G61),"",'Control Entry'!G61)</f>
        <v/>
      </c>
      <c r="F25" s="85" t="str">
        <f>IF(ISBLANK('Control Entry'!J61),"",'Control Entry'!J61)</f>
        <v/>
      </c>
      <c r="G25" s="86"/>
      <c r="H25" s="24" t="s">
        <v>29</v>
      </c>
      <c r="J25" s="130" t="s">
        <v>17</v>
      </c>
      <c r="K25" s="130"/>
      <c r="L25" s="130"/>
      <c r="M25" s="130"/>
      <c r="N25" s="130"/>
      <c r="O25" s="46"/>
      <c r="P25" s="109"/>
      <c r="Q25" s="109"/>
      <c r="R25" s="46"/>
      <c r="S25" s="107"/>
      <c r="T25" s="107"/>
      <c r="U25" s="107"/>
      <c r="V25" s="107"/>
    </row>
    <row r="26" spans="1:22" ht="36" customHeight="1" thickBot="1" x14ac:dyDescent="0.25">
      <c r="A26" s="29"/>
      <c r="B26" s="30" t="str">
        <f>'Control Entry'!N61</f>
        <v/>
      </c>
      <c r="C26" s="30" t="str">
        <f>'Control Entry'!O61</f>
        <v/>
      </c>
      <c r="D26" s="31"/>
      <c r="E26" s="32" t="str">
        <f>IF(ISBLANK('Control Entry'!H61),"",'Control Entry'!H61)</f>
        <v/>
      </c>
      <c r="F26" s="89" t="str">
        <f>IF(ISBLANK('Control Entry'!K61),"",'Control Entry'!K61)</f>
        <v/>
      </c>
      <c r="G26" s="88"/>
      <c r="H26" s="24" t="s">
        <v>29</v>
      </c>
    </row>
    <row r="27" spans="1:22" ht="36" customHeight="1" x14ac:dyDescent="0.2">
      <c r="A27" s="25"/>
      <c r="B27" s="26" t="str">
        <f>'Control Entry'!N62</f>
        <v/>
      </c>
      <c r="C27" s="26" t="str">
        <f>'Control Entry'!O62</f>
        <v/>
      </c>
      <c r="D27" s="33"/>
      <c r="E27" s="28" t="str">
        <f>IF(ISBLANK('Control Entry'!F62),"",'Control Entry'!F62)</f>
        <v/>
      </c>
      <c r="F27" s="85" t="str">
        <f>IF(ISBLANK('Control Entry'!I62),"",'Control Entry'!I62)</f>
        <v/>
      </c>
      <c r="G27" s="86"/>
      <c r="H27" s="24" t="s">
        <v>29</v>
      </c>
      <c r="K27" s="116" t="s">
        <v>56</v>
      </c>
      <c r="L27" s="109"/>
      <c r="M27" s="45" t="s">
        <v>57</v>
      </c>
      <c r="N27" s="109" t="s">
        <v>49</v>
      </c>
      <c r="O27" s="109"/>
      <c r="P27" s="109" t="s">
        <v>50</v>
      </c>
      <c r="Q27" s="109"/>
      <c r="R27" s="46" t="s">
        <v>51</v>
      </c>
      <c r="S27" s="107" t="s">
        <v>52</v>
      </c>
      <c r="T27" s="107"/>
      <c r="U27" s="107" t="s">
        <v>53</v>
      </c>
      <c r="V27" s="107"/>
    </row>
    <row r="28" spans="1:22" ht="36" customHeight="1" x14ac:dyDescent="0.2">
      <c r="A28" s="34" t="str">
        <f>IF(ISBLANK('Control Entry'!D62),"",'Control Entry'!D62)</f>
        <v/>
      </c>
      <c r="B28" s="35" t="str">
        <f>'Control Entry'!N62</f>
        <v/>
      </c>
      <c r="C28" s="35" t="str">
        <f>'Control Entry'!O62</f>
        <v/>
      </c>
      <c r="D28" s="36" t="str">
        <f>IF(ISBLANK('Control Entry'!E62),"",'Control Entry'!E62)</f>
        <v/>
      </c>
      <c r="E28" s="28" t="str">
        <f>IF(ISBLANK('Control Entry'!G62),"",'Control Entry'!G62)</f>
        <v/>
      </c>
      <c r="F28" s="85" t="str">
        <f>IF(ISBLANK('Control Entry'!J62),"",'Control Entry'!J62)</f>
        <v/>
      </c>
      <c r="G28" s="86"/>
      <c r="H28" s="24" t="s">
        <v>29</v>
      </c>
    </row>
    <row r="29" spans="1:22" ht="36" customHeight="1" thickBot="1" x14ac:dyDescent="0.25">
      <c r="A29" s="29"/>
      <c r="B29" s="30" t="str">
        <f>'Control Entry'!N62</f>
        <v/>
      </c>
      <c r="C29" s="30" t="str">
        <f>'Control Entry'!O62</f>
        <v/>
      </c>
      <c r="D29" s="31"/>
      <c r="E29" s="32" t="str">
        <f>IF(ISBLANK('Control Entry'!H62),"",'Control Entry'!H62)</f>
        <v/>
      </c>
      <c r="F29" s="89" t="str">
        <f>IF(ISBLANK('Control Entry'!K62),"",'Control Entry'!K62)</f>
        <v/>
      </c>
      <c r="G29" s="88"/>
      <c r="H29" s="24" t="s">
        <v>29</v>
      </c>
      <c r="M29" s="108" t="s">
        <v>42</v>
      </c>
      <c r="N29" s="108"/>
      <c r="O29" s="108"/>
      <c r="P29" s="108"/>
      <c r="Q29" s="108"/>
      <c r="R29" s="108"/>
      <c r="S29" s="108"/>
      <c r="T29" s="108"/>
      <c r="U29" s="49"/>
    </row>
    <row r="30" spans="1:22" ht="36" customHeight="1" x14ac:dyDescent="0.2">
      <c r="A30" s="25"/>
      <c r="B30" s="26" t="str">
        <f>'Control Entry'!N63</f>
        <v/>
      </c>
      <c r="C30" s="26" t="str">
        <f>'Control Entry'!O63</f>
        <v/>
      </c>
      <c r="D30" s="33"/>
      <c r="E30" s="28" t="str">
        <f>IF(ISBLANK('Control Entry'!F63),"",'Control Entry'!F63)</f>
        <v/>
      </c>
      <c r="F30" s="85" t="str">
        <f>IF(ISBLANK('Control Entry'!I63),"",'Control Entry'!I63)</f>
        <v/>
      </c>
      <c r="G30" s="86"/>
      <c r="H30" s="24" t="s">
        <v>29</v>
      </c>
      <c r="M30" s="16"/>
      <c r="N30" s="18"/>
      <c r="O30" s="18"/>
      <c r="P30" s="19"/>
      <c r="Q30" s="16"/>
      <c r="R30" s="18"/>
      <c r="S30" s="18"/>
      <c r="T30" s="19"/>
    </row>
    <row r="31" spans="1:22" ht="36" customHeight="1" x14ac:dyDescent="0.2">
      <c r="A31" s="34" t="str">
        <f>IF(ISBLANK('Control Entry'!D63),"",'Control Entry'!D63)</f>
        <v/>
      </c>
      <c r="B31" s="35" t="str">
        <f>'Control Entry'!N63</f>
        <v/>
      </c>
      <c r="C31" s="35" t="str">
        <f>'Control Entry'!O63</f>
        <v/>
      </c>
      <c r="D31" s="36" t="str">
        <f>IF(ISBLANK('Control Entry'!E63),"",'Control Entry'!E63)</f>
        <v/>
      </c>
      <c r="E31" s="28" t="str">
        <f>IF(ISBLANK('Control Entry'!G63),"",'Control Entry'!G63)</f>
        <v/>
      </c>
      <c r="F31" s="85" t="str">
        <f>IF(ISBLANK('Control Entry'!J63),"",'Control Entry'!J63)</f>
        <v/>
      </c>
      <c r="G31" s="86"/>
      <c r="H31" s="24" t="s">
        <v>29</v>
      </c>
      <c r="M31" s="17"/>
      <c r="P31" s="20"/>
      <c r="Q31" s="17"/>
      <c r="T31" s="20"/>
    </row>
    <row r="32" spans="1:22" ht="36" customHeight="1" thickBot="1" x14ac:dyDescent="0.25">
      <c r="A32" s="29"/>
      <c r="B32" s="30" t="str">
        <f>'Control Entry'!N63</f>
        <v/>
      </c>
      <c r="C32" s="30" t="str">
        <f>'Control Entry'!O63</f>
        <v/>
      </c>
      <c r="D32" s="31"/>
      <c r="E32" s="32" t="str">
        <f>IF(ISBLANK('Control Entry'!H63),"",'Control Entry'!H63)</f>
        <v/>
      </c>
      <c r="F32" s="89" t="str">
        <f>IF(ISBLANK('Control Entry'!K63),"",'Control Entry'!K63)</f>
        <v/>
      </c>
      <c r="G32" s="88"/>
      <c r="H32" s="24" t="s">
        <v>29</v>
      </c>
      <c r="M32" s="121" t="s">
        <v>82</v>
      </c>
      <c r="N32" s="122"/>
      <c r="O32" s="122"/>
      <c r="P32" s="123"/>
      <c r="Q32" s="124" t="d">
        <f>'Control Entry'!B3</f>
        <v>2022-11-09</v>
      </c>
      <c r="R32" s="125"/>
      <c r="S32" s="125"/>
      <c r="T32" s="126"/>
    </row>
    <row r="33" spans="1:22" ht="36" customHeight="1" x14ac:dyDescent="0.2">
      <c r="A33" s="115" t="s">
        <v>43</v>
      </c>
      <c r="B33" s="115"/>
      <c r="C33" s="115"/>
      <c r="D33" s="115"/>
      <c r="E33" s="115"/>
      <c r="F33" s="115"/>
      <c r="G33" s="115"/>
      <c r="H33" s="37"/>
      <c r="I33" s="37"/>
      <c r="M33" s="110" t="s">
        <v>86</v>
      </c>
      <c r="N33" s="111"/>
      <c r="O33" s="111"/>
      <c r="P33" s="111"/>
      <c r="Q33" s="112" t="d">
        <f>'Control Entry'!B4</f>
        <v>2023-07-03</v>
      </c>
      <c r="R33" s="113"/>
      <c r="S33" s="113"/>
      <c r="T33" s="113"/>
      <c r="U33" s="82"/>
      <c r="V33" s="44"/>
    </row>
    <row r="34" spans="1:22" ht="36" customHeight="1" x14ac:dyDescent="0.2">
      <c r="A34"/>
      <c r="O34" s="15"/>
      <c r="P34" s="15"/>
      <c r="Q34" s="15"/>
      <c r="R34" s="42"/>
    </row>
    <row r="35" spans="1:22" ht="36" customHeight="1" x14ac:dyDescent="0.2">
      <c r="A35"/>
      <c r="N35" s="108"/>
      <c r="O35" s="108"/>
      <c r="P35" s="108"/>
      <c r="Q35" s="108"/>
      <c r="R35" s="108"/>
      <c r="S35" s="108"/>
      <c r="T35" s="108"/>
      <c r="U35" s="108"/>
    </row>
    <row r="36" spans="1:22" ht="36" customHeight="1" x14ac:dyDescent="0.15">
      <c r="A36"/>
    </row>
    <row r="37" spans="1:22" ht="36" customHeight="1" x14ac:dyDescent="0.15">
      <c r="A37"/>
    </row>
    <row r="38" spans="1:22" ht="36" customHeight="1" x14ac:dyDescent="0.2">
      <c r="A38"/>
      <c r="N38" s="15"/>
    </row>
    <row r="39" spans="1:22" ht="36" customHeight="1" x14ac:dyDescent="0.15">
      <c r="A39"/>
    </row>
    <row r="40" spans="1:22" ht="36" customHeight="1" x14ac:dyDescent="0.15">
      <c r="A40"/>
    </row>
  </sheetData>
  <sheetProtection algorithmName="SHA-512" hashValue="m+5DxS5z0jGPz2enrJCRgFwjkf0y6S+KVRFuN1IjzuBtg7DxgRkCvJA9CD6YWcWRfvJNtgkjCl2dSguY7geJVQ==" saltValue="ged3XotTQX8HcL4AYG6aUg==" spinCount="100000" sheet="1" objects="1" scenarios="1" formatCells="0" selectLockedCells="1"/>
  <mergeCells count="42">
    <mergeCell ref="J21:U21"/>
    <mergeCell ref="L11:N11"/>
    <mergeCell ref="S11:U11"/>
    <mergeCell ref="A1:G1"/>
    <mergeCell ref="K2:U2"/>
    <mergeCell ref="O3:R3"/>
    <mergeCell ref="M4:T4"/>
    <mergeCell ref="N5:O5"/>
    <mergeCell ref="R5:U5"/>
    <mergeCell ref="L6:U6"/>
    <mergeCell ref="L8:Q8"/>
    <mergeCell ref="T8:U8"/>
    <mergeCell ref="L9:U9"/>
    <mergeCell ref="L10:U10"/>
    <mergeCell ref="J25:N25"/>
    <mergeCell ref="P25:Q25"/>
    <mergeCell ref="S25:T25"/>
    <mergeCell ref="U25:V25"/>
    <mergeCell ref="L12:N12"/>
    <mergeCell ref="S12:U12"/>
    <mergeCell ref="L13:N13"/>
    <mergeCell ref="R13:U13"/>
    <mergeCell ref="L15:U15"/>
    <mergeCell ref="L16:U16"/>
    <mergeCell ref="L20:N20"/>
    <mergeCell ref="S20:U20"/>
    <mergeCell ref="S22:U22"/>
    <mergeCell ref="J24:N24"/>
    <mergeCell ref="S24:U24"/>
    <mergeCell ref="M22:O22"/>
    <mergeCell ref="A33:G33"/>
    <mergeCell ref="M33:P33"/>
    <mergeCell ref="Q33:T33"/>
    <mergeCell ref="N35:U35"/>
    <mergeCell ref="K27:L27"/>
    <mergeCell ref="N27:O27"/>
    <mergeCell ref="P27:Q27"/>
    <mergeCell ref="S27:T27"/>
    <mergeCell ref="U27:V27"/>
    <mergeCell ref="M29:T29"/>
    <mergeCell ref="M32:P32"/>
    <mergeCell ref="Q32:T32"/>
  </mergeCells>
  <conditionalFormatting sqref="J22:O22">
    <cfRule type="expression" dxfId="6" priority="3">
      <formula>$S$3="#2"</formula>
    </cfRule>
    <cfRule type="expression" dxfId="5" priority="4">
      <formula>$S$3="#4"</formula>
    </cfRule>
  </conditionalFormatting>
  <conditionalFormatting sqref="J21:U21">
    <cfRule type="expression" dxfId="4" priority="2">
      <formula>AND($S$3&lt;&gt;"#2",$S$3&lt;&gt;"#4")</formula>
    </cfRule>
  </conditionalFormatting>
  <conditionalFormatting sqref="K27:V27">
    <cfRule type="expression" dxfId="3" priority="8">
      <formula>$S$3="#4"</formula>
    </cfRule>
    <cfRule type="expression" dxfId="2" priority="7">
      <formula>$S$3="#2"</formula>
    </cfRule>
  </conditionalFormatting>
  <conditionalFormatting sqref="P22:U24">
    <cfRule type="expression" dxfId="1" priority="6">
      <formula>$S$3="#4"</formula>
    </cfRule>
    <cfRule type="expression" dxfId="0" priority="5">
      <formula>$S$3="#2"</formula>
    </cfRule>
  </conditionalFormatting>
  <printOptions horizontalCentered="1" verticalCentered="1"/>
  <pageMargins left="0.2" right="0.2" top="0.2" bottom="0.2" header="0.51" footer="0.51"/>
  <pageSetup scale="44" orientation="landscape" horizontalDpi="4294967292" verticalDpi="4294967292"/>
  <drawing r:id="rId1"/>
</worksheet>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30</vt:i4>
      </vt:variant>
    </vt:vector>
  </HeadingPairs>
  <TitlesOfParts>
    <vt:vector size="35" baseType="lpstr">
      <vt:lpstr>Control Entry</vt:lpstr>
      <vt:lpstr>Control Card #1</vt:lpstr>
      <vt:lpstr>Control Card #2</vt:lpstr>
      <vt:lpstr>Control Card #3</vt:lpstr>
      <vt:lpstr>Control Card #4</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'Control Card #1'!Print_Titles</vt:lpstr>
      <vt:lpstr>'Control Card #2'!Print_Titles</vt:lpstr>
      <vt:lpstr>'Control Card #3'!Print_Titles</vt:lpstr>
      <vt:lpstr>'Control Card #4'!Print_Titles</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Stephen Hinde</cp:lastModifiedBy>
  <cp:lastPrinted>2023-07-03T23:26:53Z</cp:lastPrinted>
  <dcterms:created xsi:type="dcterms:W3CDTF">1997-11-12T04:43:39Z</dcterms:created>
  <dcterms:modified xsi:type="dcterms:W3CDTF">2023-07-03T23:27:03Z</dcterms:modified>
</cp:coreProperties>
</file>