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4" rupBuild="11012"/>
  <workbookPr dateCompatibility="0" showInkAnnotation="0" autoCompressPictures="0"/>
  <mc:AlternateContent xmlns:mc="http://schemas.openxmlformats.org/markup-compatibility/2006">
    <mc:Choice Requires="x15">
      <x15ac:absPath xmlns:x15ac="http://schemas.microsoft.com/office/spreadsheetml/2010/11/ac" url="/Users/stephencarol/Documents/BCR/2023/5273 Hands/"/>
    </mc:Choice>
  </mc:AlternateContent>
  <xr:revisionPtr revIDLastSave="0" documentId="13_ncr:9_{4E7D4C3A-49F2-4C42-80DA-7EB01435EF4F}" xr6:coauthVersionLast="36" xr6:coauthVersionMax="47" xr10:uidLastSave="{00000000-0000-0000-0000-000000000000}"/>
  <bookViews>
    <workbookView xWindow="0" yWindow="460" windowWidth="25600" windowHeight="15540" tabRatio="509" xr2:uid="{00000000-000D-0000-FFFF-FFFF00000000}"/>
  </bookViews>
  <sheets>
    <sheet name="Control Entry" sheetId="1" r:id="rId1"/>
    <sheet name="Control Card #1" sheetId="2" r:id="rId2"/>
    <sheet name="Control Card #2" sheetId="3" r:id="rId3"/>
    <sheet name="Control Card #3" sheetId="4" r:id="rId4"/>
    <sheet name="Control Card #4" sheetId="5" r:id="rId5"/>
  </sheets>
  <definedNames>
    <definedName name="Address_1" localSheetId="2">#REF!</definedName>
    <definedName name="Address_1" localSheetId="3">#REF!</definedName>
    <definedName name="Address_1" localSheetId="4">#REF!</definedName>
    <definedName name="Address_1">#REF!</definedName>
    <definedName name="Address_2" localSheetId="2">#REF!</definedName>
    <definedName name="Address_2" localSheetId="3">#REF!</definedName>
    <definedName name="Address_2" localSheetId="4">#REF!</definedName>
    <definedName name="Address_2">#REF!</definedName>
    <definedName name="brevet">'Control Entry'!$C$6</definedName>
    <definedName name="Brevet_Description">'Control Entry'!$B$8</definedName>
    <definedName name="Brevet_Length">'Control Entry'!$B$6</definedName>
    <definedName name="Brevet_Number">'Control Entry'!$B$9</definedName>
    <definedName name="City" localSheetId="2">#REF!</definedName>
    <definedName name="City" localSheetId="3">#REF!</definedName>
    <definedName name="City" localSheetId="4">#REF!</definedName>
    <definedName name="City">#REF!</definedName>
    <definedName name="Close">'Control Entry'!$M$15:$M$24</definedName>
    <definedName name="Close_time">'Control Entry'!$O$15:$O$24</definedName>
    <definedName name="Control_1">'Control Entry'!$D$15:$O$15</definedName>
    <definedName name="Control_10">'Control Entry'!$D$24:$O$24</definedName>
    <definedName name="Control_11" localSheetId="2">'Control Entry'!#REF!</definedName>
    <definedName name="Control_11" localSheetId="3">'Control Entry'!#REF!</definedName>
    <definedName name="Control_11" localSheetId="4">'Control Entry'!#REF!</definedName>
    <definedName name="Control_11">'Control Entry'!#REF!</definedName>
    <definedName name="Control_12" localSheetId="2">'Control Entry'!#REF!</definedName>
    <definedName name="Control_12" localSheetId="3">'Control Entry'!#REF!</definedName>
    <definedName name="Control_12" localSheetId="4">'Control Entry'!#REF!</definedName>
    <definedName name="Control_12">'Control Entry'!#REF!</definedName>
    <definedName name="Control_13" localSheetId="2">'Control Entry'!#REF!</definedName>
    <definedName name="Control_13" localSheetId="3">'Control Entry'!#REF!</definedName>
    <definedName name="Control_13" localSheetId="4">'Control Entry'!#REF!</definedName>
    <definedName name="Control_13">'Control Entry'!#REF!</definedName>
    <definedName name="Control_14" localSheetId="2">'Control Entry'!#REF!</definedName>
    <definedName name="Control_14" localSheetId="3">'Control Entry'!#REF!</definedName>
    <definedName name="Control_14" localSheetId="4">'Control Entry'!#REF!</definedName>
    <definedName name="Control_14">'Control Entry'!#REF!</definedName>
    <definedName name="Control_15" localSheetId="2">'Control Entry'!#REF!</definedName>
    <definedName name="Control_15" localSheetId="3">'Control Entry'!#REF!</definedName>
    <definedName name="Control_15" localSheetId="4">'Control Entry'!#REF!</definedName>
    <definedName name="Control_15">'Control Entry'!#REF!</definedName>
    <definedName name="Control_16" localSheetId="2">'Control Entry'!#REF!</definedName>
    <definedName name="Control_16" localSheetId="3">'Control Entry'!#REF!</definedName>
    <definedName name="Control_16" localSheetId="4">'Control Entry'!#REF!</definedName>
    <definedName name="Control_16">'Control Entry'!#REF!</definedName>
    <definedName name="Control_17" localSheetId="2">'Control Entry'!#REF!</definedName>
    <definedName name="Control_17" localSheetId="3">'Control Entry'!#REF!</definedName>
    <definedName name="Control_17" localSheetId="4">'Control Entry'!#REF!</definedName>
    <definedName name="Control_17">'Control Entry'!#REF!</definedName>
    <definedName name="Control_18" localSheetId="2">'Control Entry'!#REF!</definedName>
    <definedName name="Control_18" localSheetId="3">'Control Entry'!#REF!</definedName>
    <definedName name="Control_18" localSheetId="4">'Control Entry'!#REF!</definedName>
    <definedName name="Control_18">'Control Entry'!#REF!</definedName>
    <definedName name="Control_19" localSheetId="2">'Control Entry'!#REF!</definedName>
    <definedName name="Control_19" localSheetId="3">'Control Entry'!#REF!</definedName>
    <definedName name="Control_19" localSheetId="4">'Control Entry'!#REF!</definedName>
    <definedName name="Control_19">'Control Entry'!#REF!</definedName>
    <definedName name="Control_2">'Control Entry'!$D$16:$O$16</definedName>
    <definedName name="Control_20" localSheetId="2">'Control Entry'!#REF!</definedName>
    <definedName name="Control_20" localSheetId="3">'Control Entry'!#REF!</definedName>
    <definedName name="Control_20" localSheetId="4">'Control Entry'!#REF!</definedName>
    <definedName name="Control_20">'Control Entry'!#REF!</definedName>
    <definedName name="Control_3">'Control Entry'!$D$17:$O$17</definedName>
    <definedName name="Control_4">'Control Entry'!$D$18:$O$18</definedName>
    <definedName name="Control_5">'Control Entry'!$D$19:$O$19</definedName>
    <definedName name="Control_6">'Control Entry'!$D$20:$O$20</definedName>
    <definedName name="Control_7">'Control Entry'!$D$21:$O$21</definedName>
    <definedName name="Control_8">'Control Entry'!$D$22:$O$22</definedName>
    <definedName name="Control_9">'Control Entry'!$D$23:$O$23</definedName>
    <definedName name="Country" localSheetId="2">#REF!</definedName>
    <definedName name="Country" localSheetId="3">#REF!</definedName>
    <definedName name="Country" localSheetId="4">#REF!</definedName>
    <definedName name="Country">#REF!</definedName>
    <definedName name="Distance">'Control Entry'!$D$15:$D$24</definedName>
    <definedName name="email" localSheetId="2">#REF!</definedName>
    <definedName name="email" localSheetId="3">#REF!</definedName>
    <definedName name="email" localSheetId="4">#REF!</definedName>
    <definedName name="email">#REF!</definedName>
    <definedName name="Establishment_1">'Control Entry'!$F$15:$F$24</definedName>
    <definedName name="Establishment_2">'Control Entry'!$G$15:$G$24</definedName>
    <definedName name="Establishment_3">'Control Entry'!$H$15:$H$24</definedName>
    <definedName name="Fax" localSheetId="2">#REF!</definedName>
    <definedName name="Fax" localSheetId="3">#REF!</definedName>
    <definedName name="Fax" localSheetId="4">#REF!</definedName>
    <definedName name="Fax">#REF!</definedName>
    <definedName name="First_Name" localSheetId="2">#REF!</definedName>
    <definedName name="First_Name" localSheetId="3">#REF!</definedName>
    <definedName name="First_Name" localSheetId="4">#REF!</definedName>
    <definedName name="First_Name">#REF!</definedName>
    <definedName name="Home_telephone" localSheetId="2">#REF!</definedName>
    <definedName name="Home_telephone" localSheetId="3">#REF!</definedName>
    <definedName name="Home_telephone" localSheetId="4">#REF!</definedName>
    <definedName name="Home_telephone">#REF!</definedName>
    <definedName name="HTML_CodePage" hidden="1">1252</definedName>
    <definedName name="HTML_Control" hidden="1">{"'Web sheet'!$A$1:$D$92"}</definedName>
    <definedName name="HTML_Description" hidden="1">""</definedName>
    <definedName name="HTML_Email" hidden="1">"randos@island.net"</definedName>
    <definedName name="HTML_Header" hidden="1">"Web sheet"</definedName>
    <definedName name="HTML_LastUpdate" hidden="1">"99-03-06"</definedName>
    <definedName name="HTML_LineAfter" hidden="1">TRUE</definedName>
    <definedName name="HTML_LineBefore" hidden="1">TRUE</definedName>
    <definedName name="HTML_Name" hidden="1">"Stephen Hinde"</definedName>
    <definedName name="HTML_OBDlg2" hidden="1">TRUE</definedName>
    <definedName name="HTML_OBDlg4" hidden="1">TRUE</definedName>
    <definedName name="HTML_OS" hidden="1">0</definedName>
    <definedName name="HTML_PathFile" hidden="1">"C:\My Documents\excel\MyHTML.htm"</definedName>
    <definedName name="HTML_Title" hidden="1">"VI0100B Nanaimo Populaire"</definedName>
    <definedName name="HTML1_1" hidden="1">"'[vi0100b.xls]VI0100B 970310'!$A$3:$D$22"</definedName>
    <definedName name="HTML1_10" hidden="1">"randos@island.net"</definedName>
    <definedName name="HTML1_11" hidden="1">1</definedName>
    <definedName name="HTML1_12" hidden="1">"C:\My Documents\Web Page\vi0100b.htm"</definedName>
    <definedName name="HTML1_2" hidden="1">1</definedName>
    <definedName name="HTML1_3" hidden="1">"100 km Populaire"</definedName>
    <definedName name="HTML1_4" hidden="1">"VI0100B 970310"</definedName>
    <definedName name="HTML1_5" hidden="1">"Nanaimo--Lantzville--Nanaimo--Yellow Point--Nanaimo"</definedName>
    <definedName name="HTML1_6" hidden="1">1</definedName>
    <definedName name="HTML1_7" hidden="1">1</definedName>
    <definedName name="HTML1_8" hidden="1">"26/10/97"</definedName>
    <definedName name="HTML1_9" hidden="1">"Stephen Hinde"</definedName>
    <definedName name="HTML2_1" hidden="1">"'[vi0100b.xls]VI0100B 970310'!$A$1:$D$22"</definedName>
    <definedName name="HTML2_10" hidden="1">"randos@island.net"</definedName>
    <definedName name="HTML2_11" hidden="1">1</definedName>
    <definedName name="HTML2_12" hidden="1">"C:\My Documents\Web Page\vi0100b.htm"</definedName>
    <definedName name="HTML2_2" hidden="1">1</definedName>
    <definedName name="HTML2_3" hidden="1">"100 km Populaire"</definedName>
    <definedName name="HTML2_4" hidden="1">"VI0100B 970310"</definedName>
    <definedName name="HTML2_5" hidden="1">"Nanaimo--Lantzville--Nanaimo--Yellow Point--Nanaimo"</definedName>
    <definedName name="HTML2_6" hidden="1">1</definedName>
    <definedName name="HTML2_7" hidden="1">1</definedName>
    <definedName name="HTML2_8" hidden="1">"26/10/97"</definedName>
    <definedName name="HTML2_9" hidden="1">"Stephen Hinde"</definedName>
    <definedName name="HTML3_1" hidden="1">"'[vi0100b.xls]VI0100B 970310'!$A$1:$D$24"</definedName>
    <definedName name="HTML3_10" hidden="1">"randos@island.net"</definedName>
    <definedName name="HTML3_11" hidden="1">1</definedName>
    <definedName name="HTML3_12" hidden="1">"C:\My Documents\excel\vi0100b.htm"</definedName>
    <definedName name="HTML3_2" hidden="1">1</definedName>
    <definedName name="HTML3_3" hidden="1">"Vancouver Island Populaire"</definedName>
    <definedName name="HTML3_4" hidden="1">"VI0100B 970310"</definedName>
    <definedName name="HTML3_5" hidden="1">"Nanaimo--Lantzville--Yellow Point--Nanaimo"</definedName>
    <definedName name="HTML3_6" hidden="1">1</definedName>
    <definedName name="HTML3_7" hidden="1">1</definedName>
    <definedName name="HTML3_8" hidden="1">"26/10/97"</definedName>
    <definedName name="HTML3_9" hidden="1">"Stephen Hinde"</definedName>
    <definedName name="HTML4_1" hidden="1">"'[VI0100B.xls]VI0100B 971026'!$A$1:$I$47"</definedName>
    <definedName name="HTML4_10" hidden="1">""</definedName>
    <definedName name="HTML4_11" hidden="1">1</definedName>
    <definedName name="HTML4_12" hidden="1">"C:\My Documents\Web Page\VI0100B.htm"</definedName>
    <definedName name="HTML4_2" hidden="1">1</definedName>
    <definedName name="HTML4_3" hidden="1">"VI0100B"</definedName>
    <definedName name="HTML4_4" hidden="1">"VI0100B 971026"</definedName>
    <definedName name="HTML4_5" hidden="1">""</definedName>
    <definedName name="HTML4_6" hidden="1">-4146</definedName>
    <definedName name="HTML4_7" hidden="1">-4146</definedName>
    <definedName name="HTML4_8" hidden="1">"26/10/97"</definedName>
    <definedName name="HTML4_9" hidden="1">"Stephen Hinde"</definedName>
    <definedName name="HTML5_1" hidden="1">"'[VI0100B.xls]VI0100B 971026'!$A$1:$I$23"</definedName>
    <definedName name="HTML5_10" hidden="1">""</definedName>
    <definedName name="HTML5_11" hidden="1">1</definedName>
    <definedName name="HTML5_12" hidden="1">"C:\My Documents\Web Page\VI0100B top.htm"</definedName>
    <definedName name="HTML5_2" hidden="1">1</definedName>
    <definedName name="HTML5_3" hidden="1">"VI0100B"</definedName>
    <definedName name="HTML5_4" hidden="1">"VI0100B 971026"</definedName>
    <definedName name="HTML5_5" hidden="1">""</definedName>
    <definedName name="HTML5_6" hidden="1">-4146</definedName>
    <definedName name="HTML5_7" hidden="1">-4146</definedName>
    <definedName name="HTML5_8" hidden="1">"97-10-26"</definedName>
    <definedName name="HTML5_9" hidden="1">"Stephen Hinde"</definedName>
    <definedName name="HTML6_1" hidden="1">"'[VI0100B.xls]VI0100B 971026'!$A$25:$I$47"</definedName>
    <definedName name="HTML6_10" hidden="1">""</definedName>
    <definedName name="HTML6_11" hidden="1">1</definedName>
    <definedName name="HTML6_12" hidden="1">"C:\My Documents\Web Page\VI0100B bottom"</definedName>
    <definedName name="HTML6_2" hidden="1">1</definedName>
    <definedName name="HTML6_3" hidden="1">"VI0100B"</definedName>
    <definedName name="HTML6_4" hidden="1">"VI0100B 971026"</definedName>
    <definedName name="HTML6_5" hidden="1">""</definedName>
    <definedName name="HTML6_6" hidden="1">-4146</definedName>
    <definedName name="HTML6_7" hidden="1">-4146</definedName>
    <definedName name="HTML6_8" hidden="1">"97-10-26"</definedName>
    <definedName name="HTML6_9" hidden="1">"Stephen Hinde"</definedName>
    <definedName name="HTML7_1" hidden="1">"'[VI0200A  Tour of Cowichan Valley.xls]Web sheet'!$A$1:$E$92"</definedName>
    <definedName name="HTML7_10" hidden="1">"randos@island.net"</definedName>
    <definedName name="HTML7_11" hidden="1">1</definedName>
    <definedName name="HTML7_12" hidden="1">"C:\My Documents\Web Page\200km_route_sheet.htm"</definedName>
    <definedName name="HTML7_2" hidden="1">1</definedName>
    <definedName name="HTML7_3" hidden="1">"VI0200A  Tour of Cowichan Valley"</definedName>
    <definedName name="HTML7_4" hidden="1">"Vancouver Island 200 km Brevet"</definedName>
    <definedName name="HTML7_5" hidden="1">""</definedName>
    <definedName name="HTML7_6" hidden="1">1</definedName>
    <definedName name="HTML7_7" hidden="1">1</definedName>
    <definedName name="HTML7_8" hidden="1">"97-11-23"</definedName>
    <definedName name="HTML7_9" hidden="1">"Stephen Hinde"</definedName>
    <definedName name="HTML8_1" hidden="1">"'[VI0300A  Duncan--Victoria.xls]Web sheet'!$A$1:$E$161"</definedName>
    <definedName name="HTML8_10" hidden="1">"randos@island.net"</definedName>
    <definedName name="HTML8_11" hidden="1">1</definedName>
    <definedName name="HTML8_12" hidden="1">"C:\My Documents\Web Page\300km_route_sheet_duncan.htm"</definedName>
    <definedName name="HTML8_2" hidden="1">1</definedName>
    <definedName name="HTML8_3" hidden="1">"VI0300A  Duncan--Victoria"</definedName>
    <definedName name="HTML8_4" hidden="1">"Web sheet"</definedName>
    <definedName name="HTML8_5" hidden="1">""</definedName>
    <definedName name="HTML8_6" hidden="1">1</definedName>
    <definedName name="HTML8_7" hidden="1">1</definedName>
    <definedName name="HTML8_8" hidden="1">"98-01-25"</definedName>
    <definedName name="HTML8_9" hidden="1">"Stephen Hinde"</definedName>
    <definedName name="HTMLCount" hidden="1">8</definedName>
    <definedName name="Initial" localSheetId="2">#REF!</definedName>
    <definedName name="Initial" localSheetId="3">#REF!</definedName>
    <definedName name="Initial" localSheetId="4">#REF!</definedName>
    <definedName name="Initial">#REF!</definedName>
    <definedName name="Locale">'Control Entry'!$E$15:$E$24</definedName>
    <definedName name="Max_time">'Control Entry'!$B$7</definedName>
    <definedName name="Open">'Control Entry'!$L$15:$L$24</definedName>
    <definedName name="Open_time">'Control Entry'!$N$15:$N$24</definedName>
    <definedName name="Postal_Code" localSheetId="2">#REF!</definedName>
    <definedName name="Postal_Code" localSheetId="3">#REF!</definedName>
    <definedName name="Postal_Code" localSheetId="4">#REF!</definedName>
    <definedName name="Postal_Code">#REF!</definedName>
    <definedName name="_xlnm.Print_Titles" localSheetId="1">'Control Card #1'!$1:$2</definedName>
    <definedName name="_xlnm.Print_Titles" localSheetId="2">'Control Card #2'!$1:$2</definedName>
    <definedName name="_xlnm.Print_Titles" localSheetId="3">'Control Card #3'!$1:$2</definedName>
    <definedName name="_xlnm.Print_Titles" localSheetId="4">'Control Card #4'!$1:$2</definedName>
    <definedName name="Province_State" localSheetId="2">#REF!</definedName>
    <definedName name="Province_State" localSheetId="3">#REF!</definedName>
    <definedName name="Province_State" localSheetId="4">#REF!</definedName>
    <definedName name="Province_State">#REF!</definedName>
    <definedName name="Start_date">'Control Entry'!$B$12</definedName>
    <definedName name="Start_time">'Control Entry'!$B$13</definedName>
    <definedName name="surname" localSheetId="2">#REF!</definedName>
    <definedName name="surname" localSheetId="3">#REF!</definedName>
    <definedName name="surname" localSheetId="4">#REF!</definedName>
    <definedName name="surname">#REF!</definedName>
    <definedName name="Work_telephone" localSheetId="2">#REF!</definedName>
    <definedName name="Work_telephone" localSheetId="3">#REF!</definedName>
    <definedName name="Work_telephone" localSheetId="4">#REF!</definedName>
    <definedName name="Work_telephone">#REF!</definedName>
  </definedNames>
  <calcPr calcId="181029"/>
  <extLst>
    <ext xmlns:x14="http://schemas.microsoft.com/office/spreadsheetml/2009/9/main" uri="{79F54976-1DA5-4618-B147-4CDE4B953A38}">
      <x14:workbookPr/>
    </ext>
    <ext xmlns="http://schemas.openxmlformats.org/spreadsheetml/2006/main" xmlns:mx="http://schemas.microsoft.com/office/mac/excel/2008/main" uri="{7523E5D3-25F3-A5E0-1632-64F254C22452}">
      <mx:ArchID Flags="2"/>
    </ext>
  </extLst>
</workbook>
</file>

<file path=xl/calcChain.xml><?xml version="1.0" encoding="utf-8"?>
<calcChain xmlns="http://purl.oclc.org/ooxml/spreadsheetml/main">
  <c r="B18" i="1" l="1"/>
  <c r="B19" i="1"/>
  <c r="B20" i="1"/>
  <c r="B21" i="1"/>
  <c r="B22" i="1"/>
  <c r="B23" i="1"/>
  <c r="B17" i="1"/>
  <c r="F32" i="5" l="1"/>
  <c r="F31" i="5"/>
  <c r="F30" i="5"/>
  <c r="E32" i="5"/>
  <c r="E31" i="5"/>
  <c r="E30" i="5"/>
  <c r="D31" i="5"/>
  <c r="A31" i="5"/>
  <c r="F29" i="5"/>
  <c r="F28" i="5"/>
  <c r="F27" i="5"/>
  <c r="E29" i="5"/>
  <c r="E28" i="5"/>
  <c r="E27" i="5"/>
  <c r="D28" i="5"/>
  <c r="A28" i="5"/>
  <c r="F26" i="5"/>
  <c r="F25" i="5"/>
  <c r="F24" i="5"/>
  <c r="E26" i="5"/>
  <c r="E25" i="5"/>
  <c r="E24" i="5"/>
  <c r="D25" i="5"/>
  <c r="A25" i="5"/>
  <c r="F23" i="5"/>
  <c r="F22" i="5"/>
  <c r="F21" i="5"/>
  <c r="E23" i="5"/>
  <c r="E22" i="5"/>
  <c r="E21" i="5"/>
  <c r="D22" i="5"/>
  <c r="A22" i="5"/>
  <c r="F20" i="5"/>
  <c r="F19" i="5"/>
  <c r="F18" i="5"/>
  <c r="E20" i="5"/>
  <c r="E19" i="5"/>
  <c r="E18" i="5"/>
  <c r="D19" i="5"/>
  <c r="A19" i="5" l="1"/>
  <c r="F17" i="5"/>
  <c r="F16" i="5"/>
  <c r="F15" i="5"/>
  <c r="E17" i="5"/>
  <c r="E16" i="5"/>
  <c r="E15" i="5"/>
  <c r="D16" i="5"/>
  <c r="A16" i="5"/>
  <c r="F14" i="5"/>
  <c r="F13" i="5"/>
  <c r="F12" i="5"/>
  <c r="E14" i="5"/>
  <c r="E13" i="5"/>
  <c r="E12" i="5"/>
  <c r="D13" i="5"/>
  <c r="A13" i="5"/>
  <c r="F11" i="5"/>
  <c r="F10" i="5"/>
  <c r="F9" i="5"/>
  <c r="E11" i="5"/>
  <c r="E10" i="5"/>
  <c r="E9" i="5"/>
  <c r="D10" i="5"/>
  <c r="A10" i="5"/>
  <c r="F8" i="5"/>
  <c r="F7" i="5"/>
  <c r="F6" i="5"/>
  <c r="E8" i="5"/>
  <c r="E7" i="5"/>
  <c r="E6" i="5"/>
  <c r="D7" i="5"/>
  <c r="A7" i="5"/>
  <c r="F26" i="4"/>
  <c r="F25" i="4"/>
  <c r="F24" i="4"/>
  <c r="F19" i="4"/>
  <c r="F5" i="5"/>
  <c r="F4" i="5"/>
  <c r="F3" i="5"/>
  <c r="E5" i="4"/>
  <c r="E5" i="5"/>
  <c r="E4" i="5"/>
  <c r="E3" i="5"/>
  <c r="D4" i="5"/>
  <c r="A4" i="5"/>
  <c r="S3" i="5"/>
  <c r="S3" i="4"/>
  <c r="S3" i="3"/>
  <c r="S3" i="2"/>
  <c r="Q33" i="5"/>
  <c r="Q32" i="5"/>
  <c r="S20" i="5"/>
  <c r="L20" i="5"/>
  <c r="L6" i="5"/>
  <c r="R5" i="5"/>
  <c r="P5" i="5"/>
  <c r="L63" i="1"/>
  <c r="L62" i="1"/>
  <c r="L61" i="1"/>
  <c r="L60" i="1"/>
  <c r="L59" i="1"/>
  <c r="L58" i="1"/>
  <c r="L57" i="1"/>
  <c r="L56" i="1"/>
  <c r="L55" i="1"/>
  <c r="M54" i="1"/>
  <c r="L54" i="1"/>
  <c r="Q33" i="4"/>
  <c r="Q32" i="4"/>
  <c r="Q33" i="3"/>
  <c r="Q32" i="3"/>
  <c r="Q33" i="2"/>
  <c r="Q32" i="2"/>
  <c r="M46" i="1" l="1"/>
  <c r="M47" i="1"/>
  <c r="M48" i="1"/>
  <c r="M49" i="1"/>
  <c r="M50" i="1"/>
  <c r="M41" i="1"/>
  <c r="M33" i="1"/>
  <c r="M34" i="1"/>
  <c r="M35" i="1"/>
  <c r="M36" i="1"/>
  <c r="M37" i="1"/>
  <c r="M21" i="1"/>
  <c r="M22" i="1"/>
  <c r="M23" i="1"/>
  <c r="M24" i="1"/>
  <c r="M20" i="1"/>
  <c r="S20" i="4" l="1"/>
  <c r="L20" i="4"/>
  <c r="S20" i="3"/>
  <c r="L20" i="3"/>
  <c r="S20" i="2"/>
  <c r="L20" i="2"/>
  <c r="F32" i="4" l="1"/>
  <c r="F31" i="4"/>
  <c r="F30" i="4"/>
  <c r="E32" i="4"/>
  <c r="E31" i="4"/>
  <c r="E30" i="4"/>
  <c r="D31" i="4"/>
  <c r="A31" i="4"/>
  <c r="F29" i="4"/>
  <c r="F28" i="4"/>
  <c r="F27" i="4"/>
  <c r="E29" i="4"/>
  <c r="E28" i="4"/>
  <c r="E27" i="4"/>
  <c r="D28" i="4"/>
  <c r="A28" i="4"/>
  <c r="E26" i="4"/>
  <c r="E25" i="4"/>
  <c r="E24" i="4"/>
  <c r="D25" i="4"/>
  <c r="A25" i="4"/>
  <c r="F23" i="4"/>
  <c r="F22" i="4"/>
  <c r="F21" i="4"/>
  <c r="E23" i="4"/>
  <c r="E22" i="4"/>
  <c r="E21" i="4"/>
  <c r="D22" i="4"/>
  <c r="A22" i="4"/>
  <c r="F20" i="4"/>
  <c r="F18" i="4"/>
  <c r="E20" i="4"/>
  <c r="E19" i="4"/>
  <c r="E18" i="4"/>
  <c r="D19" i="4"/>
  <c r="A19" i="4"/>
  <c r="F17" i="4"/>
  <c r="F16" i="4"/>
  <c r="F15" i="4"/>
  <c r="E17" i="4"/>
  <c r="E16" i="4"/>
  <c r="E15" i="4"/>
  <c r="D16" i="4"/>
  <c r="A16" i="4"/>
  <c r="F13" i="4"/>
  <c r="F14" i="4"/>
  <c r="F12" i="4"/>
  <c r="E14" i="4"/>
  <c r="E13" i="4"/>
  <c r="E12" i="4"/>
  <c r="D13" i="4"/>
  <c r="A13" i="4"/>
  <c r="A7" i="2" l="1"/>
  <c r="F11" i="4"/>
  <c r="F10" i="4"/>
  <c r="F9" i="4"/>
  <c r="E11" i="4"/>
  <c r="E10" i="4"/>
  <c r="E9" i="4"/>
  <c r="D10" i="4"/>
  <c r="A10" i="4"/>
  <c r="F8" i="4"/>
  <c r="F7" i="4"/>
  <c r="F6" i="4"/>
  <c r="E8" i="4"/>
  <c r="E7" i="4"/>
  <c r="E6" i="4"/>
  <c r="D7" i="4"/>
  <c r="A7" i="4"/>
  <c r="F5" i="4"/>
  <c r="F4" i="4"/>
  <c r="F3" i="4"/>
  <c r="E4" i="4"/>
  <c r="E3" i="4"/>
  <c r="D4" i="4"/>
  <c r="A4" i="4"/>
  <c r="L50" i="1" l="1"/>
  <c r="L49" i="1"/>
  <c r="L48" i="1"/>
  <c r="L47" i="1"/>
  <c r="L46" i="1"/>
  <c r="L45" i="1"/>
  <c r="L44" i="1"/>
  <c r="L43" i="1"/>
  <c r="L42" i="1"/>
  <c r="L41" i="1"/>
  <c r="L6" i="4"/>
  <c r="R5" i="4"/>
  <c r="P5" i="4"/>
  <c r="E8" i="3" l="1"/>
  <c r="E7" i="3"/>
  <c r="E5" i="3"/>
  <c r="F5" i="2" l="1"/>
  <c r="F32" i="2"/>
  <c r="F31" i="2"/>
  <c r="F30" i="2"/>
  <c r="F29" i="2"/>
  <c r="F28" i="2"/>
  <c r="F27" i="2"/>
  <c r="F26" i="2"/>
  <c r="F25" i="2"/>
  <c r="F24" i="2"/>
  <c r="F23" i="2"/>
  <c r="F22" i="2"/>
  <c r="F21" i="2"/>
  <c r="F20" i="2"/>
  <c r="F19" i="2"/>
  <c r="F18" i="2"/>
  <c r="F17" i="2"/>
  <c r="F16" i="2"/>
  <c r="F15" i="2"/>
  <c r="F14" i="2"/>
  <c r="F13" i="2"/>
  <c r="F12" i="2"/>
  <c r="F11" i="2"/>
  <c r="F10" i="2"/>
  <c r="F9" i="2"/>
  <c r="F8" i="2"/>
  <c r="F7" i="2"/>
  <c r="F6" i="2"/>
  <c r="F4" i="2"/>
  <c r="F3" i="2"/>
  <c r="L15" i="1"/>
  <c r="N15" i="1" s="1"/>
  <c r="L37" i="1"/>
  <c r="L36" i="1"/>
  <c r="L35" i="1"/>
  <c r="L34" i="1"/>
  <c r="L33" i="1"/>
  <c r="L32" i="1"/>
  <c r="L31" i="1"/>
  <c r="L30" i="1"/>
  <c r="L29" i="1"/>
  <c r="L28" i="1"/>
  <c r="F32" i="3"/>
  <c r="F31" i="3"/>
  <c r="F30" i="3"/>
  <c r="F29" i="3"/>
  <c r="F28" i="3"/>
  <c r="F27" i="3"/>
  <c r="F26" i="3"/>
  <c r="F25" i="3"/>
  <c r="F24" i="3"/>
  <c r="F23" i="3"/>
  <c r="F22" i="3"/>
  <c r="F21" i="3"/>
  <c r="F20" i="3"/>
  <c r="F19" i="3"/>
  <c r="F18" i="3"/>
  <c r="F17" i="3"/>
  <c r="F16" i="3"/>
  <c r="F15" i="3"/>
  <c r="F14" i="3"/>
  <c r="F13" i="3"/>
  <c r="F12" i="3"/>
  <c r="F11" i="3"/>
  <c r="F10" i="3"/>
  <c r="F9" i="3"/>
  <c r="F7" i="3"/>
  <c r="F8" i="3"/>
  <c r="F5" i="3"/>
  <c r="F6" i="3"/>
  <c r="F4" i="3"/>
  <c r="F3" i="3"/>
  <c r="E32" i="3"/>
  <c r="E31" i="3"/>
  <c r="E30" i="3"/>
  <c r="E29" i="3"/>
  <c r="E28" i="3"/>
  <c r="E27" i="3"/>
  <c r="E26" i="3"/>
  <c r="E25" i="3"/>
  <c r="E24" i="3"/>
  <c r="E23" i="3"/>
  <c r="E22" i="3"/>
  <c r="E21" i="3"/>
  <c r="E20" i="3"/>
  <c r="E19" i="3"/>
  <c r="E18" i="3"/>
  <c r="E17" i="3"/>
  <c r="E16" i="3"/>
  <c r="E15" i="3"/>
  <c r="E14" i="3"/>
  <c r="E13" i="3"/>
  <c r="E12" i="3"/>
  <c r="E11" i="3"/>
  <c r="E10" i="3"/>
  <c r="E9" i="3"/>
  <c r="E6" i="3"/>
  <c r="C6" i="1"/>
  <c r="E4" i="3"/>
  <c r="E3" i="3"/>
  <c r="D31" i="3"/>
  <c r="D28" i="3"/>
  <c r="D25" i="3"/>
  <c r="D22" i="3"/>
  <c r="D19" i="3"/>
  <c r="D16" i="3"/>
  <c r="D13" i="3"/>
  <c r="D10" i="3"/>
  <c r="D7" i="3"/>
  <c r="D4" i="3"/>
  <c r="A31" i="3"/>
  <c r="A28" i="3"/>
  <c r="A25" i="3"/>
  <c r="A22" i="3"/>
  <c r="A19" i="3"/>
  <c r="A16" i="3"/>
  <c r="A13" i="3"/>
  <c r="A10" i="3"/>
  <c r="A7" i="3"/>
  <c r="A4" i="3"/>
  <c r="L24" i="1"/>
  <c r="L23" i="1"/>
  <c r="L22" i="1"/>
  <c r="L21" i="1"/>
  <c r="L20" i="1"/>
  <c r="L19" i="1"/>
  <c r="L18" i="1"/>
  <c r="L17" i="1"/>
  <c r="L16" i="1"/>
  <c r="L6" i="3"/>
  <c r="R5" i="3"/>
  <c r="P5" i="3"/>
  <c r="L6" i="2"/>
  <c r="R5" i="2"/>
  <c r="P5" i="2"/>
  <c r="E32" i="2"/>
  <c r="E31" i="2"/>
  <c r="E30" i="2"/>
  <c r="E29" i="2"/>
  <c r="E28" i="2"/>
  <c r="E27" i="2"/>
  <c r="E26" i="2"/>
  <c r="E25" i="2"/>
  <c r="E24" i="2"/>
  <c r="E23" i="2"/>
  <c r="E22" i="2"/>
  <c r="E21" i="2"/>
  <c r="E20" i="2"/>
  <c r="E19" i="2"/>
  <c r="E18" i="2"/>
  <c r="E17" i="2"/>
  <c r="E16" i="2"/>
  <c r="E15" i="2"/>
  <c r="E14" i="2"/>
  <c r="E13" i="2"/>
  <c r="E12" i="2"/>
  <c r="E11" i="2"/>
  <c r="E10" i="2"/>
  <c r="E9" i="2"/>
  <c r="E8" i="2"/>
  <c r="E7" i="2"/>
  <c r="E6" i="2"/>
  <c r="E5" i="2"/>
  <c r="E4" i="2"/>
  <c r="E3" i="2"/>
  <c r="D25" i="2"/>
  <c r="D28" i="2"/>
  <c r="D31" i="2"/>
  <c r="A31" i="2"/>
  <c r="A4" i="2"/>
  <c r="D19" i="2"/>
  <c r="D16" i="2"/>
  <c r="D13" i="2"/>
  <c r="D10" i="2"/>
  <c r="D7" i="2"/>
  <c r="D4" i="2"/>
  <c r="D22" i="2"/>
  <c r="A28" i="2"/>
  <c r="A25" i="2"/>
  <c r="A22" i="2"/>
  <c r="A19" i="2"/>
  <c r="A10" i="2"/>
  <c r="A16" i="2"/>
  <c r="A13" i="2"/>
  <c r="O50" i="1" l="1"/>
  <c r="N50" i="1"/>
  <c r="N61" i="1"/>
  <c r="N60" i="1"/>
  <c r="N59" i="1"/>
  <c r="N63" i="1"/>
  <c r="N58" i="1"/>
  <c r="N62" i="1"/>
  <c r="M63" i="1"/>
  <c r="O63" i="1" s="1"/>
  <c r="M61" i="1"/>
  <c r="O61" i="1" s="1"/>
  <c r="M59" i="1"/>
  <c r="O59" i="1" s="1"/>
  <c r="M62" i="1"/>
  <c r="O62" i="1" s="1"/>
  <c r="M60" i="1"/>
  <c r="O60" i="1" s="1"/>
  <c r="M58" i="1"/>
  <c r="O58" i="1" s="1"/>
  <c r="M28" i="1"/>
  <c r="B7" i="1"/>
  <c r="M4" i="5"/>
  <c r="M57" i="1"/>
  <c r="O57" i="1" s="1"/>
  <c r="M55" i="1"/>
  <c r="O55" i="1" s="1"/>
  <c r="M56" i="1"/>
  <c r="O56" i="1"/>
  <c r="N56" i="1"/>
  <c r="N57" i="1"/>
  <c r="N55" i="1"/>
  <c r="O54" i="1"/>
  <c r="N54" i="1"/>
  <c r="M4" i="3"/>
  <c r="M42" i="1"/>
  <c r="O42" i="1" s="1"/>
  <c r="M31" i="1"/>
  <c r="M16" i="1"/>
  <c r="O16" i="1" s="1"/>
  <c r="M43" i="1"/>
  <c r="O43" i="1" s="1"/>
  <c r="M32" i="1"/>
  <c r="O32" i="1" s="1"/>
  <c r="M19" i="1"/>
  <c r="M44" i="1"/>
  <c r="O44" i="1" s="1"/>
  <c r="M29" i="1"/>
  <c r="M18" i="1"/>
  <c r="O18" i="1" s="1"/>
  <c r="M45" i="1"/>
  <c r="O45" i="1" s="1"/>
  <c r="M30" i="1"/>
  <c r="M17" i="1"/>
  <c r="O17" i="1" s="1"/>
  <c r="O46" i="1"/>
  <c r="O47" i="1"/>
  <c r="O48" i="1"/>
  <c r="O49" i="1"/>
  <c r="N48" i="1"/>
  <c r="N42" i="1"/>
  <c r="N47" i="1"/>
  <c r="N43" i="1"/>
  <c r="N45" i="1"/>
  <c r="N49" i="1"/>
  <c r="N46" i="1"/>
  <c r="N44" i="1"/>
  <c r="N41" i="1"/>
  <c r="O41" i="1"/>
  <c r="M4" i="4"/>
  <c r="M15" i="1"/>
  <c r="O15" i="1" s="1"/>
  <c r="C3" i="2" s="1"/>
  <c r="N31" i="1"/>
  <c r="B4" i="2"/>
  <c r="O19" i="1"/>
  <c r="C17" i="2" s="1"/>
  <c r="N18" i="1"/>
  <c r="B14" i="2" s="1"/>
  <c r="O23" i="1"/>
  <c r="C27" i="2" s="1"/>
  <c r="N28" i="1"/>
  <c r="N34" i="1"/>
  <c r="N22" i="1"/>
  <c r="B25" i="2" s="1"/>
  <c r="O34" i="1"/>
  <c r="B3" i="2"/>
  <c r="O20" i="1"/>
  <c r="O22" i="1"/>
  <c r="C26" i="2" s="1"/>
  <c r="O33" i="1"/>
  <c r="B5" i="2"/>
  <c r="N17" i="1"/>
  <c r="B11" i="2" s="1"/>
  <c r="N21" i="1"/>
  <c r="B22" i="2" s="1"/>
  <c r="N24" i="1"/>
  <c r="B31" i="2" s="1"/>
  <c r="N35" i="1"/>
  <c r="O37" i="1"/>
  <c r="N37" i="1"/>
  <c r="O24" i="1"/>
  <c r="C31" i="2" s="1"/>
  <c r="N16" i="1"/>
  <c r="B6" i="2" s="1"/>
  <c r="N20" i="1"/>
  <c r="B19" i="2" s="1"/>
  <c r="O21" i="1"/>
  <c r="C23" i="2" s="1"/>
  <c r="N29" i="1"/>
  <c r="N32" i="1"/>
  <c r="N19" i="1"/>
  <c r="B17" i="2" s="1"/>
  <c r="N23" i="1"/>
  <c r="B27" i="2" s="1"/>
  <c r="N30" i="1"/>
  <c r="N33" i="1"/>
  <c r="N36" i="1"/>
  <c r="O30" i="1"/>
  <c r="O29" i="1"/>
  <c r="M4" i="2"/>
  <c r="O36" i="1"/>
  <c r="O28" i="1"/>
  <c r="O35" i="1"/>
  <c r="O31" i="1"/>
  <c r="C27" i="5" l="1"/>
  <c r="C29" i="5"/>
  <c r="C28" i="5"/>
  <c r="B29" i="5"/>
  <c r="B28" i="5"/>
  <c r="B27" i="5"/>
  <c r="B22" i="5"/>
  <c r="B21" i="5"/>
  <c r="B23" i="5"/>
  <c r="C20" i="5"/>
  <c r="C19" i="5"/>
  <c r="C18" i="5"/>
  <c r="B25" i="5"/>
  <c r="B24" i="5"/>
  <c r="B26" i="5"/>
  <c r="C26" i="5"/>
  <c r="C25" i="5"/>
  <c r="C24" i="5"/>
  <c r="C21" i="5"/>
  <c r="C23" i="5"/>
  <c r="C22" i="5"/>
  <c r="C31" i="5"/>
  <c r="C30" i="5"/>
  <c r="C32" i="5"/>
  <c r="B19" i="5"/>
  <c r="B18" i="5"/>
  <c r="B20" i="5"/>
  <c r="B32" i="5"/>
  <c r="B31" i="5"/>
  <c r="B30" i="5"/>
  <c r="B8" i="5"/>
  <c r="B7" i="5"/>
  <c r="B6" i="5"/>
  <c r="B14" i="5"/>
  <c r="B13" i="5"/>
  <c r="B12" i="5"/>
  <c r="C7" i="5"/>
  <c r="C8" i="5"/>
  <c r="C6" i="5"/>
  <c r="B15" i="5"/>
  <c r="B17" i="5"/>
  <c r="B16" i="5"/>
  <c r="B9" i="5"/>
  <c r="B10" i="5"/>
  <c r="B11" i="5"/>
  <c r="C13" i="5"/>
  <c r="C12" i="5"/>
  <c r="C14" i="5"/>
  <c r="C16" i="5"/>
  <c r="C15" i="5"/>
  <c r="C17" i="5"/>
  <c r="C10" i="5"/>
  <c r="C9" i="5"/>
  <c r="C11" i="5"/>
  <c r="B4" i="5"/>
  <c r="B3" i="5"/>
  <c r="B5" i="5"/>
  <c r="B31" i="4"/>
  <c r="B30" i="4"/>
  <c r="B32" i="4"/>
  <c r="C5" i="5"/>
  <c r="C3" i="5"/>
  <c r="C4" i="5"/>
  <c r="C31" i="4"/>
  <c r="C30" i="4"/>
  <c r="C32" i="4"/>
  <c r="B13" i="4"/>
  <c r="B12" i="4"/>
  <c r="B14" i="4"/>
  <c r="B29" i="4"/>
  <c r="B28" i="4"/>
  <c r="B27" i="4"/>
  <c r="C15" i="4"/>
  <c r="C17" i="4"/>
  <c r="C16" i="4"/>
  <c r="B23" i="4"/>
  <c r="B22" i="4"/>
  <c r="B21" i="4"/>
  <c r="B17" i="4"/>
  <c r="B16" i="4"/>
  <c r="B15" i="4"/>
  <c r="B25" i="4"/>
  <c r="B24" i="4"/>
  <c r="B26" i="4"/>
  <c r="C29" i="4"/>
  <c r="C28" i="4"/>
  <c r="C27" i="4"/>
  <c r="C21" i="4"/>
  <c r="C23" i="4"/>
  <c r="C22" i="4"/>
  <c r="C4" i="2"/>
  <c r="C14" i="4"/>
  <c r="C13" i="4"/>
  <c r="C12" i="4"/>
  <c r="B19" i="4"/>
  <c r="B18" i="4"/>
  <c r="B20" i="4"/>
  <c r="C20" i="4"/>
  <c r="C19" i="4"/>
  <c r="C18" i="4"/>
  <c r="C26" i="4"/>
  <c r="C25" i="4"/>
  <c r="C24" i="4"/>
  <c r="C8" i="4"/>
  <c r="C7" i="4"/>
  <c r="C6" i="4"/>
  <c r="C10" i="4"/>
  <c r="C9" i="4"/>
  <c r="C11" i="4"/>
  <c r="B8" i="4"/>
  <c r="B7" i="4"/>
  <c r="B6" i="4"/>
  <c r="B9" i="4"/>
  <c r="B11" i="4"/>
  <c r="B10" i="4"/>
  <c r="B5" i="4"/>
  <c r="B4" i="4"/>
  <c r="B3" i="4"/>
  <c r="C3" i="4"/>
  <c r="C5" i="4"/>
  <c r="C4" i="4"/>
  <c r="C19" i="3"/>
  <c r="B21" i="3"/>
  <c r="B29" i="3"/>
  <c r="B6" i="3"/>
  <c r="B26" i="3"/>
  <c r="B5" i="3"/>
  <c r="B11" i="3"/>
  <c r="C23" i="3"/>
  <c r="B32" i="3"/>
  <c r="B16" i="3"/>
  <c r="C31" i="3"/>
  <c r="C5" i="2"/>
  <c r="B19" i="3"/>
  <c r="B14" i="3"/>
  <c r="B25" i="3"/>
  <c r="C16" i="2"/>
  <c r="B13" i="3"/>
  <c r="B12" i="3"/>
  <c r="B21" i="2"/>
  <c r="B26" i="2"/>
  <c r="C15" i="2"/>
  <c r="C30" i="3"/>
  <c r="B3" i="3"/>
  <c r="C25" i="2"/>
  <c r="B8" i="2"/>
  <c r="B12" i="2"/>
  <c r="B13" i="2"/>
  <c r="B22" i="3"/>
  <c r="B30" i="3"/>
  <c r="B27" i="3"/>
  <c r="B8" i="3"/>
  <c r="C29" i="2"/>
  <c r="B18" i="3"/>
  <c r="B29" i="2"/>
  <c r="B15" i="2"/>
  <c r="B31" i="3"/>
  <c r="B18" i="2"/>
  <c r="B10" i="3"/>
  <c r="B32" i="2"/>
  <c r="C28" i="2"/>
  <c r="C24" i="2"/>
  <c r="C30" i="2"/>
  <c r="B20" i="2"/>
  <c r="C22" i="3"/>
  <c r="B24" i="3"/>
  <c r="B28" i="3"/>
  <c r="B7" i="3"/>
  <c r="B4" i="3"/>
  <c r="B16" i="2"/>
  <c r="B7" i="2"/>
  <c r="C19" i="2"/>
  <c r="C18" i="2"/>
  <c r="C20" i="2"/>
  <c r="C13" i="2"/>
  <c r="C12" i="2"/>
  <c r="C14" i="2"/>
  <c r="B23" i="3"/>
  <c r="B9" i="2"/>
  <c r="B30" i="2"/>
  <c r="C32" i="2"/>
  <c r="B10" i="2"/>
  <c r="B9" i="3"/>
  <c r="B24" i="2"/>
  <c r="C21" i="3"/>
  <c r="C18" i="3"/>
  <c r="B20" i="3"/>
  <c r="C9" i="2"/>
  <c r="C10" i="2"/>
  <c r="B28" i="2"/>
  <c r="B23" i="2"/>
  <c r="B17" i="3"/>
  <c r="C8" i="2"/>
  <c r="C7" i="2"/>
  <c r="C22" i="2"/>
  <c r="C21" i="2"/>
  <c r="C11" i="2"/>
  <c r="C20" i="3"/>
  <c r="B15" i="3"/>
  <c r="C32" i="3"/>
  <c r="C6" i="2"/>
  <c r="C6" i="3"/>
  <c r="C7" i="3"/>
  <c r="C8" i="3"/>
  <c r="C11" i="3"/>
  <c r="C9" i="3"/>
  <c r="C10" i="3"/>
  <c r="C13" i="3"/>
  <c r="C14" i="3"/>
  <c r="C12" i="3"/>
  <c r="C4" i="3"/>
  <c r="C5" i="3"/>
  <c r="C3" i="3"/>
  <c r="C25" i="3"/>
  <c r="C26" i="3"/>
  <c r="C24" i="3"/>
  <c r="C15" i="3"/>
  <c r="C16" i="3"/>
  <c r="C17" i="3"/>
  <c r="C27" i="3"/>
  <c r="C28" i="3"/>
  <c r="C29" i="3"/>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Stephen Hinde</author>
    <author>A satisfied Microsoft Office user</author>
  </authors>
  <commentList>
    <comment ref="B4" authorId="0" shapeId="1025" xr:uid="{4563209B-AACD-704D-A715-734D9228E28F}">
      <text>
        <r>
          <rPr>
            <b/>
            <sz val="10"/>
            <color rgb="FF000000"/>
            <rFont val="Tahoma"/>
            <family val="2"/>
          </rPr>
          <t>Stephen Hinde:</t>
        </r>
        <r>
          <rPr>
            <sz val="10"/>
            <color rgb="FF000000"/>
            <rFont val="Tahoma"/>
            <family val="2"/>
          </rPr>
          <t xml:space="preserve">Revision date of the brevet details on this sheet
</t>
        </r>
      </text>
      <mc:AlternateContent xmlns:mc="http://schemas.openxmlformats.org/markup-compatibility/2006">
        <mc:Choice Requires="v"/>
        <mc:Fallback>
          <commentPr defaultSize="0" autoFill="0" autoLine="0">
            <anchor>
              <from>
                <xdr:col>3</xdr:col>
                <xdr:colOff>165100</xdr:colOff>
                <xdr:row>2</xdr:row>
                <xdr:rowOff>38100</xdr:rowOff>
              </from>
              <to>
                <xdr:col>4</xdr:col>
                <xdr:colOff>838200</xdr:colOff>
                <xdr:row>6</xdr:row>
                <xdr:rowOff>165100</xdr:rowOff>
              </to>
            </anchor>
          </commentPr>
        </mc:Fallback>
      </mc:AlternateContent>
    </comment>
    <comment ref="B6" authorId="0" shapeId="1026" xr:uid="{00000000-0006-0000-0000-000001000000}">
      <text>
        <r>
          <rPr>
            <b/>
            <sz val="10"/>
            <color rgb="FF000000"/>
            <rFont val="Tahoma"/>
            <family val="2"/>
          </rPr>
          <t>Stephen Hinde:</t>
        </r>
        <r>
          <rPr>
            <sz val="10"/>
            <color rgb="FF000000"/>
            <rFont val="Tahoma"/>
            <family val="2"/>
          </rPr>
          <t xml:space="preserve">
</t>
        </r>
        <r>
          <rPr>
            <sz val="10"/>
            <color rgb="FF000000"/>
            <rFont val="Tahoma"/>
            <family val="2"/>
          </rPr>
          <t xml:space="preserve">Nominal ACP distance
</t>
        </r>
        <r>
          <rPr>
            <sz val="10"/>
            <color rgb="FF000000"/>
            <rFont val="Tahoma"/>
            <family val="2"/>
          </rPr>
          <t xml:space="preserve">
</t>
        </r>
        <r>
          <rPr>
            <sz val="10"/>
            <color rgb="FF000000"/>
            <rFont val="Tahoma"/>
            <family val="2"/>
          </rPr>
          <t>eg 200, 300, 400, 600</t>
        </r>
      </text>
      <mc:AlternateContent xmlns:mc="http://schemas.openxmlformats.org/markup-compatibility/2006">
        <mc:Choice Requires="v"/>
        <mc:Fallback>
          <commentPr defaultSize="0" autoFill="0" autoLine="0">
            <anchor>
              <from>
                <xdr:col>3</xdr:col>
                <xdr:colOff>165100</xdr:colOff>
                <xdr:row>4</xdr:row>
                <xdr:rowOff>38100</xdr:rowOff>
              </from>
              <to>
                <xdr:col>4</xdr:col>
                <xdr:colOff>825500</xdr:colOff>
                <xdr:row>7</xdr:row>
                <xdr:rowOff>25400</xdr:rowOff>
              </to>
            </anchor>
          </commentPr>
        </mc:Fallback>
      </mc:AlternateContent>
    </comment>
    <comment ref="B7" authorId="1" shapeId="1027" xr:uid="{00000000-0006-0000-0000-000002000000}">
      <text>
        <r>
          <rPr>
            <sz val="8"/>
            <color rgb="FF000000"/>
            <rFont val="Tahoma"/>
            <family val="2"/>
          </rPr>
          <t>Autocalculated based on ACP specified times</t>
        </r>
      </text>
      <mc:AlternateContent xmlns:mc="http://schemas.openxmlformats.org/markup-compatibility/2006">
        <mc:Choice Requires="v"/>
        <mc:Fallback>
          <commentPr defaultSize="0" autoFill="0" autoLine="0">
            <anchor>
              <from>
                <xdr:col>3</xdr:col>
                <xdr:colOff>165100</xdr:colOff>
                <xdr:row>5</xdr:row>
                <xdr:rowOff>76200</xdr:rowOff>
              </from>
              <to>
                <xdr:col>4</xdr:col>
                <xdr:colOff>927100</xdr:colOff>
                <xdr:row>7</xdr:row>
                <xdr:rowOff>114300</xdr:rowOff>
              </to>
            </anchor>
          </commentPr>
        </mc:Fallback>
      </mc:AlternateContent>
    </comment>
    <comment ref="B9" authorId="0" shapeId="1028" xr:uid="{00000000-0006-0000-0000-000003000000}">
      <text>
        <r>
          <rPr>
            <b/>
            <sz val="10"/>
            <color rgb="FF000000"/>
            <rFont val="Tahoma"/>
            <family val="2"/>
          </rPr>
          <t>Stephen Hinde:</t>
        </r>
        <r>
          <rPr>
            <sz val="10"/>
            <color rgb="FF000000"/>
            <rFont val="Tahoma"/>
            <family val="2"/>
          </rPr>
          <t xml:space="preserve">
</t>
        </r>
        <r>
          <rPr>
            <sz val="10"/>
            <color rgb="FF000000"/>
            <rFont val="Tahoma"/>
            <family val="2"/>
          </rPr>
          <t>On event page</t>
        </r>
      </text>
      <mc:AlternateContent xmlns:mc="http://schemas.openxmlformats.org/markup-compatibility/2006">
        <mc:Choice Requires="v"/>
        <mc:Fallback>
          <commentPr defaultSize="0" autoFill="0" autoLine="0">
            <anchor>
              <from>
                <xdr:col>3</xdr:col>
                <xdr:colOff>165100</xdr:colOff>
                <xdr:row>7</xdr:row>
                <xdr:rowOff>114300</xdr:rowOff>
              </from>
              <to>
                <xdr:col>4</xdr:col>
                <xdr:colOff>825500</xdr:colOff>
                <xdr:row>12</xdr:row>
                <xdr:rowOff>203200</xdr:rowOff>
              </to>
            </anchor>
          </commentPr>
        </mc:Fallback>
      </mc:AlternateContent>
    </comment>
    <comment ref="B10" authorId="0" shapeId="1029" xr:uid="{00000000-0006-0000-0000-000004000000}">
      <text>
        <r>
          <rPr>
            <b/>
            <sz val="10"/>
            <color rgb="FF000000"/>
            <rFont val="Tahoma"/>
            <family val="2"/>
          </rPr>
          <t>Stephen Hinde:</t>
        </r>
        <r>
          <rPr>
            <sz val="10"/>
            <color rgb="FF000000"/>
            <rFont val="Tahoma"/>
            <family val="2"/>
          </rPr>
          <t xml:space="preserve">
</t>
        </r>
        <r>
          <rPr>
            <sz val="10"/>
            <color rgb="FF000000"/>
            <rFont val="Tahoma"/>
            <family val="2"/>
          </rPr>
          <t>Official ACP date</t>
        </r>
      </text>
      <mc:AlternateContent xmlns:mc="http://schemas.openxmlformats.org/markup-compatibility/2006">
        <mc:Choice Requires="v"/>
        <mc:Fallback>
          <commentPr defaultSize="0" autoFill="0" autoLine="0">
            <anchor>
              <from>
                <xdr:col>3</xdr:col>
                <xdr:colOff>165100</xdr:colOff>
                <xdr:row>7</xdr:row>
                <xdr:rowOff>63500</xdr:rowOff>
              </from>
              <to>
                <xdr:col>4</xdr:col>
                <xdr:colOff>825500</xdr:colOff>
                <xdr:row>12</xdr:row>
                <xdr:rowOff>25400</xdr:rowOff>
              </to>
            </anchor>
          </commentPr>
        </mc:Fallback>
      </mc:AlternateContent>
    </comment>
    <comment ref="B12" authorId="0" shapeId="1030" xr:uid="{23558CA1-4512-6144-8D64-23E7C0C33489}">
      <text>
        <r>
          <rPr>
            <b/>
            <sz val="10"/>
            <color rgb="FF000000"/>
            <rFont val="Tahoma"/>
            <family val="2"/>
          </rPr>
          <t>Stephen Hinde:</t>
        </r>
        <r>
          <rPr>
            <sz val="10"/>
            <color rgb="FF000000"/>
            <rFont val="Tahoma"/>
            <family val="2"/>
          </rPr>
          <t xml:space="preserve">
</t>
        </r>
        <r>
          <rPr>
            <sz val="10"/>
            <color rgb="FF000000"/>
            <rFont val="Tahoma"/>
            <family val="2"/>
          </rPr>
          <t xml:space="preserve">Ride date
</t>
        </r>
      </text>
      <mc:AlternateContent xmlns:mc="http://schemas.openxmlformats.org/markup-compatibility/2006">
        <mc:Choice Requires="v"/>
        <mc:Fallback>
          <commentPr defaultSize="0" autoFill="0" autoLine="0">
            <anchor>
              <from>
                <xdr:col>3</xdr:col>
                <xdr:colOff>165100</xdr:colOff>
                <xdr:row>8</xdr:row>
                <xdr:rowOff>127000</xdr:rowOff>
              </from>
              <to>
                <xdr:col>4</xdr:col>
                <xdr:colOff>825500</xdr:colOff>
                <xdr:row>14</xdr:row>
                <xdr:rowOff>127000</xdr:rowOff>
              </to>
            </anchor>
          </commentPr>
        </mc:Fallback>
      </mc:AlternateContent>
    </comment>
    <comment ref="B13" authorId="0" shapeId="1031" xr:uid="{B42762EC-1925-AE46-9F2A-7C3A271E16AF}">
      <text>
        <r>
          <rPr>
            <b/>
            <sz val="10"/>
            <color rgb="FF000000"/>
            <rFont val="Tahoma"/>
            <family val="2"/>
          </rPr>
          <t>Stephen Hinde:</t>
        </r>
        <r>
          <rPr>
            <sz val="10"/>
            <color rgb="FF000000"/>
            <rFont val="Tahoma"/>
            <family val="2"/>
          </rPr>
          <t xml:space="preserve">
</t>
        </r>
        <r>
          <rPr>
            <sz val="10"/>
            <color rgb="FF000000"/>
            <rFont val="Tahoma"/>
            <family val="2"/>
          </rPr>
          <t xml:space="preserve">24hr clock format
</t>
        </r>
        <r>
          <rPr>
            <sz val="10"/>
            <color rgb="FF000000"/>
            <rFont val="Tahoma"/>
            <family val="2"/>
          </rPr>
          <t>hh:mm</t>
        </r>
      </text>
      <mc:AlternateContent xmlns:mc="http://schemas.openxmlformats.org/markup-compatibility/2006">
        <mc:Choice Requires="v"/>
        <mc:Fallback>
          <commentPr defaultSize="0" autoFill="0" autoLine="0">
            <anchor>
              <from>
                <xdr:col>3</xdr:col>
                <xdr:colOff>165100</xdr:colOff>
                <xdr:row>11</xdr:row>
                <xdr:rowOff>88900</xdr:rowOff>
              </from>
              <to>
                <xdr:col>4</xdr:col>
                <xdr:colOff>838200</xdr:colOff>
                <xdr:row>14</xdr:row>
                <xdr:rowOff>203200</xdr:rowOff>
              </to>
            </anchor>
          </commentPr>
        </mc:Fallback>
      </mc:AlternateContent>
    </comment>
  </commentList>
</comments>
</file>

<file path=xl/sharedStrings.xml><?xml version="1.0" encoding="utf-8"?>
<sst xmlns="http://purl.oclc.org/ooxml/spreadsheetml/main" count="499" uniqueCount="141">
  <si>
    <t>Start time</t>
  </si>
  <si>
    <t>Finish time</t>
  </si>
  <si>
    <t>Elapsed time</t>
  </si>
  <si>
    <t>Open</t>
  </si>
  <si>
    <t>Close</t>
  </si>
  <si>
    <t>Open time</t>
  </si>
  <si>
    <t>Close time</t>
  </si>
  <si>
    <t>Control 1</t>
  </si>
  <si>
    <t>Control 2</t>
  </si>
  <si>
    <t>Control 3</t>
  </si>
  <si>
    <t>Control 4</t>
  </si>
  <si>
    <t>Control 5</t>
  </si>
  <si>
    <t>Control 6</t>
  </si>
  <si>
    <t>Control 7</t>
  </si>
  <si>
    <t>Control 8</t>
  </si>
  <si>
    <t>Control 9</t>
  </si>
  <si>
    <t>Control 10</t>
  </si>
  <si>
    <t>Rider's signature at completion</t>
  </si>
  <si>
    <t>Brevet Length:</t>
  </si>
  <si>
    <t>Maximum Time:</t>
  </si>
  <si>
    <t>Brevet Description:</t>
  </si>
  <si>
    <t>Brevet Number:</t>
  </si>
  <si>
    <t>Start Date:</t>
  </si>
  <si>
    <t>Start Time:</t>
  </si>
  <si>
    <t>Distance</t>
  </si>
  <si>
    <t>Locale</t>
  </si>
  <si>
    <t>Establishment 1</t>
  </si>
  <si>
    <t>Establishment 2</t>
  </si>
  <si>
    <t>Establishment 3</t>
  </si>
  <si>
    <t>|</t>
  </si>
  <si>
    <t>DIST (km)</t>
  </si>
  <si>
    <t>Establishment</t>
  </si>
  <si>
    <t>Time of Passage</t>
  </si>
  <si>
    <t>Control Card</t>
  </si>
  <si>
    <t>Name</t>
  </si>
  <si>
    <t>Address</t>
  </si>
  <si>
    <t>City</t>
  </si>
  <si>
    <t>Province/State</t>
  </si>
  <si>
    <t>Country</t>
  </si>
  <si>
    <t>Postal Code</t>
  </si>
  <si>
    <t>Telephone</t>
  </si>
  <si>
    <t>email</t>
  </si>
  <si>
    <t>Randonneur Committee Authorization</t>
  </si>
  <si>
    <t>Report results or abandonment through registration email link</t>
  </si>
  <si>
    <t>Start Date</t>
  </si>
  <si>
    <t>Finish Date</t>
  </si>
  <si>
    <t>Member #</t>
  </si>
  <si>
    <t xml:space="preserve">Brevet No. </t>
  </si>
  <si>
    <t>Schedule date:</t>
  </si>
  <si>
    <t>Single</t>
  </si>
  <si>
    <t>Tandem</t>
  </si>
  <si>
    <t>Fixed</t>
  </si>
  <si>
    <t>Recumbent</t>
  </si>
  <si>
    <t>Velomobile</t>
  </si>
  <si>
    <t>(only add if change needed to database)</t>
  </si>
  <si>
    <t>Founding member of LES RANDONNEURS MONDIAUX (1983)</t>
  </si>
  <si>
    <t>Bicycle Type
Circle one</t>
  </si>
  <si>
    <t>-------&gt;</t>
  </si>
  <si>
    <t>Ride Day Emergency Contact</t>
  </si>
  <si>
    <t>Signature/Answer</t>
  </si>
  <si>
    <t>Signature/Answer 1</t>
  </si>
  <si>
    <t>Signature/Answer 2</t>
  </si>
  <si>
    <t>Signature/Answer 3</t>
  </si>
  <si>
    <t>Instructions</t>
  </si>
  <si>
    <t>Fill nominal brevet length.  This is the ACP distance eg 200, 300, 1000</t>
  </si>
  <si>
    <t>Maximum allowable time automatically calculated</t>
  </si>
  <si>
    <t>Enter the brevet name eg 'Remembrance Day Brevet'</t>
  </si>
  <si>
    <t>Enter the brevet number.  This is the BCR database number, and can be found on the event page in the database</t>
  </si>
  <si>
    <t>Enter the schedule date.  This is the official ACP listed date and can be found on the shcedule on the website</t>
  </si>
  <si>
    <t>Fill in the control distance.  The opening and closing times will be automatically calculated based on the start time and the brevet distance.  If you need more than 10 controls, use card #2, otherwise leave that section blank.</t>
  </si>
  <si>
    <t>When using information controls, you can put your question in the Signature/Answer section eg Sig/Ans.1 Sign on main door  Sig/Ans. 2  This week's special is?  Sig/Ans. 3 ________________</t>
  </si>
  <si>
    <t>Control Card #1 Information Control Question (optional)</t>
  </si>
  <si>
    <t>Control Card #2 Information Control Question (optional)</t>
  </si>
  <si>
    <t xml:space="preserve">Control Card </t>
  </si>
  <si>
    <r>
      <t xml:space="preserve">At each control, please have signed or </t>
    </r>
    <r>
      <rPr>
        <b/>
        <i/>
        <sz val="16"/>
        <rFont val="Arial"/>
        <family val="2"/>
      </rPr>
      <t>answer question</t>
    </r>
    <r>
      <rPr>
        <i/>
        <sz val="16"/>
        <rFont val="Arial"/>
        <family val="2"/>
      </rPr>
      <t xml:space="preserve"> and</t>
    </r>
    <r>
      <rPr>
        <b/>
        <i/>
        <sz val="16"/>
        <rFont val="Arial"/>
        <family val="2"/>
      </rPr>
      <t xml:space="preserve"> note time of day</t>
    </r>
  </si>
  <si>
    <t>Enter the start time.  This will be the official ACP listed start time found on the event page, unless a ride window has been enabled.</t>
  </si>
  <si>
    <t>Enter the start date.  This will be the same as the schedule date, exceot for pre-rides or unless a ride window has been enabled.</t>
  </si>
  <si>
    <t>Control Card #2</t>
  </si>
  <si>
    <t>Control Card #3 Information Control Question (optional)</t>
  </si>
  <si>
    <t>Control Card #3</t>
  </si>
  <si>
    <r>
      <t xml:space="preserve">At each control, please </t>
    </r>
    <r>
      <rPr>
        <b/>
        <i/>
        <sz val="16"/>
        <rFont val="Arial"/>
        <family val="2"/>
      </rPr>
      <t>have signed or answer question</t>
    </r>
    <r>
      <rPr>
        <i/>
        <sz val="16"/>
        <rFont val="Arial"/>
        <family val="2"/>
      </rPr>
      <t xml:space="preserve"> and</t>
    </r>
    <r>
      <rPr>
        <b/>
        <i/>
        <sz val="16"/>
        <rFont val="Arial"/>
        <family val="2"/>
      </rPr>
      <t xml:space="preserve"> note time of day</t>
    </r>
  </si>
  <si>
    <t>Control Card #1</t>
  </si>
  <si>
    <t xml:space="preserve">Template Revised:  </t>
  </si>
  <si>
    <t>DO NOT DELETE OR MOVE ROWS OR COLUMNS (delete contents of cells only)</t>
  </si>
  <si>
    <t>Fill in the Locale (city) for each control.  Establishment 1, 2, and 3 can be used to describe the control itself eg Locale HOPE  Est.1 Dairy Queen Est.2 817 Water Ave Est. 3 (left blank)</t>
  </si>
  <si>
    <t>Scroll right to see further instructions</t>
  </si>
  <si>
    <t xml:space="preserve">Card Revised:  </t>
  </si>
  <si>
    <t>Control Card #4</t>
  </si>
  <si>
    <t>Control Card #4 Information Control Question (optional)</t>
  </si>
  <si>
    <t>You can create 4 control cards  (upto 40 controls) for one event, or 4 control cards (up to 10 controls) with different start loctions for a single event, or 2 sets of 2 control cards.  Control Card #1 will only show '#1' if a distance, not zero, is entered into the first distance box for Control Card #2.  Similarly for Control Card #3 and Control Card #4.  If CC#3 starts at distance 0 and CC#4 has a distance greater than 0, then CC#3 will display as CC#1 and CC#4 will display as CC#2.  This allows for 2 cards for start location 1 and two cards for start location 2.</t>
  </si>
  <si>
    <t>SIGN HERE AND RECORD RESULTS ON CARD #1</t>
  </si>
  <si>
    <t>Hands Across the Water 2023</t>
  </si>
  <si>
    <t>Sign between washroom doors</t>
  </si>
  <si>
    <t>URGENT ISSUES: Call</t>
  </si>
  <si>
    <t>Mailboxes</t>
  </si>
  <si>
    <t>Liberty Drive at Deer Park Trail</t>
  </si>
  <si>
    <t>Circle answer:   1    2    3    4</t>
  </si>
  <si>
    <t>Totem Pole</t>
  </si>
  <si>
    <t>West Campus Rd at University Dr</t>
  </si>
  <si>
    <t>Plaque in front of totem pole</t>
  </si>
  <si>
    <t>Mailbox tower 1 (number in top left)</t>
  </si>
  <si>
    <t>Columns of mailboxes in tower</t>
  </si>
  <si>
    <t>Date at bottom of plaque</t>
  </si>
  <si>
    <t>Saxe Point Park</t>
  </si>
  <si>
    <t>Fraser St</t>
  </si>
  <si>
    <t>Covered welcome sign by washrooms</t>
  </si>
  <si>
    <t>TRAIL ETIQUETTE, first on list (top left)</t>
  </si>
  <si>
    <t>Leyns Rd at Balmacarra Rd</t>
  </si>
  <si>
    <t>Beach Access Sign</t>
  </si>
  <si>
    <t>Top left symbol</t>
  </si>
  <si>
    <t>Beach access</t>
  </si>
  <si>
    <t>Beacon Hill Park</t>
  </si>
  <si>
    <t>Plaque on stone by picnic shelter</t>
  </si>
  <si>
    <t>Circle Drive</t>
  </si>
  <si>
    <t>30m before Beacon Hill Loop</t>
  </si>
  <si>
    <t>4501 Cordova Bay Rd</t>
  </si>
  <si>
    <t>Mount Douglas Park</t>
  </si>
  <si>
    <t>Welcome sign to right of washrooms</t>
  </si>
  <si>
    <t>Habitat Zone on bottom right</t>
  </si>
  <si>
    <t>Stonehouse Pub</t>
  </si>
  <si>
    <t>2215 Canoe Cove Rd</t>
  </si>
  <si>
    <t>September ______________</t>
  </si>
  <si>
    <t>NO ________________ ALLOWED</t>
  </si>
  <si>
    <t>250-_________ - ____________</t>
  </si>
  <si>
    <t>NO ________________</t>
  </si>
  <si>
    <t>April ________, 1990</t>
  </si>
  <si>
    <t>______________   _______ Rock Outcrop</t>
  </si>
  <si>
    <t>NORTH SAANICH</t>
  </si>
  <si>
    <t>VIEW ROYAL</t>
  </si>
  <si>
    <t>MECHOSIN</t>
  </si>
  <si>
    <t>COLWOOD</t>
  </si>
  <si>
    <t>ESQUIMALT</t>
  </si>
  <si>
    <t>SAANICH</t>
  </si>
  <si>
    <t>VICTORIA</t>
  </si>
  <si>
    <t>SECRET</t>
  </si>
  <si>
    <t>Galloping Goose Regional Park</t>
  </si>
  <si>
    <t>Atkins Rd</t>
  </si>
  <si>
    <t>Bicycle art in front of bench</t>
  </si>
  <si>
    <t>What size?</t>
  </si>
  <si>
    <t>Small        Lifesize        Big</t>
  </si>
  <si>
    <t>Self Sign</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</si>
</sst>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dd/mmm/yy\ hh:mm\ AM/PM"/>
    <numFmt numFmtId="165" formatCode="d/mmm/yy"/>
    <numFmt numFmtId="166" formatCode="dddd"/>
    <numFmt numFmtId="167" formatCode="0.0"/>
    <numFmt numFmtId="168" formatCode="mmmm\ d\,\ yyyy"/>
    <numFmt numFmtId="169" formatCode="[&lt;=9999999]###\-####;\(###\)\ ###\-####"/>
  </numFmts>
  <fonts count="33" x14ac:knownFonts="1">
    <font>
      <sz val="10"/>
      <name val="Arial"/>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0"/>
      <name val="Arial"/>
      <family val="2"/>
    </font>
    <font>
      <sz val="12"/>
      <name val="Arial"/>
      <family val="2"/>
    </font>
    <font>
      <sz val="14"/>
      <name val="Arial"/>
      <family val="2"/>
    </font>
    <font>
      <sz val="20"/>
      <name val="Arial"/>
      <family val="2"/>
    </font>
    <font>
      <sz val="36"/>
      <name val="Arial"/>
      <family val="2"/>
    </font>
    <font>
      <sz val="16"/>
      <name val="Arial"/>
      <family val="2"/>
    </font>
    <font>
      <i/>
      <sz val="14"/>
      <name val="Arial"/>
      <family val="2"/>
    </font>
    <font>
      <sz val="18"/>
      <name val="Arial"/>
      <family val="2"/>
    </font>
    <font>
      <sz val="14"/>
      <name val="Arial Narrow"/>
      <family val="2"/>
    </font>
    <font>
      <b/>
      <sz val="14"/>
      <name val="Arial Narrow"/>
      <family val="2"/>
    </font>
    <font>
      <b/>
      <sz val="16"/>
      <name val="Arial Narrow"/>
      <family val="2"/>
    </font>
    <font>
      <sz val="8"/>
      <name val="Arial"/>
      <family val="2"/>
    </font>
    <font>
      <u/>
      <sz val="10"/>
      <color theme="10"/>
      <name val="Arial"/>
      <family val="2"/>
    </font>
    <font>
      <u/>
      <sz val="10"/>
      <color theme="11"/>
      <name val="Arial"/>
      <family val="2"/>
    </font>
    <font>
      <b/>
      <sz val="16"/>
      <name val="Arial"/>
      <family val="2"/>
    </font>
    <font>
      <sz val="8"/>
      <color rgb="FF000000"/>
      <name val="Tahoma"/>
      <family val="2"/>
    </font>
    <font>
      <i/>
      <sz val="16"/>
      <name val="Arial"/>
      <family val="2"/>
    </font>
    <font>
      <b/>
      <i/>
      <sz val="16"/>
      <name val="Arial"/>
      <family val="2"/>
    </font>
    <font>
      <sz val="16"/>
      <name val="Arial Narrow"/>
      <family val="2"/>
    </font>
    <font>
      <sz val="11"/>
      <color theme="1"/>
      <name val="Calibri"/>
      <family val="2"/>
      <scheme val="minor"/>
    </font>
    <font>
      <sz val="10"/>
      <color rgb="FF000000"/>
      <name val="Tahoma"/>
      <family val="2"/>
    </font>
    <font>
      <b/>
      <sz val="10"/>
      <color rgb="FF000000"/>
      <name val="Tahoma"/>
      <family val="2"/>
    </font>
    <font>
      <sz val="10"/>
      <name val="Arial Narrow"/>
      <family val="2"/>
    </font>
    <font>
      <sz val="10"/>
      <color rgb="FFFF0000"/>
      <name val="Arial"/>
      <family val="2"/>
    </font>
    <font>
      <sz val="20"/>
      <color theme="0" tint="-0.249977111117893"/>
      <name val="Impact"/>
      <family val="2"/>
    </font>
    <font>
      <sz val="16"/>
      <color rgb="FFFF0000"/>
      <name val="Arial"/>
      <family val="2"/>
    </font>
    <font>
      <sz val="9"/>
      <name val="Arial"/>
      <family val="2"/>
    </font>
    <font>
      <sz val="11"/>
      <name val="Arial Narrow"/>
      <family val="2"/>
    </font>
  </fonts>
  <fills count="3">
    <fill>
      <patternFill patternType="none"/>
    </fill>
    <fill>
      <patternFill patternType="gray125"/>
    </fill>
    <fill>
      <patternFill patternType="solid">
        <fgColor indexed="22"/>
        <bgColor indexed="64"/>
      </patternFill>
    </fill>
  </fills>
  <borders count="30">
    <border>
      <start/>
      <end/>
      <top/>
      <bottom/>
      <diagonal/>
    </border>
    <border>
      <start style="medium">
        <color auto="1"/>
      </start>
      <end style="medium">
        <color auto="1"/>
      </end>
      <top style="medium">
        <color auto="1"/>
      </top>
      <bottom style="thin">
        <color auto="1"/>
      </bottom>
      <diagonal/>
    </border>
    <border>
      <start/>
      <end style="medium">
        <color auto="1"/>
      </end>
      <top style="medium">
        <color auto="1"/>
      </top>
      <bottom style="thin">
        <color auto="1"/>
      </bottom>
      <diagonal/>
    </border>
    <border>
      <start style="medium">
        <color auto="1"/>
      </start>
      <end style="medium">
        <color auto="1"/>
      </end>
      <top/>
      <bottom style="thin">
        <color auto="1"/>
      </bottom>
      <diagonal/>
    </border>
    <border>
      <start/>
      <end style="medium">
        <color auto="1"/>
      </end>
      <top/>
      <bottom style="thin">
        <color auto="1"/>
      </bottom>
      <diagonal/>
    </border>
    <border>
      <start/>
      <end/>
      <top style="medium">
        <color auto="1"/>
      </top>
      <bottom style="medium">
        <color auto="1"/>
      </bottom>
      <diagonal/>
    </border>
    <border>
      <start style="medium">
        <color auto="1"/>
      </start>
      <end/>
      <top/>
      <bottom/>
      <diagonal/>
    </border>
    <border>
      <start style="medium">
        <color auto="1"/>
      </start>
      <end style="medium">
        <color auto="1"/>
      </end>
      <top/>
      <bottom style="medium">
        <color auto="1"/>
      </bottom>
      <diagonal/>
    </border>
    <border>
      <start/>
      <end style="medium">
        <color auto="1"/>
      </end>
      <top/>
      <bottom style="medium">
        <color auto="1"/>
      </bottom>
      <diagonal/>
    </border>
    <border>
      <start style="medium">
        <color auto="1"/>
      </start>
      <end/>
      <top style="medium">
        <color auto="1"/>
      </top>
      <bottom style="medium">
        <color auto="1"/>
      </bottom>
      <diagonal/>
    </border>
    <border>
      <start/>
      <end style="medium">
        <color auto="1"/>
      </end>
      <top style="medium">
        <color auto="1"/>
      </top>
      <bottom style="medium">
        <color auto="1"/>
      </bottom>
      <diagonal/>
    </border>
    <border>
      <start style="medium">
        <color auto="1"/>
      </start>
      <end style="thin">
        <color auto="1"/>
      </end>
      <top style="medium">
        <color auto="1"/>
      </top>
      <bottom style="medium">
        <color auto="1"/>
      </bottom>
      <diagonal/>
    </border>
    <border>
      <start/>
      <end style="thin">
        <color auto="1"/>
      </end>
      <top style="medium">
        <color auto="1"/>
      </top>
      <bottom style="medium">
        <color auto="1"/>
      </bottom>
      <diagonal/>
    </border>
    <border>
      <start style="medium">
        <color auto="1"/>
      </start>
      <end style="thin">
        <color auto="1"/>
      </end>
      <top/>
      <bottom style="thin">
        <color auto="1"/>
      </bottom>
      <diagonal/>
    </border>
    <border>
      <start/>
      <end style="thin">
        <color auto="1"/>
      </end>
      <top/>
      <bottom style="thin">
        <color auto="1"/>
      </bottom>
      <diagonal/>
    </border>
    <border>
      <start style="medium">
        <color auto="1"/>
      </start>
      <end style="medium">
        <color auto="1"/>
      </end>
      <top style="medium">
        <color auto="1"/>
      </top>
      <bottom style="medium">
        <color auto="1"/>
      </bottom>
      <diagonal/>
    </border>
    <border>
      <start style="medium">
        <color auto="1"/>
      </start>
      <end style="medium">
        <color auto="1"/>
      </end>
      <top/>
      <bottom/>
      <diagonal/>
    </border>
    <border>
      <start/>
      <end style="medium">
        <color auto="1"/>
      </end>
      <top/>
      <bottom/>
      <diagonal/>
    </border>
    <border>
      <start/>
      <end/>
      <top/>
      <bottom style="medium">
        <color auto="1"/>
      </bottom>
      <diagonal/>
    </border>
    <border>
      <start style="medium">
        <color auto="1"/>
      </start>
      <end/>
      <top style="medium">
        <color auto="1"/>
      </top>
      <bottom/>
      <diagonal/>
    </border>
    <border>
      <start/>
      <end/>
      <top style="medium">
        <color auto="1"/>
      </top>
      <bottom/>
      <diagonal/>
    </border>
    <border>
      <start/>
      <end style="medium">
        <color auto="1"/>
      </end>
      <top style="medium">
        <color auto="1"/>
      </top>
      <bottom/>
      <diagonal/>
    </border>
    <border>
      <start style="medium">
        <color auto="1"/>
      </start>
      <end/>
      <top/>
      <bottom style="medium">
        <color auto="1"/>
      </bottom>
      <diagonal/>
    </border>
    <border>
      <start/>
      <end style="medium">
        <color auto="1"/>
      </end>
      <top style="thin">
        <color auto="1"/>
      </top>
      <bottom style="medium">
        <color auto="1"/>
      </bottom>
      <diagonal/>
    </border>
    <border>
      <start style="medium">
        <color auto="1"/>
      </start>
      <end style="thin">
        <color auto="1"/>
      </end>
      <top style="thin">
        <color auto="1"/>
      </top>
      <bottom style="medium">
        <color auto="1"/>
      </bottom>
      <diagonal/>
    </border>
    <border>
      <start/>
      <end style="thin">
        <color auto="1"/>
      </end>
      <top style="thin">
        <color auto="1"/>
      </top>
      <bottom style="medium">
        <color auto="1"/>
      </bottom>
      <diagonal/>
    </border>
    <border>
      <start style="thin">
        <color auto="1"/>
      </start>
      <end style="medium">
        <color auto="1"/>
      </end>
      <top style="medium">
        <color auto="1"/>
      </top>
      <bottom style="medium">
        <color indexed="64"/>
      </bottom>
      <diagonal/>
    </border>
    <border>
      <start style="thin">
        <color indexed="64"/>
      </start>
      <end style="thin">
        <color indexed="64"/>
      </end>
      <top style="thin">
        <color indexed="64"/>
      </top>
      <bottom style="thin">
        <color indexed="64"/>
      </bottom>
      <diagonal/>
    </border>
    <border>
      <start style="medium">
        <color auto="1"/>
      </start>
      <end/>
      <top style="thin">
        <color auto="1"/>
      </top>
      <bottom style="thin">
        <color auto="1"/>
      </bottom>
      <diagonal/>
    </border>
    <border>
      <start style="medium">
        <color auto="1"/>
      </start>
      <end/>
      <top style="medium">
        <color auto="1"/>
      </top>
      <bottom style="thin">
        <color auto="1"/>
      </bottom>
      <diagonal/>
    </border>
  </borders>
  <cellStyleXfs count="356">
    <xf numFmtId="0" fontId="0" fillId="0" borderId="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24" fillId="0" borderId="0"/>
    <xf numFmtId="0" fontId="4" fillId="0" borderId="0"/>
    <xf numFmtId="0" fontId="5" fillId="0" borderId="0"/>
    <xf numFmtId="0" fontId="3" fillId="0" borderId="0"/>
    <xf numFmtId="0" fontId="2" fillId="0" borderId="0"/>
    <xf numFmtId="0" fontId="1" fillId="0" borderId="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cellStyleXfs>
  <cellXfs count="143">
    <xf numFmtId="0" fontId="0" fillId="0" borderId="0" xfId="0"/>
    <xf numFmtId="0" fontId="0" fillId="0" borderId="16" xfId="0" applyBorder="1"/>
    <xf numFmtId="0" fontId="0" fillId="0" borderId="0" xfId="0" applyAlignment="1">
      <alignment horizontal="right"/>
    </xf>
    <xf numFmtId="0" fontId="0" fillId="0" borderId="0" xfId="0" applyProtection="1">
      <protection hidden="1"/>
    </xf>
    <xf numFmtId="164" fontId="0" fillId="0" borderId="0" xfId="0" applyNumberFormat="1"/>
    <xf numFmtId="164" fontId="0" fillId="0" borderId="0" xfId="0" applyNumberFormat="1" applyAlignment="1">
      <alignment horizontal="center" vertical="center" wrapText="1"/>
    </xf>
    <xf numFmtId="0" fontId="0" fillId="2" borderId="11" xfId="0" applyFill="1" applyBorder="1"/>
    <xf numFmtId="0" fontId="0" fillId="2" borderId="12" xfId="0" applyFill="1" applyBorder="1"/>
    <xf numFmtId="0" fontId="0" fillId="2" borderId="10" xfId="0" applyFill="1" applyBorder="1"/>
    <xf numFmtId="0" fontId="7" fillId="2" borderId="15" xfId="0" applyFont="1" applyFill="1" applyBorder="1" applyAlignment="1">
      <alignment horizontal="center"/>
    </xf>
    <xf numFmtId="0" fontId="0" fillId="2" borderId="7" xfId="0" applyFill="1" applyBorder="1" applyAlignment="1">
      <alignment horizontal="right"/>
    </xf>
    <xf numFmtId="0" fontId="0" fillId="2" borderId="1" xfId="0" applyFill="1" applyBorder="1" applyAlignment="1">
      <alignment horizontal="right"/>
    </xf>
    <xf numFmtId="0" fontId="0" fillId="2" borderId="3" xfId="0" applyFill="1" applyBorder="1" applyAlignment="1">
      <alignment horizontal="right"/>
    </xf>
    <xf numFmtId="0" fontId="0" fillId="2" borderId="4" xfId="0" applyFill="1" applyBorder="1"/>
    <xf numFmtId="0" fontId="0" fillId="0" borderId="0" xfId="0" applyAlignment="1">
      <alignment vertical="top" textRotation="90"/>
    </xf>
    <xf numFmtId="0" fontId="10" fillId="0" borderId="0" xfId="0" applyFont="1"/>
    <xf numFmtId="0" fontId="0" fillId="0" borderId="19" xfId="0" applyBorder="1"/>
    <xf numFmtId="0" fontId="0" fillId="0" borderId="6" xfId="0" applyBorder="1"/>
    <xf numFmtId="0" fontId="0" fillId="0" borderId="20" xfId="0" applyBorder="1"/>
    <xf numFmtId="0" fontId="0" fillId="0" borderId="21" xfId="0" applyBorder="1"/>
    <xf numFmtId="0" fontId="0" fillId="0" borderId="17" xfId="0" applyBorder="1"/>
    <xf numFmtId="0" fontId="0" fillId="0" borderId="0" xfId="0" applyAlignment="1" applyProtection="1">
      <alignment horizontal="centerContinuous"/>
      <protection hidden="1"/>
    </xf>
    <xf numFmtId="0" fontId="0" fillId="0" borderId="0" xfId="0" applyAlignment="1">
      <alignment horizontal="centerContinuous"/>
    </xf>
    <xf numFmtId="167" fontId="0" fillId="0" borderId="13" xfId="0" applyNumberFormat="1" applyBorder="1" applyProtection="1">
      <protection locked="0"/>
    </xf>
    <xf numFmtId="0" fontId="0" fillId="0" borderId="0" xfId="0" applyAlignment="1">
      <alignment horizontal="center"/>
    </xf>
    <xf numFmtId="167" fontId="13" fillId="0" borderId="16" xfId="0" applyNumberFormat="1" applyFont="1" applyBorder="1" applyAlignment="1">
      <alignment horizontal="center" wrapText="1"/>
    </xf>
    <xf numFmtId="166" fontId="13" fillId="0" borderId="16" xfId="0" applyNumberFormat="1" applyFont="1" applyBorder="1" applyAlignment="1">
      <alignment horizontal="center" vertical="center" wrapText="1"/>
    </xf>
    <xf numFmtId="0" fontId="13" fillId="0" borderId="17" xfId="0" applyFont="1" applyBorder="1" applyAlignment="1">
      <alignment horizontal="center" vertical="center"/>
    </xf>
    <xf numFmtId="0" fontId="14" fillId="0" borderId="16" xfId="0" applyFont="1" applyBorder="1" applyAlignment="1">
      <alignment horizontal="center" vertical="center" wrapText="1"/>
    </xf>
    <xf numFmtId="167" fontId="13" fillId="0" borderId="7" xfId="0" applyNumberFormat="1" applyFont="1" applyBorder="1"/>
    <xf numFmtId="165" fontId="13" fillId="0" borderId="7" xfId="0" applyNumberFormat="1" applyFont="1" applyBorder="1" applyAlignment="1">
      <alignment horizontal="center" vertical="center" wrapText="1"/>
    </xf>
    <xf numFmtId="0" fontId="13" fillId="0" borderId="18" xfId="0" applyFont="1" applyBorder="1" applyAlignment="1">
      <alignment horizontal="center" vertical="center"/>
    </xf>
    <xf numFmtId="0" fontId="14" fillId="0" borderId="7" xfId="0" applyFont="1" applyBorder="1" applyAlignment="1">
      <alignment horizontal="center" vertical="center" wrapText="1"/>
    </xf>
    <xf numFmtId="0" fontId="13" fillId="0" borderId="16" xfId="0" applyFont="1" applyBorder="1" applyAlignment="1">
      <alignment horizontal="center" vertical="center"/>
    </xf>
    <xf numFmtId="167" fontId="15" fillId="0" borderId="16" xfId="0" applyNumberFormat="1" applyFont="1" applyBorder="1" applyAlignment="1">
      <alignment horizontal="center" vertical="center"/>
    </xf>
    <xf numFmtId="18" fontId="15" fillId="0" borderId="16" xfId="0" applyNumberFormat="1" applyFont="1" applyBorder="1" applyAlignment="1">
      <alignment horizontal="center" vertical="center" wrapText="1"/>
    </xf>
    <xf numFmtId="0" fontId="15" fillId="0" borderId="16" xfId="0" applyFont="1" applyBorder="1" applyAlignment="1">
      <alignment horizontal="center" vertical="center" wrapText="1"/>
    </xf>
    <xf numFmtId="167" fontId="12" fillId="0" borderId="0" xfId="0" applyNumberFormat="1" applyFont="1" applyAlignment="1">
      <alignment vertical="top"/>
    </xf>
    <xf numFmtId="0" fontId="9" fillId="0" borderId="0" xfId="0" applyFont="1" applyAlignment="1">
      <alignment horizontal="left" vertical="center"/>
    </xf>
    <xf numFmtId="0" fontId="10" fillId="0" borderId="0" xfId="0" applyFont="1" applyAlignment="1">
      <alignment horizontal="left" vertical="center" wrapText="1"/>
    </xf>
    <xf numFmtId="0" fontId="11" fillId="0" borderId="0" xfId="0" applyFont="1" applyAlignment="1">
      <alignment horizontal="center" vertical="justify"/>
    </xf>
    <xf numFmtId="0" fontId="10" fillId="0" borderId="0" xfId="0" applyFont="1" applyAlignment="1">
      <alignment horizontal="right"/>
    </xf>
    <xf numFmtId="0" fontId="10" fillId="0" borderId="0" xfId="0" applyFont="1" applyAlignment="1">
      <alignment horizontal="left"/>
    </xf>
    <xf numFmtId="0" fontId="5" fillId="2" borderId="3" xfId="0" applyFont="1" applyFill="1" applyBorder="1" applyAlignment="1">
      <alignment horizontal="right"/>
    </xf>
    <xf numFmtId="168" fontId="10" fillId="0" borderId="0" xfId="0" applyNumberFormat="1" applyFont="1" applyAlignment="1">
      <alignment horizontal="center"/>
    </xf>
    <xf numFmtId="0" fontId="10" fillId="0" borderId="0" xfId="0" quotePrefix="1" applyFont="1" applyAlignment="1">
      <alignment horizontal="right" vertical="center"/>
    </xf>
    <xf numFmtId="0" fontId="10" fillId="0" borderId="0" xfId="0" applyFont="1" applyAlignment="1">
      <alignment vertical="center"/>
    </xf>
    <xf numFmtId="167" fontId="0" fillId="0" borderId="24" xfId="0" applyNumberFormat="1" applyBorder="1" applyProtection="1">
      <protection locked="0"/>
    </xf>
    <xf numFmtId="0" fontId="14" fillId="0" borderId="16" xfId="0" applyFont="1" applyBorder="1" applyAlignment="1">
      <alignment horizontal="center" vertical="top" wrapText="1"/>
    </xf>
    <xf numFmtId="0" fontId="6" fillId="0" borderId="0" xfId="0" applyFont="1" applyAlignment="1">
      <alignment wrapText="1"/>
    </xf>
    <xf numFmtId="0" fontId="10" fillId="0" borderId="0" xfId="0" applyFont="1" applyAlignment="1">
      <alignment horizontal="center"/>
    </xf>
    <xf numFmtId="18" fontId="23" fillId="0" borderId="0" xfId="0" applyNumberFormat="1" applyFont="1" applyAlignment="1">
      <alignment horizontal="center" wrapText="1"/>
    </xf>
    <xf numFmtId="0" fontId="10" fillId="0" borderId="0" xfId="0" applyFont="1" applyAlignment="1">
      <alignment horizontal="left" vertical="center"/>
    </xf>
    <xf numFmtId="169" fontId="10" fillId="0" borderId="0" xfId="0" applyNumberFormat="1" applyFont="1" applyAlignment="1">
      <alignment horizontal="left" vertical="center"/>
    </xf>
    <xf numFmtId="0" fontId="27" fillId="2" borderId="12" xfId="0" applyFont="1" applyFill="1" applyBorder="1"/>
    <xf numFmtId="0" fontId="27" fillId="2" borderId="10" xfId="0" applyFont="1" applyFill="1" applyBorder="1"/>
    <xf numFmtId="167" fontId="0" fillId="0" borderId="22" xfId="0" applyNumberFormat="1" applyBorder="1" applyProtection="1">
      <protection locked="0"/>
    </xf>
    <xf numFmtId="0" fontId="13" fillId="0" borderId="18" xfId="0" applyFont="1" applyBorder="1" applyProtection="1">
      <protection locked="0"/>
    </xf>
    <xf numFmtId="49" fontId="13" fillId="0" borderId="18" xfId="0" applyNumberFormat="1" applyFont="1" applyBorder="1" applyAlignment="1" applyProtection="1">
      <alignment horizontal="center"/>
      <protection locked="0"/>
    </xf>
    <xf numFmtId="49" fontId="13" fillId="0" borderId="8" xfId="0" applyNumberFormat="1" applyFont="1" applyBorder="1" applyAlignment="1" applyProtection="1">
      <alignment horizontal="center"/>
      <protection locked="0"/>
    </xf>
    <xf numFmtId="0" fontId="13" fillId="0" borderId="2" xfId="0" applyFont="1" applyBorder="1" applyProtection="1">
      <protection locked="0"/>
    </xf>
    <xf numFmtId="1" fontId="13" fillId="0" borderId="4" xfId="0" applyNumberFormat="1" applyFont="1" applyBorder="1" applyProtection="1">
      <protection locked="0"/>
    </xf>
    <xf numFmtId="15" fontId="13" fillId="0" borderId="4" xfId="0" applyNumberFormat="1" applyFont="1" applyBorder="1" applyProtection="1">
      <protection locked="0"/>
    </xf>
    <xf numFmtId="20" fontId="13" fillId="0" borderId="8" xfId="0" applyNumberFormat="1" applyFont="1" applyBorder="1" applyProtection="1">
      <protection locked="0"/>
    </xf>
    <xf numFmtId="0" fontId="28" fillId="0" borderId="0" xfId="0" applyFont="1"/>
    <xf numFmtId="0" fontId="7" fillId="2" borderId="15" xfId="0" applyFont="1" applyFill="1" applyBorder="1" applyAlignment="1">
      <alignment horizontal="center" vertical="center" wrapText="1"/>
    </xf>
    <xf numFmtId="0" fontId="5" fillId="0" borderId="14" xfId="0" applyFont="1" applyBorder="1" applyProtection="1">
      <protection locked="0"/>
    </xf>
    <xf numFmtId="49" fontId="5" fillId="0" borderId="14" xfId="0" applyNumberFormat="1" applyFont="1" applyBorder="1" applyAlignment="1" applyProtection="1">
      <alignment horizontal="center"/>
      <protection locked="0"/>
    </xf>
    <xf numFmtId="49" fontId="5" fillId="0" borderId="4" xfId="0" applyNumberFormat="1" applyFont="1" applyBorder="1" applyAlignment="1" applyProtection="1">
      <alignment horizontal="center"/>
      <protection locked="0"/>
    </xf>
    <xf numFmtId="0" fontId="5" fillId="0" borderId="25" xfId="0" applyFont="1" applyBorder="1" applyProtection="1">
      <protection locked="0"/>
    </xf>
    <xf numFmtId="49" fontId="5" fillId="0" borderId="25" xfId="0" applyNumberFormat="1" applyFont="1" applyBorder="1" applyAlignment="1" applyProtection="1">
      <alignment horizontal="center"/>
      <protection locked="0"/>
    </xf>
    <xf numFmtId="49" fontId="5" fillId="0" borderId="23" xfId="0" applyNumberFormat="1" applyFont="1" applyBorder="1" applyAlignment="1" applyProtection="1">
      <alignment horizontal="center"/>
      <protection locked="0"/>
    </xf>
    <xf numFmtId="167" fontId="0" fillId="0" borderId="0" xfId="0" applyNumberFormat="1"/>
    <xf numFmtId="0" fontId="14" fillId="0" borderId="7" xfId="0" applyFont="1" applyBorder="1" applyAlignment="1">
      <alignment horizontal="center" vertical="top" wrapText="1"/>
    </xf>
    <xf numFmtId="2" fontId="0" fillId="0" borderId="0" xfId="0" applyNumberFormat="1"/>
    <xf numFmtId="0" fontId="9" fillId="0" borderId="0" xfId="0" applyFont="1" applyAlignment="1">
      <alignment horizontal="center" wrapText="1"/>
    </xf>
    <xf numFmtId="0" fontId="9" fillId="0" borderId="0" xfId="0" applyFont="1"/>
    <xf numFmtId="0" fontId="5" fillId="0" borderId="0" xfId="0" applyFont="1"/>
    <xf numFmtId="0" fontId="27" fillId="2" borderId="26" xfId="0" applyFont="1" applyFill="1" applyBorder="1"/>
    <xf numFmtId="0" fontId="0" fillId="2" borderId="28" xfId="0" applyFill="1" applyBorder="1" applyAlignment="1">
      <alignment horizontal="right"/>
    </xf>
    <xf numFmtId="15" fontId="13" fillId="0" borderId="27" xfId="0" applyNumberFormat="1" applyFont="1" applyBorder="1" applyProtection="1">
      <protection locked="0"/>
    </xf>
    <xf numFmtId="0" fontId="5" fillId="2" borderId="29" xfId="0" applyFont="1" applyFill="1" applyBorder="1" applyAlignment="1">
      <alignment horizontal="right"/>
    </xf>
    <xf numFmtId="0" fontId="6" fillId="0" borderId="0" xfId="0" applyFont="1" applyAlignment="1">
      <alignment vertical="top" wrapText="1"/>
    </xf>
    <xf numFmtId="0" fontId="5" fillId="0" borderId="0" xfId="0" applyFont="1" applyAlignment="1">
      <alignment wrapText="1"/>
    </xf>
    <xf numFmtId="0" fontId="0" fillId="0" borderId="0" xfId="0" applyProtection="1">
      <protection locked="0"/>
    </xf>
    <xf numFmtId="0" fontId="14" fillId="0" borderId="16" xfId="0" applyFont="1" applyBorder="1" applyAlignment="1" applyProtection="1">
      <alignment horizontal="center" vertical="center" wrapText="1"/>
      <protection locked="0"/>
    </xf>
    <xf numFmtId="0" fontId="7" fillId="0" borderId="16" xfId="0" applyFont="1" applyBorder="1" applyAlignment="1" applyProtection="1">
      <alignment horizontal="center" wrapText="1"/>
      <protection locked="0"/>
    </xf>
    <xf numFmtId="0" fontId="14" fillId="0" borderId="16" xfId="0" applyFont="1" applyBorder="1" applyAlignment="1" applyProtection="1">
      <alignment horizontal="center" vertical="top" wrapText="1"/>
      <protection locked="0"/>
    </xf>
    <xf numFmtId="0" fontId="14" fillId="0" borderId="7" xfId="0" applyFont="1" applyBorder="1" applyAlignment="1" applyProtection="1">
      <alignment horizontal="center" wrapText="1"/>
      <protection locked="0"/>
    </xf>
    <xf numFmtId="0" fontId="7" fillId="0" borderId="7" xfId="0" applyFont="1" applyBorder="1" applyProtection="1">
      <protection locked="0"/>
    </xf>
    <xf numFmtId="0" fontId="14" fillId="0" borderId="7" xfId="0" applyFont="1" applyBorder="1" applyAlignment="1" applyProtection="1">
      <alignment horizontal="center" vertical="center" wrapText="1"/>
      <protection locked="0"/>
    </xf>
    <xf numFmtId="168" fontId="10" fillId="0" borderId="18" xfId="0" applyNumberFormat="1" applyFont="1" applyBorder="1" applyAlignment="1" applyProtection="1">
      <alignment horizontal="center"/>
      <protection locked="0"/>
    </xf>
    <xf numFmtId="15" fontId="32" fillId="0" borderId="4" xfId="0" applyNumberFormat="1" applyFont="1" applyBorder="1" applyAlignment="1" applyProtection="1">
      <alignment horizontal="center"/>
      <protection locked="0"/>
    </xf>
    <xf numFmtId="0" fontId="31" fillId="2" borderId="29" xfId="0" applyFont="1" applyFill="1" applyBorder="1" applyAlignment="1">
      <alignment horizontal="right"/>
    </xf>
    <xf numFmtId="15" fontId="31" fillId="2" borderId="2" xfId="0" applyNumberFormat="1" applyFont="1" applyFill="1" applyBorder="1" applyAlignment="1">
      <alignment horizontal="left"/>
    </xf>
    <xf numFmtId="0" fontId="31" fillId="0" borderId="0" xfId="0" applyFont="1"/>
    <xf numFmtId="0" fontId="31" fillId="0" borderId="0" xfId="0" applyFont="1" applyAlignment="1">
      <alignment wrapText="1"/>
    </xf>
    <xf numFmtId="167" fontId="0" fillId="0" borderId="13" xfId="0" applyNumberFormat="1" applyBorder="1"/>
    <xf numFmtId="0" fontId="5" fillId="2" borderId="9" xfId="0" applyFont="1" applyFill="1" applyBorder="1" applyAlignment="1">
      <alignment horizontal="center"/>
    </xf>
    <xf numFmtId="0" fontId="0" fillId="2" borderId="5" xfId="0" applyFill="1" applyBorder="1" applyAlignment="1">
      <alignment horizontal="center"/>
    </xf>
    <xf numFmtId="0" fontId="0" fillId="2" borderId="10" xfId="0" applyFill="1" applyBorder="1" applyAlignment="1">
      <alignment horizontal="center"/>
    </xf>
    <xf numFmtId="0" fontId="31" fillId="0" borderId="0" xfId="0" applyFont="1" applyAlignment="1">
      <alignment horizontal="left" vertical="top" wrapText="1"/>
    </xf>
    <xf numFmtId="0" fontId="30" fillId="0" borderId="0" xfId="0" applyFont="1" applyAlignment="1">
      <alignment horizontal="left"/>
    </xf>
    <xf numFmtId="0" fontId="13" fillId="0" borderId="9" xfId="0" applyFont="1" applyBorder="1" applyAlignment="1" applyProtection="1">
      <alignment horizontal="left"/>
      <protection locked="0"/>
    </xf>
    <xf numFmtId="0" fontId="13" fillId="0" borderId="5" xfId="0" applyFont="1" applyBorder="1" applyAlignment="1" applyProtection="1">
      <alignment horizontal="left"/>
      <protection locked="0"/>
    </xf>
    <xf numFmtId="0" fontId="13" fillId="0" borderId="10" xfId="0" applyFont="1" applyBorder="1" applyAlignment="1" applyProtection="1">
      <alignment horizontal="left"/>
      <protection locked="0"/>
    </xf>
    <xf numFmtId="0" fontId="28" fillId="0" borderId="0" xfId="0" applyFont="1" applyAlignment="1">
      <alignment horizontal="right"/>
    </xf>
    <xf numFmtId="0" fontId="0" fillId="2" borderId="9" xfId="0" applyFill="1" applyBorder="1" applyAlignment="1">
      <alignment horizontal="center"/>
    </xf>
    <xf numFmtId="0" fontId="10" fillId="0" borderId="0" xfId="0" applyFont="1" applyAlignment="1">
      <alignment horizontal="right" vertical="center"/>
    </xf>
    <xf numFmtId="0" fontId="6" fillId="0" borderId="0" xfId="0" applyFont="1" applyAlignment="1">
      <alignment horizontal="center" wrapText="1"/>
    </xf>
    <xf numFmtId="0" fontId="10" fillId="0" borderId="0" xfId="0" applyFont="1" applyAlignment="1">
      <alignment horizontal="center" vertical="center"/>
    </xf>
    <xf numFmtId="0" fontId="5" fillId="0" borderId="0" xfId="0" applyFont="1" applyAlignment="1">
      <alignment horizontal="right" vertical="top"/>
    </xf>
    <xf numFmtId="0" fontId="0" fillId="0" borderId="0" xfId="0" applyAlignment="1">
      <alignment horizontal="right" vertical="top"/>
    </xf>
    <xf numFmtId="15" fontId="0" fillId="0" borderId="0" xfId="0" applyNumberFormat="1" applyAlignment="1">
      <alignment horizontal="left" vertical="top"/>
    </xf>
    <xf numFmtId="0" fontId="0" fillId="0" borderId="0" xfId="0" applyAlignment="1">
      <alignment horizontal="left" vertical="top"/>
    </xf>
    <xf numFmtId="0" fontId="21" fillId="0" borderId="18" xfId="0" applyFont="1" applyBorder="1" applyAlignment="1">
      <alignment horizontal="center" vertical="center"/>
    </xf>
    <xf numFmtId="167" fontId="12" fillId="0" borderId="20" xfId="0" applyNumberFormat="1" applyFont="1" applyBorder="1" applyAlignment="1">
      <alignment horizontal="center" vertical="center"/>
    </xf>
    <xf numFmtId="0" fontId="10" fillId="0" borderId="0" xfId="0" applyFont="1" applyAlignment="1">
      <alignment horizontal="center" vertical="center" wrapText="1"/>
    </xf>
    <xf numFmtId="0" fontId="10" fillId="0" borderId="5" xfId="0" applyFont="1" applyBorder="1" applyAlignment="1" applyProtection="1">
      <alignment horizontal="left"/>
      <protection locked="0"/>
    </xf>
    <xf numFmtId="0" fontId="12" fillId="0" borderId="18" xfId="0" applyFont="1" applyBorder="1" applyAlignment="1" applyProtection="1">
      <alignment horizontal="left"/>
      <protection locked="0"/>
    </xf>
    <xf numFmtId="168" fontId="10" fillId="0" borderId="0" xfId="0" applyNumberFormat="1" applyFont="1" applyAlignment="1">
      <alignment horizontal="left" vertical="center"/>
    </xf>
    <xf numFmtId="0" fontId="10" fillId="0" borderId="18" xfId="0" applyFont="1" applyBorder="1" applyAlignment="1" applyProtection="1">
      <alignment horizontal="left"/>
      <protection locked="0"/>
    </xf>
    <xf numFmtId="0" fontId="5" fillId="0" borderId="22" xfId="0" applyFont="1" applyBorder="1" applyAlignment="1">
      <alignment horizontal="right"/>
    </xf>
    <xf numFmtId="0" fontId="0" fillId="0" borderId="18" xfId="0" applyBorder="1" applyAlignment="1">
      <alignment horizontal="right"/>
    </xf>
    <xf numFmtId="0" fontId="0" fillId="0" borderId="8" xfId="0" applyBorder="1" applyAlignment="1">
      <alignment horizontal="right"/>
    </xf>
    <xf numFmtId="15" fontId="0" fillId="0" borderId="22" xfId="0" applyNumberFormat="1" applyBorder="1" applyAlignment="1">
      <alignment horizontal="left"/>
    </xf>
    <xf numFmtId="0" fontId="0" fillId="0" borderId="18" xfId="0" applyBorder="1" applyAlignment="1">
      <alignment horizontal="left"/>
    </xf>
    <xf numFmtId="0" fontId="0" fillId="0" borderId="8" xfId="0" applyBorder="1" applyAlignment="1">
      <alignment horizontal="left"/>
    </xf>
    <xf numFmtId="0" fontId="10" fillId="0" borderId="18" xfId="0" applyFont="1" applyBorder="1" applyProtection="1">
      <protection locked="0"/>
    </xf>
    <xf numFmtId="168" fontId="10" fillId="0" borderId="18" xfId="0" applyNumberFormat="1" applyFont="1" applyBorder="1" applyAlignment="1" applyProtection="1">
      <alignment horizontal="center"/>
      <protection locked="0"/>
    </xf>
    <xf numFmtId="0" fontId="8" fillId="0" borderId="5" xfId="0" applyFont="1" applyBorder="1" applyAlignment="1" applyProtection="1">
      <alignment horizontal="left"/>
      <protection locked="0"/>
    </xf>
    <xf numFmtId="0" fontId="6" fillId="0" borderId="20" xfId="0" applyFont="1" applyBorder="1" applyAlignment="1">
      <alignment horizontal="center" vertical="top"/>
    </xf>
    <xf numFmtId="0" fontId="9" fillId="0" borderId="0" xfId="0" applyFont="1" applyAlignment="1">
      <alignment horizontal="center"/>
    </xf>
    <xf numFmtId="18" fontId="23" fillId="0" borderId="18" xfId="0" applyNumberFormat="1" applyFont="1" applyBorder="1" applyAlignment="1">
      <alignment horizontal="center" wrapText="1"/>
    </xf>
    <xf numFmtId="0" fontId="19" fillId="0" borderId="0" xfId="0" applyFont="1" applyAlignment="1">
      <alignment horizontal="center" vertical="top"/>
    </xf>
    <xf numFmtId="0" fontId="19" fillId="0" borderId="0" xfId="0" applyFont="1" applyAlignment="1">
      <alignment horizontal="center"/>
    </xf>
    <xf numFmtId="0" fontId="0" fillId="0" borderId="18" xfId="0" applyBorder="1" applyAlignment="1" applyProtection="1">
      <alignment horizontal="left"/>
      <protection locked="0"/>
    </xf>
    <xf numFmtId="0" fontId="29" fillId="0" borderId="18" xfId="0" applyFont="1" applyBorder="1" applyAlignment="1" applyProtection="1">
      <alignment horizontal="left"/>
      <protection locked="0"/>
    </xf>
    <xf numFmtId="0" fontId="7" fillId="0" borderId="18" xfId="0" applyFont="1" applyBorder="1" applyAlignment="1" applyProtection="1">
      <alignment horizontal="center" wrapText="1"/>
      <protection locked="0"/>
    </xf>
    <xf numFmtId="168" fontId="10" fillId="0" borderId="18" xfId="0" applyNumberFormat="1" applyFont="1" applyBorder="1" applyAlignment="1" applyProtection="1">
      <alignment horizontal="left"/>
      <protection locked="0"/>
    </xf>
    <xf numFmtId="169" fontId="12" fillId="0" borderId="5" xfId="0" applyNumberFormat="1" applyFont="1" applyBorder="1" applyAlignment="1" applyProtection="1">
      <alignment horizontal="left"/>
      <protection locked="0"/>
    </xf>
    <xf numFmtId="168" fontId="10" fillId="0" borderId="18" xfId="0" applyNumberFormat="1" applyFont="1" applyBorder="1" applyAlignment="1">
      <alignment horizontal="center"/>
    </xf>
    <xf numFmtId="0" fontId="7" fillId="0" borderId="18" xfId="0" applyFont="1" applyBorder="1" applyAlignment="1" applyProtection="1">
      <alignment horizontal="left" wrapText="1"/>
      <protection locked="0"/>
    </xf>
  </cellXfs>
  <cellStyles count="356">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9" builtinId="9" hidden="1"/>
    <cellStyle name="Followed Hyperlink" xfId="291" builtinId="9" hidden="1"/>
    <cellStyle name="Followed Hyperlink" xfId="293" builtinId="9" hidden="1"/>
    <cellStyle name="Followed Hyperlink" xfId="295" builtinId="9" hidden="1"/>
    <cellStyle name="Followed Hyperlink" xfId="297" builtinId="9" hidden="1"/>
    <cellStyle name="Followed Hyperlink" xfId="299" builtinId="9" hidden="1"/>
    <cellStyle name="Followed Hyperlink" xfId="301" builtinId="9" hidden="1"/>
    <cellStyle name="Followed Hyperlink" xfId="303" builtinId="9" hidden="1"/>
    <cellStyle name="Followed Hyperlink" xfId="305" builtinId="9" hidden="1"/>
    <cellStyle name="Followed Hyperlink" xfId="307" builtinId="9" hidden="1"/>
    <cellStyle name="Followed Hyperlink" xfId="309" builtinId="9" hidden="1"/>
    <cellStyle name="Followed Hyperlink" xfId="311" builtinId="9" hidden="1"/>
    <cellStyle name="Followed Hyperlink" xfId="313" builtinId="9" hidden="1"/>
    <cellStyle name="Followed Hyperlink" xfId="315" builtinId="9" hidden="1"/>
    <cellStyle name="Followed Hyperlink" xfId="317" builtinId="9" hidden="1"/>
    <cellStyle name="Followed Hyperlink" xfId="319" builtinId="9" hidden="1"/>
    <cellStyle name="Followed Hyperlink" xfId="321" builtinId="9" hidden="1"/>
    <cellStyle name="Followed Hyperlink" xfId="323" builtinId="9" hidden="1"/>
    <cellStyle name="Followed Hyperlink" xfId="325" builtinId="9" hidden="1"/>
    <cellStyle name="Followed Hyperlink" xfId="327" builtinId="9" hidden="1"/>
    <cellStyle name="Followed Hyperlink" xfId="329" builtinId="9" hidden="1"/>
    <cellStyle name="Followed Hyperlink" xfId="331" builtinId="9" hidden="1"/>
    <cellStyle name="Followed Hyperlink" xfId="333" builtinId="9" hidden="1"/>
    <cellStyle name="Followed Hyperlink" xfId="335" builtinId="9" hidden="1"/>
    <cellStyle name="Followed Hyperlink" xfId="337" builtinId="9" hidden="1"/>
    <cellStyle name="Followed Hyperlink" xfId="339" builtinId="9" hidden="1"/>
    <cellStyle name="Followed Hyperlink" xfId="341" builtinId="9" hidden="1"/>
    <cellStyle name="Followed Hyperlink" xfId="343" builtinId="9" hidden="1"/>
    <cellStyle name="Followed Hyperlink" xfId="345" builtinId="9" hidden="1"/>
    <cellStyle name="Followed Hyperlink" xfId="347" builtinId="9" hidden="1"/>
    <cellStyle name="Followed Hyperlink" xfId="349" builtinId="9" hidden="1"/>
    <cellStyle name="Followed Hyperlink" xfId="351" builtinId="9" hidden="1"/>
    <cellStyle name="Followed Hyperlink" xfId="353" builtinId="9" hidden="1"/>
    <cellStyle name="Followed Hyperlink" xfId="355"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288" builtinId="8" hidden="1"/>
    <cellStyle name="Hyperlink" xfId="290" builtinId="8" hidden="1"/>
    <cellStyle name="Hyperlink" xfId="292" builtinId="8" hidden="1"/>
    <cellStyle name="Hyperlink" xfId="294" builtinId="8" hidden="1"/>
    <cellStyle name="Hyperlink" xfId="296" builtinId="8" hidden="1"/>
    <cellStyle name="Hyperlink" xfId="298" builtinId="8" hidden="1"/>
    <cellStyle name="Hyperlink" xfId="300" builtinId="8" hidden="1"/>
    <cellStyle name="Hyperlink" xfId="302" builtinId="8" hidden="1"/>
    <cellStyle name="Hyperlink" xfId="304" builtinId="8" hidden="1"/>
    <cellStyle name="Hyperlink" xfId="306" builtinId="8" hidden="1"/>
    <cellStyle name="Hyperlink" xfId="308" builtinId="8" hidden="1"/>
    <cellStyle name="Hyperlink" xfId="310" builtinId="8" hidden="1"/>
    <cellStyle name="Hyperlink" xfId="312" builtinId="8" hidden="1"/>
    <cellStyle name="Hyperlink" xfId="314" builtinId="8" hidden="1"/>
    <cellStyle name="Hyperlink" xfId="316" builtinId="8" hidden="1"/>
    <cellStyle name="Hyperlink" xfId="318" builtinId="8" hidden="1"/>
    <cellStyle name="Hyperlink" xfId="320" builtinId="8" hidden="1"/>
    <cellStyle name="Hyperlink" xfId="322" builtinId="8" hidden="1"/>
    <cellStyle name="Hyperlink" xfId="324" builtinId="8" hidden="1"/>
    <cellStyle name="Hyperlink" xfId="326" builtinId="8" hidden="1"/>
    <cellStyle name="Hyperlink" xfId="328" builtinId="8" hidden="1"/>
    <cellStyle name="Hyperlink" xfId="330" builtinId="8" hidden="1"/>
    <cellStyle name="Hyperlink" xfId="332" builtinId="8" hidden="1"/>
    <cellStyle name="Hyperlink" xfId="334" builtinId="8" hidden="1"/>
    <cellStyle name="Hyperlink" xfId="336" builtinId="8" hidden="1"/>
    <cellStyle name="Hyperlink" xfId="338" builtinId="8" hidden="1"/>
    <cellStyle name="Hyperlink" xfId="340" builtinId="8" hidden="1"/>
    <cellStyle name="Hyperlink" xfId="342" builtinId="8" hidden="1"/>
    <cellStyle name="Hyperlink" xfId="344" builtinId="8" hidden="1"/>
    <cellStyle name="Hyperlink" xfId="346" builtinId="8" hidden="1"/>
    <cellStyle name="Hyperlink" xfId="348" builtinId="8" hidden="1"/>
    <cellStyle name="Hyperlink" xfId="350" builtinId="8" hidden="1"/>
    <cellStyle name="Hyperlink" xfId="352" builtinId="8" hidden="1"/>
    <cellStyle name="Hyperlink" xfId="354" builtinId="8" hidden="1"/>
    <cellStyle name="Normal" xfId="0" builtinId="0"/>
    <cellStyle name="Normal 2" xfId="282" xr:uid="{00000000-0005-0000-0000-00005E010000}"/>
    <cellStyle name="Normal 3" xfId="283" xr:uid="{00000000-0005-0000-0000-00005F010000}"/>
    <cellStyle name="Normal 3 2" xfId="285" xr:uid="{00000000-0005-0000-0000-000060010000}"/>
    <cellStyle name="Normal 3 2 2" xfId="286" xr:uid="{00000000-0005-0000-0000-000061010000}"/>
    <cellStyle name="Normal 3 2 3" xfId="287" xr:uid="{00000000-0005-0000-0000-000062010000}"/>
    <cellStyle name="Normal 4" xfId="284" xr:uid="{00000000-0005-0000-0000-000063010000}"/>
  </cellStyles>
  <dxfs count="15">
    <dxf>
      <font>
        <color theme="0"/>
      </font>
      <fill>
        <patternFill patternType="none">
          <bgColor auto="1"/>
        </patternFill>
      </fill>
      <border>
        <start/>
        <end/>
        <top/>
        <bottom/>
      </border>
    </dxf>
    <dxf>
      <font>
        <color theme="0"/>
      </font>
      <fill>
        <patternFill patternType="none">
          <bgColor auto="1"/>
        </patternFill>
      </fill>
      <border>
        <start/>
        <end/>
        <top/>
        <bottom/>
      </border>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border>
        <start/>
        <end/>
        <top/>
        <bottom/>
      </border>
    </dxf>
    <dxf>
      <font>
        <color theme="0"/>
      </font>
      <fill>
        <patternFill patternType="none">
          <bgColor auto="1"/>
        </patternFill>
      </fill>
      <border>
        <start/>
        <end/>
        <top/>
        <bottom/>
      </border>
    </dxf>
    <dxf>
      <font>
        <color theme="0"/>
      </font>
      <fill>
        <patternFill patternType="none">
          <bgColor auto="1"/>
        </patternFill>
      </fill>
      <border>
        <start/>
        <end/>
        <top/>
        <bottom/>
      </border>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border>
        <start/>
        <end/>
        <top/>
        <bottom/>
      </border>
    </dxf>
    <dxf>
      <font>
        <color theme="0"/>
      </font>
      <fill>
        <patternFill patternType="none">
          <bgColor auto="1"/>
        </patternFill>
      </fill>
      <border>
        <start/>
        <end/>
        <top/>
        <bottom/>
      </border>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border>
        <start/>
        <end/>
        <top/>
        <bottom/>
      </border>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sharedStrings" Target="sharedStrings.xml"/><Relationship Id="rId3" Type="http://purl.oclc.org/ooxml/officeDocument/relationships/worksheet" Target="worksheets/sheet3.xml"/><Relationship Id="rId7" Type="http://purl.oclc.org/ooxml/officeDocument/relationships/styles" Target="style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theme" Target="theme/theme1.xml"/><Relationship Id="rId5" Type="http://purl.oclc.org/ooxml/officeDocument/relationships/worksheet" Target="worksheets/sheet5.xml"/><Relationship Id="rId4" Type="http://purl.oclc.org/ooxml/officeDocument/relationships/worksheet" Target="worksheets/sheet4.xml"/><Relationship Id="rId9" Type="http://purl.oclc.org/ooxml/officeDocument/relationships/calcChain" Target="calcChain.xml"/></Relationships>
</file>

<file path=xl/drawings/_rels/drawing2.xml.rels><?xml version="1.0" encoding="UTF-8" standalone="yes"?>
<Relationships xmlns="http://schemas.openxmlformats.org/package/2006/relationships"><Relationship Id="rId1" Type="http://purl.oclc.org/ooxml/officeDocument/relationships/image" Target="../media/image1.png"/></Relationships>
</file>

<file path=xl/drawings/_rels/drawing3.xml.rels><?xml version="1.0" encoding="UTF-8" standalone="yes"?>
<Relationships xmlns="http://schemas.openxmlformats.org/package/2006/relationships"><Relationship Id="rId1" Type="http://purl.oclc.org/ooxml/officeDocument/relationships/image" Target="../media/image1.png"/></Relationships>
</file>

<file path=xl/drawings/_rels/drawing4.xml.rels><?xml version="1.0" encoding="UTF-8" standalone="yes"?>
<Relationships xmlns="http://schemas.openxmlformats.org/package/2006/relationships"><Relationship Id="rId1" Type="http://purl.oclc.org/ooxml/officeDocument/relationships/image" Target="../media/image1.png"/></Relationships>
</file>

<file path=xl/drawings/_rels/drawing5.xml.rels><?xml version="1.0" encoding="UTF-8" standalone="yes"?>
<Relationships xmlns="http://schemas.openxmlformats.org/package/2006/relationships"><Relationship Id="rId1" Type="http://purl.oclc.org/ooxml/officeDocument/relationships/image" Target="../media/image1.png"/></Relationships>
</file>

<file path=xl/drawings/drawing1.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3</xdr:col>
          <xdr:colOff>165100</xdr:colOff>
          <xdr:row>2</xdr:row>
          <xdr:rowOff>38100</xdr:rowOff>
        </xdr:from>
        <xdr:to>
          <xdr:col>4</xdr:col>
          <xdr:colOff>838200</xdr:colOff>
          <xdr:row>6</xdr:row>
          <xdr:rowOff>165100</xdr:rowOff>
        </xdr:to>
        <xdr:sp macro="" textlink="">
          <xdr:nvSpPr>
            <xdr:cNvPr id="1025" name="Comment 10" hidden="1">
              <a:extLst>
                <a:ext uri="{FF2B5EF4-FFF2-40B4-BE49-F238E27FC236}">
                  <a16:creationId xmlns:a16="http://schemas.microsoft.com/office/drawing/2014/main" id="{892D0CFA-C8BC-E940-A3FD-23F08E09C100}"/>
                </a:ext>
              </a:extLst>
            </xdr:cNvPr>
            <xdr:cNvSpPr txBox="1">
              <a:spLocks noChangeArrowheads="1"/>
            </xdr:cNvSpPr>
          </xdr:nvSpPr>
          <xdr:spPr bwMode="auto">
            <a:xfrm>
              <a:off x="2247900" y="457200"/>
              <a:ext cx="1308100" cy="8636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r>
                <a:rPr lang="en-US" sz="1000" b="0" i="0" u="none" strike="noStrike" baseline="0%">
                  <a:solidFill>
                    <a:srgbClr val="000000"/>
                  </a:solidFill>
                  <a:latin typeface="Tahoma" pitchFamily="2" charset="0"/>
                  <a:ea typeface="Tahoma" pitchFamily="2" charset="0"/>
                  <a:cs typeface="Tahoma" pitchFamily="2" charset="0"/>
                </a:rPr>
                <a:t>Revision date of the brevet details on this sheet</a:t>
              </a:r>
            </a:p>
            <a:p>
              <a:pPr algn="l" rtl="0">
                <a:defRPr sz="1000"/>
              </a:pPr>
              <a:endParaRPr lang="en-US" sz="10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4</xdr:row>
          <xdr:rowOff>38100</xdr:rowOff>
        </xdr:from>
        <xdr:to>
          <xdr:col>4</xdr:col>
          <xdr:colOff>825500</xdr:colOff>
          <xdr:row>7</xdr:row>
          <xdr:rowOff>25400</xdr:rowOff>
        </xdr:to>
        <xdr:sp macro="" textlink="">
          <xdr:nvSpPr>
            <xdr:cNvPr id="1026" name="Comment 7" hidden="1">
              <a:extLst>
                <a:ext uri="{FF2B5EF4-FFF2-40B4-BE49-F238E27FC236}">
                  <a16:creationId xmlns:a16="http://schemas.microsoft.com/office/drawing/2014/main" id="{606E43B6-50B4-7745-A20D-DFC877B1EE5E}"/>
                </a:ext>
              </a:extLst>
            </xdr:cNvPr>
            <xdr:cNvSpPr txBox="1">
              <a:spLocks noChangeArrowheads="1"/>
            </xdr:cNvSpPr>
          </xdr:nvSpPr>
          <xdr:spPr bwMode="auto">
            <a:xfrm>
              <a:off x="2247900" y="787400"/>
              <a:ext cx="1295400" cy="5715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Nominal ACP distance</a:t>
              </a:r>
            </a:p>
            <a:p>
              <a:pPr algn="l" rtl="0">
                <a:defRPr sz="1000"/>
              </a:pP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eg 200, 300, 400, 600</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5</xdr:row>
          <xdr:rowOff>76200</xdr:rowOff>
        </xdr:from>
        <xdr:to>
          <xdr:col>4</xdr:col>
          <xdr:colOff>927100</xdr:colOff>
          <xdr:row>7</xdr:row>
          <xdr:rowOff>114300</xdr:rowOff>
        </xdr:to>
        <xdr:sp macro="" textlink="">
          <xdr:nvSpPr>
            <xdr:cNvPr id="1027" name="Comment 3" hidden="1">
              <a:extLst>
                <a:ext uri="{FF2B5EF4-FFF2-40B4-BE49-F238E27FC236}">
                  <a16:creationId xmlns:a16="http://schemas.microsoft.com/office/drawing/2014/main" id="{0FEC0BB9-891C-9B4A-AA1B-33E7D37540C0}"/>
                </a:ext>
              </a:extLst>
            </xdr:cNvPr>
            <xdr:cNvSpPr txBox="1">
              <a:spLocks noChangeArrowheads="1"/>
            </xdr:cNvSpPr>
          </xdr:nvSpPr>
          <xdr:spPr bwMode="auto">
            <a:xfrm>
              <a:off x="2247900" y="1003300"/>
              <a:ext cx="1397000" cy="444500"/>
            </a:xfrm>
            <a:prstGeom prst="rect">
              <a:avLst/>
            </a:prstGeom>
            <a:solidFill>
              <a:srgbClr val="FFFFA1"/>
            </a:solidFill>
            <a:ln w="9525">
              <a:solidFill>
                <a:srgbClr val="000000"/>
              </a:solidFill>
              <a:miter lim="8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txBody>
            <a:bodyPr vertOverflow="clip" wrap="square" lIns="18288" tIns="18288" rIns="0" bIns="0" anchor="t" upright="1"/>
            <a:lstStyle/>
            <a:p>
              <a:pPr algn="l" rtl="0">
                <a:defRPr sz="1000"/>
              </a:pPr>
              <a:r>
                <a:rPr lang="en-US" sz="800" b="0" i="0" u="none" strike="noStrike" baseline="0%">
                  <a:solidFill>
                    <a:srgbClr val="000000"/>
                  </a:solidFill>
                  <a:latin typeface="Tahoma" pitchFamily="2" charset="0"/>
                  <a:ea typeface="Tahoma" pitchFamily="2" charset="0"/>
                  <a:cs typeface="Tahoma" pitchFamily="2" charset="0"/>
                </a:rPr>
                <a:t>Autocalculated based on ACP specified times</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7</xdr:row>
          <xdr:rowOff>114300</xdr:rowOff>
        </xdr:from>
        <xdr:to>
          <xdr:col>4</xdr:col>
          <xdr:colOff>825500</xdr:colOff>
          <xdr:row>12</xdr:row>
          <xdr:rowOff>203200</xdr:rowOff>
        </xdr:to>
        <xdr:sp macro="" textlink="">
          <xdr:nvSpPr>
            <xdr:cNvPr id="1028" name="Comment 6" hidden="1">
              <a:extLst>
                <a:ext uri="{FF2B5EF4-FFF2-40B4-BE49-F238E27FC236}">
                  <a16:creationId xmlns:a16="http://schemas.microsoft.com/office/drawing/2014/main" id="{47D2DD46-5062-B241-A87A-EAE0EDDAB229}"/>
                </a:ext>
              </a:extLst>
            </xdr:cNvPr>
            <xdr:cNvSpPr txBox="1">
              <a:spLocks noChangeArrowheads="1"/>
            </xdr:cNvSpPr>
          </xdr:nvSpPr>
          <xdr:spPr bwMode="auto">
            <a:xfrm>
              <a:off x="2247900" y="1447800"/>
              <a:ext cx="1295400" cy="10922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On event page</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7</xdr:row>
          <xdr:rowOff>63500</xdr:rowOff>
        </xdr:from>
        <xdr:to>
          <xdr:col>4</xdr:col>
          <xdr:colOff>825500</xdr:colOff>
          <xdr:row>12</xdr:row>
          <xdr:rowOff>25400</xdr:rowOff>
        </xdr:to>
        <xdr:sp macro="" textlink="">
          <xdr:nvSpPr>
            <xdr:cNvPr id="1029" name="Comment 4" hidden="1">
              <a:extLst>
                <a:ext uri="{FF2B5EF4-FFF2-40B4-BE49-F238E27FC236}">
                  <a16:creationId xmlns:a16="http://schemas.microsoft.com/office/drawing/2014/main" id="{69CF5B7A-476C-3F40-B4A3-F9543304F3B4}"/>
                </a:ext>
              </a:extLst>
            </xdr:cNvPr>
            <xdr:cNvSpPr txBox="1">
              <a:spLocks noChangeArrowheads="1"/>
            </xdr:cNvSpPr>
          </xdr:nvSpPr>
          <xdr:spPr bwMode="auto">
            <a:xfrm>
              <a:off x="2247900" y="1397000"/>
              <a:ext cx="1295400" cy="9652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Official ACP date</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8</xdr:row>
          <xdr:rowOff>127000</xdr:rowOff>
        </xdr:from>
        <xdr:to>
          <xdr:col>4</xdr:col>
          <xdr:colOff>825500</xdr:colOff>
          <xdr:row>14</xdr:row>
          <xdr:rowOff>127000</xdr:rowOff>
        </xdr:to>
        <xdr:sp macro="" textlink="">
          <xdr:nvSpPr>
            <xdr:cNvPr id="1030" name="Comment 8" hidden="1">
              <a:extLst>
                <a:ext uri="{FF2B5EF4-FFF2-40B4-BE49-F238E27FC236}">
                  <a16:creationId xmlns:a16="http://schemas.microsoft.com/office/drawing/2014/main" id="{6DE3CE5C-B181-4741-93D4-88E2595ADBEE}"/>
                </a:ext>
              </a:extLst>
            </xdr:cNvPr>
            <xdr:cNvSpPr txBox="1">
              <a:spLocks noChangeArrowheads="1"/>
            </xdr:cNvSpPr>
          </xdr:nvSpPr>
          <xdr:spPr bwMode="auto">
            <a:xfrm>
              <a:off x="2247900" y="1701800"/>
              <a:ext cx="1295400" cy="11811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Ride date</a:t>
              </a:r>
            </a:p>
            <a:p>
              <a:pPr algn="l" rtl="0">
                <a:defRPr sz="1000"/>
              </a:pPr>
              <a:endParaRPr lang="en-US" sz="10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11</xdr:row>
          <xdr:rowOff>88900</xdr:rowOff>
        </xdr:from>
        <xdr:to>
          <xdr:col>4</xdr:col>
          <xdr:colOff>838200</xdr:colOff>
          <xdr:row>14</xdr:row>
          <xdr:rowOff>203200</xdr:rowOff>
        </xdr:to>
        <xdr:sp macro="" textlink="">
          <xdr:nvSpPr>
            <xdr:cNvPr id="1031" name="Comment 9" hidden="1">
              <a:extLst>
                <a:ext uri="{FF2B5EF4-FFF2-40B4-BE49-F238E27FC236}">
                  <a16:creationId xmlns:a16="http://schemas.microsoft.com/office/drawing/2014/main" id="{04A7D960-8D6D-7242-AB63-4557550E6336}"/>
                </a:ext>
              </a:extLst>
            </xdr:cNvPr>
            <xdr:cNvSpPr txBox="1">
              <a:spLocks noChangeArrowheads="1"/>
            </xdr:cNvSpPr>
          </xdr:nvSpPr>
          <xdr:spPr bwMode="auto">
            <a:xfrm>
              <a:off x="2247900" y="2197100"/>
              <a:ext cx="1308100" cy="7620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24hr clock format</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hh:mm</a:t>
              </a:r>
            </a:p>
          </xdr:txBody>
        </xdr:sp>
        <xdr:clientData/>
      </xdr:twoCellAnchor>
    </mc:Fallback>
  </mc:AlternateContent>
</xdr:wsDr>
</file>

<file path=xl/drawings/drawing2.xml><?xml version="1.0" encoding="utf-8"?>
<xdr:wsDr xmlns:xdr="http://purl.oclc.org/ooxml/drawingml/spreadsheetDrawing" xmlns:a="http://purl.oclc.org/ooxml/drawingml/main">
  <xdr:twoCellAnchor editAs="oneCell">
    <xdr:from>
      <xdr:col>8</xdr:col>
      <xdr:colOff>660400</xdr:colOff>
      <xdr:row>1</xdr:row>
      <xdr:rowOff>224693</xdr:rowOff>
    </xdr:from>
    <xdr:to>
      <xdr:col>11</xdr:col>
      <xdr:colOff>406400</xdr:colOff>
      <xdr:row>5</xdr:row>
      <xdr:rowOff>275</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purl.oclc.org/ooxml/officeDocument/relationships" r:embed="rId1"/>
        <a:stretch>
          <a:fillRect/>
        </a:stretch>
      </xdr:blipFill>
      <xdr:spPr>
        <a:xfrm>
          <a:off x="11113477" y="485206"/>
          <a:ext cx="1992923" cy="1566607"/>
        </a:xfrm>
        <a:prstGeom prst="rect">
          <a:avLst/>
        </a:prstGeom>
      </xdr:spPr>
    </xdr:pic>
    <xdr:clientData/>
  </xdr:twoCellAnchor>
</xdr:wsDr>
</file>

<file path=xl/drawings/drawing3.xml><?xml version="1.0" encoding="utf-8"?>
<xdr:wsDr xmlns:xdr="http://purl.oclc.org/ooxml/drawingml/spreadsheetDrawing" xmlns:a="http://purl.oclc.org/ooxml/drawingml/main">
  <xdr:twoCellAnchor editAs="oneCell">
    <xdr:from>
      <xdr:col>8</xdr:col>
      <xdr:colOff>660400</xdr:colOff>
      <xdr:row>1</xdr:row>
      <xdr:rowOff>224693</xdr:rowOff>
    </xdr:from>
    <xdr:to>
      <xdr:col>11</xdr:col>
      <xdr:colOff>406400</xdr:colOff>
      <xdr:row>5</xdr:row>
      <xdr:rowOff>275</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purl.oclc.org/ooxml/officeDocument/relationships" r:embed="rId1"/>
        <a:stretch>
          <a:fillRect/>
        </a:stretch>
      </xdr:blipFill>
      <xdr:spPr>
        <a:xfrm>
          <a:off x="11099800" y="465993"/>
          <a:ext cx="2006600" cy="1566282"/>
        </a:xfrm>
        <a:prstGeom prst="rect">
          <a:avLst/>
        </a:prstGeom>
      </xdr:spPr>
    </xdr:pic>
    <xdr:clientData/>
  </xdr:twoCellAnchor>
</xdr:wsDr>
</file>

<file path=xl/drawings/drawing4.xml><?xml version="1.0" encoding="utf-8"?>
<xdr:wsDr xmlns:xdr="http://purl.oclc.org/ooxml/drawingml/spreadsheetDrawing" xmlns:a="http://purl.oclc.org/ooxml/drawingml/main">
  <xdr:twoCellAnchor editAs="oneCell">
    <xdr:from>
      <xdr:col>8</xdr:col>
      <xdr:colOff>660400</xdr:colOff>
      <xdr:row>1</xdr:row>
      <xdr:rowOff>224693</xdr:rowOff>
    </xdr:from>
    <xdr:to>
      <xdr:col>11</xdr:col>
      <xdr:colOff>406400</xdr:colOff>
      <xdr:row>5</xdr:row>
      <xdr:rowOff>275</xdr:rowOff>
    </xdr:to>
    <xdr:pic>
      <xdr:nvPicPr>
        <xdr:cNvPr id="2" name="Picture 1">
          <a:extLst>
            <a:ext uri="{FF2B5EF4-FFF2-40B4-BE49-F238E27FC236}">
              <a16:creationId xmlns:a16="http://schemas.microsoft.com/office/drawing/2014/main" id="{7243A14B-4D96-E346-B75C-AEE5C2592045}"/>
            </a:ext>
          </a:extLst>
        </xdr:cNvPr>
        <xdr:cNvPicPr>
          <a:picLocks noChangeAspect="1"/>
        </xdr:cNvPicPr>
      </xdr:nvPicPr>
      <xdr:blipFill>
        <a:blip xmlns:r="http://purl.oclc.org/ooxml/officeDocument/relationships" r:embed="rId1"/>
        <a:stretch>
          <a:fillRect/>
        </a:stretch>
      </xdr:blipFill>
      <xdr:spPr>
        <a:xfrm>
          <a:off x="11099800" y="491393"/>
          <a:ext cx="2006600" cy="1566282"/>
        </a:xfrm>
        <a:prstGeom prst="rect">
          <a:avLst/>
        </a:prstGeom>
      </xdr:spPr>
    </xdr:pic>
    <xdr:clientData/>
  </xdr:twoCellAnchor>
</xdr:wsDr>
</file>

<file path=xl/drawings/drawing5.xml><?xml version="1.0" encoding="utf-8"?>
<xdr:wsDr xmlns:xdr="http://purl.oclc.org/ooxml/drawingml/spreadsheetDrawing" xmlns:a="http://purl.oclc.org/ooxml/drawingml/main">
  <xdr:twoCellAnchor editAs="oneCell">
    <xdr:from>
      <xdr:col>8</xdr:col>
      <xdr:colOff>660400</xdr:colOff>
      <xdr:row>1</xdr:row>
      <xdr:rowOff>224693</xdr:rowOff>
    </xdr:from>
    <xdr:to>
      <xdr:col>11</xdr:col>
      <xdr:colOff>406400</xdr:colOff>
      <xdr:row>5</xdr:row>
      <xdr:rowOff>275</xdr:rowOff>
    </xdr:to>
    <xdr:pic>
      <xdr:nvPicPr>
        <xdr:cNvPr id="2" name="Picture 1">
          <a:extLst>
            <a:ext uri="{FF2B5EF4-FFF2-40B4-BE49-F238E27FC236}">
              <a16:creationId xmlns:a16="http://schemas.microsoft.com/office/drawing/2014/main" id="{5EEAACE2-AD57-BD48-BB33-9A5E9F368AED}"/>
            </a:ext>
          </a:extLst>
        </xdr:cNvPr>
        <xdr:cNvPicPr>
          <a:picLocks noChangeAspect="1"/>
        </xdr:cNvPicPr>
      </xdr:nvPicPr>
      <xdr:blipFill>
        <a:blip xmlns:r="http://purl.oclc.org/ooxml/officeDocument/relationships" r:embed="rId1"/>
        <a:stretch>
          <a:fillRect/>
        </a:stretch>
      </xdr:blipFill>
      <xdr:spPr>
        <a:xfrm>
          <a:off x="11099800" y="491393"/>
          <a:ext cx="2006600" cy="1566282"/>
        </a:xfrm>
        <a:prstGeom prst="rect">
          <a:avLst/>
        </a:prstGeom>
      </xdr:spPr>
    </xdr:pic>
    <xdr:clientData/>
  </xdr:twoCellAnchor>
</xdr:wsDr>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tint val="100%"/>
                <a:shade val="100%"/>
                <a:satMod val="130%"/>
              </a:schemeClr>
            </a:gs>
            <a:gs pos="100%">
              <a:schemeClr val="phClr">
                <a:tint val="50%"/>
                <a:shade val="100%"/>
                <a:satMod val="350%"/>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purl.oclc.org/ooxml/officeDocument/relationships/comments" Target="../comments1.xml"/><Relationship Id="rId2" Type="http://schemas.openxmlformats.org/officeDocument/2006/relationships/vmlDrawing" Target="../drawings/vmlDrawing1.vml"/><Relationship Id="rId1" Type="http://purl.oclc.org/ooxml/officeDocument/relationships/drawing" Target="../drawings/drawing1.xml"/></Relationships>
</file>

<file path=xl/worksheets/_rels/sheet2.xml.rels><?xml version="1.0" encoding="UTF-8" standalone="yes"?>
<Relationships xmlns="http://schemas.openxmlformats.org/package/2006/relationships"><Relationship Id="rId1" Type="http://purl.oclc.org/ooxml/officeDocument/relationships/drawing" Target="../drawings/drawing2.xml"/></Relationships>
</file>

<file path=xl/worksheets/_rels/sheet3.xml.rels><?xml version="1.0" encoding="UTF-8" standalone="yes"?>
<Relationships xmlns="http://schemas.openxmlformats.org/package/2006/relationships"><Relationship Id="rId1" Type="http://purl.oclc.org/ooxml/officeDocument/relationships/drawing" Target="../drawings/drawing3.xml"/></Relationships>
</file>

<file path=xl/worksheets/_rels/sheet4.xml.rels><?xml version="1.0" encoding="UTF-8" standalone="yes"?>
<Relationships xmlns="http://schemas.openxmlformats.org/package/2006/relationships"><Relationship Id="rId1" Type="http://purl.oclc.org/ooxml/officeDocument/relationships/drawing" Target="../drawings/drawing4.xml"/></Relationships>
</file>

<file path=xl/worksheets/_rels/sheet5.xml.rels><?xml version="1.0" encoding="UTF-8" standalone="yes"?>
<Relationships xmlns="http://schemas.openxmlformats.org/package/2006/relationships"><Relationship Id="rId1" Type="http://purl.oclc.org/ooxml/officeDocument/relationships/drawing" Target="../drawings/drawing5.xml"/></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63"/>
  <sheetViews>
    <sheetView showGridLines="0" tabSelected="1" zoomScale="150" zoomScaleNormal="140" zoomScalePageLayoutView="135" workbookViewId="0">
      <selection activeCell="B6" sqref="B6"/>
    </sheetView>
  </sheetViews>
  <sheetFormatPr baseColWidth="10" defaultColWidth="8.83203125" defaultRowHeight="13" x14ac:dyDescent="0.15"/>
  <cols>
    <col min="1" max="1" width="16.5" style="2" customWidth="1"/>
    <col min="2" max="2" width="10.83203125" customWidth="1"/>
    <col min="3" max="3" width="1" style="3" hidden="1" customWidth="1"/>
    <col min="4" max="4" width="8.33203125" customWidth="1"/>
    <col min="5" max="5" width="17" bestFit="1" customWidth="1"/>
    <col min="6" max="11" width="34.1640625" customWidth="1"/>
    <col min="12" max="15" width="17.83203125" hidden="1" customWidth="1"/>
  </cols>
  <sheetData>
    <row r="1" spans="1:26" ht="20" customHeight="1" x14ac:dyDescent="0.2">
      <c r="A1" s="102" t="s">
        <v>83</v>
      </c>
      <c r="B1" s="102"/>
      <c r="C1" s="102"/>
      <c r="D1" s="102"/>
      <c r="E1" s="102"/>
      <c r="F1" s="102"/>
      <c r="G1" s="102"/>
      <c r="H1" s="102"/>
      <c r="I1" s="77" t="s">
        <v>85</v>
      </c>
      <c r="Q1" s="101" t="s">
        <v>89</v>
      </c>
      <c r="R1" s="101"/>
      <c r="S1" s="101"/>
      <c r="T1" s="101"/>
      <c r="U1" s="101"/>
      <c r="V1" s="101"/>
      <c r="W1" s="101"/>
      <c r="X1" s="101"/>
      <c r="Y1" s="101"/>
      <c r="Z1" s="101"/>
    </row>
    <row r="2" spans="1:26" ht="13" customHeight="1" thickBot="1" x14ac:dyDescent="0.2">
      <c r="H2" s="83"/>
      <c r="I2" s="83"/>
      <c r="Q2" s="101"/>
      <c r="R2" s="101"/>
      <c r="S2" s="101"/>
      <c r="T2" s="101"/>
      <c r="U2" s="101"/>
      <c r="V2" s="101"/>
      <c r="W2" s="101"/>
      <c r="X2" s="101"/>
      <c r="Y2" s="101"/>
      <c r="Z2" s="101"/>
    </row>
    <row r="3" spans="1:26" s="95" customFormat="1" ht="13" customHeight="1" thickBot="1" x14ac:dyDescent="0.2">
      <c r="A3" s="93" t="s">
        <v>82</v>
      </c>
      <c r="B3" s="94" t="d">
        <v>2022-11-09</v>
      </c>
      <c r="H3" s="96"/>
      <c r="I3" s="96"/>
      <c r="Q3" s="101"/>
      <c r="R3" s="101"/>
      <c r="S3" s="101"/>
      <c r="T3" s="101"/>
      <c r="U3" s="101"/>
      <c r="V3" s="101"/>
      <c r="W3" s="101"/>
      <c r="X3" s="101"/>
      <c r="Y3" s="101"/>
      <c r="Z3" s="101"/>
    </row>
    <row r="4" spans="1:26" ht="13" customHeight="1" x14ac:dyDescent="0.15">
      <c r="A4" s="81" t="s">
        <v>86</v>
      </c>
      <c r="B4" s="92" t="d">
        <v>2023-06-18</v>
      </c>
      <c r="C4"/>
      <c r="H4" s="83"/>
      <c r="I4" s="83"/>
      <c r="Q4" s="101"/>
      <c r="R4" s="101"/>
      <c r="S4" s="101"/>
      <c r="T4" s="101"/>
      <c r="U4" s="101"/>
      <c r="V4" s="101"/>
      <c r="W4" s="101"/>
      <c r="X4" s="101"/>
      <c r="Y4" s="101"/>
      <c r="Z4" s="101"/>
    </row>
    <row r="5" spans="1:26" ht="14" thickBot="1" x14ac:dyDescent="0.2">
      <c r="H5" s="83"/>
      <c r="I5" s="83"/>
      <c r="Q5" s="101"/>
      <c r="R5" s="101"/>
      <c r="S5" s="101"/>
      <c r="T5" s="101"/>
      <c r="U5" s="101"/>
      <c r="V5" s="101"/>
      <c r="W5" s="101"/>
      <c r="X5" s="101"/>
      <c r="Y5" s="101"/>
      <c r="Z5" s="101"/>
    </row>
    <row r="6" spans="1:26" ht="18" x14ac:dyDescent="0.2">
      <c r="A6" s="11" t="s">
        <v>18</v>
      </c>
      <c r="B6" s="60">
        <v>200</v>
      </c>
      <c r="C6">
        <f>IF(Brevet_Length&gt;=1200,Brevet_Length,IF(Brevet_Length&gt;=1000,1000,IF(Brevet_Length&gt;=600,600,IF(Brevet_Length&gt;=400,400,IF(Brevet_Length&gt;=300,300,IF(Brevet_Length&gt;=200,200,100))))))</f>
        <v>200</v>
      </c>
      <c r="J6" s="106" t="s">
        <v>63</v>
      </c>
      <c r="K6" s="106"/>
      <c r="Q6" s="64" t="s">
        <v>64</v>
      </c>
      <c r="R6" s="64"/>
      <c r="S6" s="64"/>
      <c r="T6" s="64"/>
      <c r="U6" s="64"/>
      <c r="V6" s="64"/>
      <c r="W6" s="64"/>
    </row>
    <row r="7" spans="1:26" ht="14" thickBot="1" x14ac:dyDescent="0.2">
      <c r="A7" s="12" t="s">
        <v>19</v>
      </c>
      <c r="B7" s="13">
        <f>IF(brevet=1200,90,IF(brevet=1000,75,IF(brevet=600,40,IF(brevet=400,27,IF(brevet=300,20,IF(brevet=200,13.5,IF(brevet=100,7,0)))))))</f>
        <v>13.5</v>
      </c>
      <c r="Q7" t="s">
        <v>65</v>
      </c>
    </row>
    <row r="8" spans="1:26" ht="19" thickBot="1" x14ac:dyDescent="0.25">
      <c r="A8" s="12" t="s">
        <v>20</v>
      </c>
      <c r="B8" s="103" t="s">
        <v>91</v>
      </c>
      <c r="C8" s="104"/>
      <c r="D8" s="104"/>
      <c r="E8" s="104"/>
      <c r="F8" s="104"/>
      <c r="G8" s="104"/>
      <c r="H8" s="105"/>
      <c r="I8" s="24"/>
      <c r="J8" s="24"/>
      <c r="K8" s="24"/>
      <c r="Q8" s="64" t="s">
        <v>66</v>
      </c>
    </row>
    <row r="9" spans="1:26" ht="18" x14ac:dyDescent="0.2">
      <c r="A9" s="12" t="s">
        <v>21</v>
      </c>
      <c r="B9" s="61">
        <v>5273</v>
      </c>
      <c r="C9" s="21"/>
      <c r="F9" s="22"/>
      <c r="G9" s="22"/>
      <c r="H9" s="22"/>
      <c r="I9" s="22"/>
      <c r="J9" s="22"/>
      <c r="K9" s="22"/>
      <c r="Q9" s="64" t="s">
        <v>67</v>
      </c>
    </row>
    <row r="10" spans="1:26" ht="18" x14ac:dyDescent="0.2">
      <c r="A10" s="43" t="s">
        <v>48</v>
      </c>
      <c r="B10" s="62" t="d">
        <v>2023-06-24</v>
      </c>
      <c r="Q10" s="64" t="s">
        <v>68</v>
      </c>
    </row>
    <row r="11" spans="1:26" ht="6" customHeight="1" x14ac:dyDescent="0.15">
      <c r="B11" s="84"/>
    </row>
    <row r="12" spans="1:26" ht="18" customHeight="1" thickBot="1" x14ac:dyDescent="0.25">
      <c r="A12" s="79" t="s">
        <v>22</v>
      </c>
      <c r="B12" s="80" t="d">
        <v>2023-06-24</v>
      </c>
      <c r="Q12" s="64" t="s">
        <v>76</v>
      </c>
    </row>
    <row r="13" spans="1:26" ht="19" thickBot="1" x14ac:dyDescent="0.25">
      <c r="A13" s="10" t="s">
        <v>23</v>
      </c>
      <c r="B13" s="63" t="d">
        <v>07:00:00.0000000000015975</v>
      </c>
      <c r="D13" s="98" t="s">
        <v>81</v>
      </c>
      <c r="E13" s="99"/>
      <c r="F13" s="99"/>
      <c r="G13" s="99"/>
      <c r="H13" s="99"/>
      <c r="I13" s="107" t="s">
        <v>71</v>
      </c>
      <c r="J13" s="99"/>
      <c r="K13" s="100"/>
      <c r="Q13" s="64" t="s">
        <v>75</v>
      </c>
    </row>
    <row r="14" spans="1:26" ht="14" thickBot="1" x14ac:dyDescent="0.2">
      <c r="D14" s="6" t="s">
        <v>24</v>
      </c>
      <c r="E14" s="7" t="s">
        <v>25</v>
      </c>
      <c r="F14" s="54" t="s">
        <v>26</v>
      </c>
      <c r="G14" s="54" t="s">
        <v>27</v>
      </c>
      <c r="H14" s="55" t="s">
        <v>28</v>
      </c>
      <c r="I14" s="7" t="s">
        <v>60</v>
      </c>
      <c r="J14" s="7" t="s">
        <v>61</v>
      </c>
      <c r="K14" s="8" t="s">
        <v>62</v>
      </c>
      <c r="L14" t="s">
        <v>3</v>
      </c>
      <c r="M14" t="s">
        <v>4</v>
      </c>
      <c r="N14" t="s">
        <v>5</v>
      </c>
      <c r="O14" t="s">
        <v>6</v>
      </c>
      <c r="Q14" s="64" t="s">
        <v>69</v>
      </c>
    </row>
    <row r="15" spans="1:26" ht="17" customHeight="1" x14ac:dyDescent="0.15">
      <c r="C15" s="3" t="s">
        <v>7</v>
      </c>
      <c r="D15" s="97">
        <v>0</v>
      </c>
      <c r="E15" s="66" t="s">
        <v>127</v>
      </c>
      <c r="F15" s="67" t="s">
        <v>119</v>
      </c>
      <c r="G15" s="67" t="s">
        <v>120</v>
      </c>
      <c r="H15" s="68"/>
      <c r="I15" s="67"/>
      <c r="J15" s="67"/>
      <c r="K15" s="68"/>
      <c r="L15" s="4" t="d">
        <f>Start_date+Start_time</f>
        <v>2023-06-24T06:59:59.99999979045242400</v>
      </c>
      <c r="M15" s="4" t="d">
        <f>L15+"1:00"</f>
        <v>2023-06-24T07:59:59.99999958090484125</v>
      </c>
      <c r="N15" s="5" t="d">
        <f>IF(ISBLANK(Distance),"",Open Control_1)</f>
        <v>2023-06-24T06:59:59.99999979045242400</v>
      </c>
      <c r="O15" s="5" t="d">
        <f>IF(ISBLANK(Distance),"",Close Control_1)</f>
        <v>2023-06-24T07:59:59.99999958090484125</v>
      </c>
      <c r="Q15" s="64" t="s">
        <v>84</v>
      </c>
    </row>
    <row r="16" spans="1:26" ht="17" customHeight="1" x14ac:dyDescent="0.15">
      <c r="B16" s="72"/>
      <c r="C16" s="3" t="s">
        <v>8</v>
      </c>
      <c r="D16" s="23">
        <v>50.2</v>
      </c>
      <c r="E16" s="66" t="s">
        <v>128</v>
      </c>
      <c r="F16" s="67" t="s">
        <v>135</v>
      </c>
      <c r="G16" s="67" t="s">
        <v>136</v>
      </c>
      <c r="H16" s="68"/>
      <c r="I16" s="67" t="s">
        <v>137</v>
      </c>
      <c r="J16" s="67" t="s">
        <v>138</v>
      </c>
      <c r="K16" s="68" t="s">
        <v>139</v>
      </c>
      <c r="L16">
        <f>IF(ISBLANK(Distance),"",IF(Distance&gt;1000,(Distance-1000)/26+33.0847,(IF(Distance&gt;600,(Distance-600)/28+18.799,(IF(Distance&gt;400,(Distance-400)/30+12.1324,(IF(Distance&gt;200,(Distance-200)/32+5.8824,Distance/34))))))))</f>
        <v>1.4764705882352942</v>
      </c>
      <c r="M16">
        <f t="shared" ref="M16:M24" si="0">IF(ISBLANK(Distance),"",IF(Distance&gt;=brevet,IF(brevet&gt;1200,(brevet-1200)*75/1000+90,Max_time),IF(Distance&gt;1200,(Distance-1200)*75/1000+90,IF(Distance&gt;1000,(Distance-1000)/(1000/75)+75,IF(Distance&gt;600,(Distance-600)/(400/35)+40,IF(Distance&lt;=60,(Distance/20+1),Distance/15))))))</f>
        <v>3.5100000000000002</v>
      </c>
      <c r="N16" s="5" t="d">
        <f>IF(ISBLANK(Distance),"",Open_time Control_1+(INT(Open)&amp;":"&amp;IF(ROUND(((Open-INT(Open))*60),0)&lt;10,0,"")&amp;ROUND(((Open-INT(Open))*60),0)))</f>
        <v>2023-06-24T08:28:59.99999959487468325</v>
      </c>
      <c r="O16" s="5" t="d">
        <f>IF(ISBLANK(Distance),"",Open_time Control_1+(INT(Close)&amp;":"&amp;IF(ROUND(((Close-INT(Close))*60),0)&lt;10,0,"")&amp;ROUND(((Close-INT(Close))*60),0)))</f>
        <v>2023-06-24T10:30:59.999999566935002625</v>
      </c>
      <c r="Q16" s="64" t="s">
        <v>70</v>
      </c>
    </row>
    <row r="17" spans="2:17" ht="17" customHeight="1" x14ac:dyDescent="0.15">
      <c r="B17" s="72">
        <f>D17-D$16</f>
        <v>21.5</v>
      </c>
      <c r="C17" s="3" t="s">
        <v>9</v>
      </c>
      <c r="D17" s="23">
        <v>71.7</v>
      </c>
      <c r="E17" s="66" t="s">
        <v>129</v>
      </c>
      <c r="F17" s="67" t="s">
        <v>94</v>
      </c>
      <c r="G17" s="67" t="s">
        <v>95</v>
      </c>
      <c r="H17" s="68"/>
      <c r="I17" s="67" t="s">
        <v>100</v>
      </c>
      <c r="J17" s="67" t="s">
        <v>101</v>
      </c>
      <c r="K17" s="68" t="s">
        <v>96</v>
      </c>
      <c r="L17">
        <f>IF(ISBLANK(Distance),"",IF(Distance&gt;1000,(Distance-1000)/26+33.0847,(IF(Distance&gt;600,(Distance-600)/28+18.799,(IF(Distance&gt;400,(Distance-400)/30+12.1324,(IF(Distance&gt;200,(Distance-200)/32+5.8824,Distance/34))))))))</f>
        <v>2.1088235294117648</v>
      </c>
      <c r="M17">
        <f t="shared" si="0"/>
        <v>4.78</v>
      </c>
      <c r="N17" s="5" t="d">
        <f>IF(ISBLANK(Distance),"",Open_time Control_1+(INT(Open)&amp;":"&amp;IF(ROUND(((Open-INT(Open))*60),0)&lt;10,0,"")&amp;ROUND(((Open-INT(Open))*60),0)))</f>
        <v>2023-06-24T09:06:59.99999948311597425</v>
      </c>
      <c r="O17" s="5" t="d">
        <f>IF(ISBLANK(Distance),"",Open_time Control_1+(INT(Close)&amp;":"&amp;IF(ROUND(((Close-INT(Close))*60),0)&lt;10,0,"")&amp;ROUND(((Close-INT(Close))*60),0)))</f>
        <v>2023-06-24T11:46:59.99999997206032275</v>
      </c>
    </row>
    <row r="18" spans="2:17" ht="17" customHeight="1" x14ac:dyDescent="0.15">
      <c r="B18" s="72">
        <f t="shared" ref="B18:B23" si="1">D18-D$16</f>
        <v>38.700000000000003</v>
      </c>
      <c r="C18" s="3" t="s">
        <v>10</v>
      </c>
      <c r="D18" s="23">
        <v>88.9</v>
      </c>
      <c r="E18" s="66" t="s">
        <v>130</v>
      </c>
      <c r="F18" s="67" t="s">
        <v>97</v>
      </c>
      <c r="G18" s="67" t="s">
        <v>98</v>
      </c>
      <c r="H18" s="68"/>
      <c r="I18" s="67" t="s">
        <v>99</v>
      </c>
      <c r="J18" s="67" t="s">
        <v>102</v>
      </c>
      <c r="K18" s="68" t="s">
        <v>121</v>
      </c>
      <c r="L18">
        <f t="shared" ref="L18:L24" si="2">IF(ISBLANK(Distance),"",IF(Distance&gt;1000,(Distance-1000)/26+33.0847,(IF(Distance&gt;600,(Distance-600)/28+18.799,(IF(Distance&gt;400,(Distance-400)/30+12.1324,(IF(Distance&gt;200,(Distance-200)/32+5.8824,Distance/34))))))))</f>
        <v>2.6147058823529412</v>
      </c>
      <c r="M18">
        <f t="shared" si="0"/>
        <v>5.9266666666666667</v>
      </c>
      <c r="N18" s="5" t="d">
        <f>IF(ISBLANK(Distance),"",Open_time Control_1+(INT(Open)&amp;":"&amp;IF(ROUND(((Open-INT(Open))*60),0)&lt;10,0,"")&amp;ROUND(((Open-INT(Open))*60),0)))</f>
        <v>2023-06-24T09:36:59.99999969266355025</v>
      </c>
      <c r="O18" s="5" t="d">
        <f>IF(ISBLANK(Distance),"",Open_time Control_1+(INT(Close)&amp;":"&amp;IF(ROUND(((Close-INT(Close))*60),0)&lt;10,0,"")&amp;ROUND(((Close-INT(Close))*60),0)))</f>
        <v>2023-06-24T12:55:59.99999963678419575</v>
      </c>
    </row>
    <row r="19" spans="2:17" ht="17" customHeight="1" x14ac:dyDescent="0.15">
      <c r="B19" s="72">
        <f t="shared" si="1"/>
        <v>51.099999999999994</v>
      </c>
      <c r="C19" s="3" t="s">
        <v>11</v>
      </c>
      <c r="D19" s="23">
        <v>101.3</v>
      </c>
      <c r="E19" s="66" t="s">
        <v>131</v>
      </c>
      <c r="F19" s="67" t="s">
        <v>103</v>
      </c>
      <c r="G19" s="67" t="s">
        <v>104</v>
      </c>
      <c r="H19" s="68"/>
      <c r="I19" s="67" t="s">
        <v>105</v>
      </c>
      <c r="J19" s="67" t="s">
        <v>106</v>
      </c>
      <c r="K19" s="68" t="s">
        <v>122</v>
      </c>
      <c r="L19">
        <f t="shared" si="2"/>
        <v>2.9794117647058824</v>
      </c>
      <c r="M19">
        <f t="shared" si="0"/>
        <v>6.753333333333333</v>
      </c>
      <c r="N19" s="5" t="d">
        <f>IF(ISBLANK(Distance),"",Open_time Control_1+(INT(Open)&amp;":"&amp;IF(ROUND(((Open-INT(Open))*60),0)&lt;10,0,"")&amp;ROUND(((Open-INT(Open))*60),0)))</f>
        <v>2023-06-24T09:58:59.99999959487468325</v>
      </c>
      <c r="O19" s="5" t="d">
        <f>IF(ISBLANK(Distance),"",Open_time Control_1+(INT(Close)&amp;":"&amp;IF(ROUND(((Close-INT(Close))*60),0)&lt;10,0,"")&amp;ROUND(((Close-INT(Close))*60),0)))</f>
        <v>2023-06-24T13:44:59.99999979045242400</v>
      </c>
      <c r="Q19" s="77"/>
    </row>
    <row r="20" spans="2:17" ht="17" customHeight="1" x14ac:dyDescent="0.15">
      <c r="B20" s="72">
        <f t="shared" si="1"/>
        <v>85.999999999999986</v>
      </c>
      <c r="C20" s="3" t="s">
        <v>12</v>
      </c>
      <c r="D20" s="23">
        <v>136.19999999999999</v>
      </c>
      <c r="E20" s="66" t="s">
        <v>132</v>
      </c>
      <c r="F20" s="67" t="s">
        <v>110</v>
      </c>
      <c r="G20" s="67" t="s">
        <v>107</v>
      </c>
      <c r="H20" s="68"/>
      <c r="I20" s="67" t="s">
        <v>108</v>
      </c>
      <c r="J20" s="67" t="s">
        <v>109</v>
      </c>
      <c r="K20" s="68" t="s">
        <v>124</v>
      </c>
      <c r="L20">
        <f t="shared" si="2"/>
        <v>4.0058823529411764</v>
      </c>
      <c r="M20">
        <f t="shared" si="0"/>
        <v>9.08</v>
      </c>
      <c r="N20" s="5" t="d">
        <f>IF(ISBLANK(Distance),"",Open_time Control_1+(INT(Open)&amp;":"&amp;IF(ROUND(((Open-INT(Open))*60),0)&lt;10,0,"")&amp;ROUND(((Open-INT(Open))*60),0)))</f>
        <v>2023-06-24T10:59:59.99999958090484125</v>
      </c>
      <c r="O20" s="5" t="d">
        <f>IF(ISBLANK(Distance),"",Open_time Control_1+(INT(Close)&amp;":"&amp;IF(ROUND(((Close-INT(Close))*60),0)&lt;10,0,"")&amp;ROUND(((Close-INT(Close))*60),0)))</f>
        <v>2023-06-24T16:04:59.99999951105565150</v>
      </c>
    </row>
    <row r="21" spans="2:17" ht="17" customHeight="1" x14ac:dyDescent="0.15">
      <c r="B21" s="72">
        <f t="shared" si="1"/>
        <v>104.10000000000001</v>
      </c>
      <c r="C21" s="3" t="s">
        <v>13</v>
      </c>
      <c r="D21" s="23">
        <v>154.30000000000001</v>
      </c>
      <c r="E21" s="66" t="s">
        <v>133</v>
      </c>
      <c r="F21" s="67" t="s">
        <v>111</v>
      </c>
      <c r="G21" s="67" t="s">
        <v>113</v>
      </c>
      <c r="H21" s="68" t="s">
        <v>114</v>
      </c>
      <c r="I21" s="67" t="s">
        <v>112</v>
      </c>
      <c r="J21" s="67" t="s">
        <v>102</v>
      </c>
      <c r="K21" s="68" t="s">
        <v>125</v>
      </c>
      <c r="L21">
        <f t="shared" si="2"/>
        <v>4.5382352941176478</v>
      </c>
      <c r="M21">
        <f t="shared" si="0"/>
        <v>10.286666666666667</v>
      </c>
      <c r="N21" s="5" t="d">
        <f>IF(ISBLANK(Distance),"",Open_time Control_1+(INT(Open)&amp;":"&amp;IF(ROUND(((Open-INT(Open))*60),0)&lt;10,0,"")&amp;ROUND(((Open-INT(Open))*60),0)))</f>
        <v>2023-06-24T11:31:59.99999955296516400</v>
      </c>
      <c r="O21" s="5" t="d">
        <f>IF(ISBLANK(Distance),"",Open_time Control_1+(INT(Close)&amp;":"&amp;IF(ROUND(((Close-INT(Close))*60),0)&lt;10,0,"")&amp;ROUND(((Close-INT(Close))*60),0)))</f>
        <v>2023-06-24T17:16:59.99999976251274675</v>
      </c>
    </row>
    <row r="22" spans="2:17" ht="17" customHeight="1" x14ac:dyDescent="0.15">
      <c r="B22" s="72">
        <f t="shared" si="1"/>
        <v>121.39999999999999</v>
      </c>
      <c r="C22" s="3" t="s">
        <v>14</v>
      </c>
      <c r="D22" s="23">
        <v>171.6</v>
      </c>
      <c r="E22" s="66" t="s">
        <v>132</v>
      </c>
      <c r="F22" s="67" t="s">
        <v>116</v>
      </c>
      <c r="G22" s="67" t="s">
        <v>115</v>
      </c>
      <c r="H22" s="68"/>
      <c r="I22" s="68" t="s">
        <v>117</v>
      </c>
      <c r="J22" s="67" t="s">
        <v>118</v>
      </c>
      <c r="K22" s="68" t="s">
        <v>126</v>
      </c>
      <c r="L22">
        <f t="shared" si="2"/>
        <v>5.0470588235294116</v>
      </c>
      <c r="M22">
        <f t="shared" si="0"/>
        <v>11.44</v>
      </c>
      <c r="N22" s="5" t="d">
        <f>IF(ISBLANK(Distance),"",Open_time Control_1+(INT(Open)&amp;":"&amp;IF(ROUND(((Open-INT(Open))*60),0)&lt;10,0,"")&amp;ROUND(((Open-INT(Open))*60),0)))</f>
        <v>2023-06-24T12:02:59.9999999580904875</v>
      </c>
      <c r="O22" s="5" t="d">
        <f>IF(ISBLANK(Distance),"",Open_time Control_1+(INT(Close)&amp;":"&amp;IF(ROUND(((Close-INT(Close))*60),0)&lt;10,0,"")&amp;ROUND(((Close-INT(Close))*60),0)))</f>
        <v>2023-06-24T18:26:00.00000005587935450</v>
      </c>
    </row>
    <row r="23" spans="2:17" ht="17" customHeight="1" x14ac:dyDescent="0.15">
      <c r="B23" s="72">
        <f t="shared" si="1"/>
        <v>152.60000000000002</v>
      </c>
      <c r="C23" s="3" t="s">
        <v>15</v>
      </c>
      <c r="D23" s="23">
        <v>202.8</v>
      </c>
      <c r="E23" s="66" t="s">
        <v>127</v>
      </c>
      <c r="F23" s="67" t="s">
        <v>119</v>
      </c>
      <c r="G23" s="67" t="s">
        <v>120</v>
      </c>
      <c r="H23" s="68"/>
      <c r="I23" s="67"/>
      <c r="J23" s="67"/>
      <c r="K23" s="68"/>
      <c r="L23">
        <f t="shared" si="2"/>
        <v>5.9699</v>
      </c>
      <c r="M23">
        <f t="shared" si="0"/>
        <v>13.5</v>
      </c>
      <c r="N23" s="5" t="d">
        <f>IF(ISBLANK(Distance),"",Open_time Control_1+(INT(Open)&amp;":"&amp;IF(ROUND(((Open-INT(Open))*60),0)&lt;10,0,"")&amp;ROUND(((Open-INT(Open))*60),0)))</f>
        <v>2023-06-24T12:58:00.00000002793967725</v>
      </c>
      <c r="O23" s="5" t="d">
        <f>IF(ISBLANK(Distance),"",Open_time Control_1+(INT(Close)&amp;":"&amp;IF(ROUND(((Close-INT(Close))*60),0)&lt;10,0,"")&amp;ROUND(((Close-INT(Close))*60),0)))</f>
        <v>2023-06-24T20:29:59.99999979045242400</v>
      </c>
    </row>
    <row r="24" spans="2:17" ht="17" customHeight="1" thickBot="1" x14ac:dyDescent="0.2">
      <c r="B24" s="72"/>
      <c r="C24" s="3" t="s">
        <v>16</v>
      </c>
      <c r="D24" s="47"/>
      <c r="E24" s="69" t="s">
        <v>134</v>
      </c>
      <c r="F24" s="70"/>
      <c r="G24" s="70"/>
      <c r="H24" s="71"/>
      <c r="I24" s="70"/>
      <c r="J24" s="70"/>
      <c r="K24" s="71"/>
      <c r="L24" t="str">
        <f t="shared" si="2"/>
        <v/>
      </c>
      <c r="M24" t="str">
        <f t="shared" si="0"/>
        <v/>
      </c>
      <c r="N24" s="5" t="str">
        <f>IF(ISBLANK(Distance),"",Open_time Control_1+(INT(Open)&amp;":"&amp;IF(ROUND(((Open-INT(Open))*60),0)&lt;10,0,"")&amp;ROUND(((Open-INT(Open))*60),0)))</f>
        <v/>
      </c>
      <c r="O24" s="5" t="str">
        <f>IF(ISBLANK(Distance),"",Open_time Control_1+(INT(Close)&amp;":"&amp;IF(ROUND(((Close-INT(Close))*60),0)&lt;10,0,"")&amp;ROUND(((Close-INT(Close))*60),0)))</f>
        <v/>
      </c>
    </row>
    <row r="25" spans="2:17" ht="7" customHeight="1" thickBot="1" x14ac:dyDescent="0.25">
      <c r="D25" s="56"/>
      <c r="E25" s="57"/>
      <c r="F25" s="58"/>
      <c r="G25" s="58"/>
      <c r="H25" s="58"/>
      <c r="I25" s="58"/>
      <c r="J25" s="58"/>
      <c r="K25" s="59"/>
      <c r="N25" s="5"/>
      <c r="O25" s="5"/>
    </row>
    <row r="26" spans="2:17" ht="14" thickBot="1" x14ac:dyDescent="0.2">
      <c r="D26" s="98" t="s">
        <v>77</v>
      </c>
      <c r="E26" s="99"/>
      <c r="F26" s="99"/>
      <c r="G26" s="99"/>
      <c r="H26" s="99"/>
      <c r="I26" s="107" t="s">
        <v>72</v>
      </c>
      <c r="J26" s="99"/>
      <c r="K26" s="100"/>
    </row>
    <row r="27" spans="2:17" ht="14" thickBot="1" x14ac:dyDescent="0.2">
      <c r="D27" s="6" t="s">
        <v>24</v>
      </c>
      <c r="E27" s="7" t="s">
        <v>25</v>
      </c>
      <c r="F27" s="54" t="s">
        <v>26</v>
      </c>
      <c r="G27" s="54" t="s">
        <v>27</v>
      </c>
      <c r="H27" s="55" t="s">
        <v>28</v>
      </c>
      <c r="I27" s="7" t="s">
        <v>60</v>
      </c>
      <c r="J27" s="7" t="s">
        <v>61</v>
      </c>
      <c r="K27" s="8" t="s">
        <v>62</v>
      </c>
      <c r="L27" t="s">
        <v>3</v>
      </c>
      <c r="M27" t="s">
        <v>4</v>
      </c>
      <c r="N27" t="s">
        <v>5</v>
      </c>
      <c r="O27" t="s">
        <v>6</v>
      </c>
    </row>
    <row r="28" spans="2:17" ht="17" customHeight="1" x14ac:dyDescent="0.15">
      <c r="D28" s="23">
        <v>0</v>
      </c>
      <c r="E28" s="66" t="s">
        <v>128</v>
      </c>
      <c r="F28" s="67" t="s">
        <v>135</v>
      </c>
      <c r="G28" s="67" t="s">
        <v>136</v>
      </c>
      <c r="H28" s="68"/>
      <c r="I28" s="67" t="s">
        <v>137</v>
      </c>
      <c r="J28" s="67" t="s">
        <v>138</v>
      </c>
      <c r="K28" s="68" t="s">
        <v>139</v>
      </c>
      <c r="L28">
        <f>IF(ISBLANK(D28),"",IF(D28&gt;1000,(D28-1000)/26+33.0847,(IF(D28&gt;600,(D28-600)/28+18.799,(IF(D28&gt;400,(D28-400)/30+12.1324,(IF(D28&gt;200,(D28-200)/32+5.8824,D28/34))))))))</f>
        <v>0</v>
      </c>
      <c r="M28">
        <f t="shared" ref="M28:M37" si="3">IF(ISBLANK(D28),"",IF((D28=0),1,IF(D28&gt;=brevet,IF(brevet&gt;1200,(brevet-1200)*75/1000+90,Max_time),IF(D28&gt;1200,(D28-1200)*75/1000+90,IF(D28&gt;1000,(D28-1000)/(1000/75)+75,IF(D28&gt;600,(D28-600)/(400/35)+40,IF(D28&lt;=60,D28/20+1,D28/15)))))))</f>
        <v>1</v>
      </c>
      <c r="N28" s="5" t="d">
        <f>IF(ISBLANK(D28),"",Open_time Control_1+(INT(L28)&amp;":"&amp;IF(ROUND(((L28-INT(L28))*60),0)&lt;10,0,"")&amp;ROUND(((L28-INT(L28))*60),0)))</f>
        <v>2023-06-24T06:59:59.99999979045242400</v>
      </c>
      <c r="O28" s="5" t="d">
        <f>IF(ISBLANK(D28),"",Open_time Control_1+(INT(M28)&amp;":"&amp;IF(ROUND(((M28-INT(M28))*60),0)&lt;10,0,"")&amp;ROUND(((M28-INT(M28))*60),0)))</f>
        <v>2023-06-24T07:59:59.99999958090484125</v>
      </c>
    </row>
    <row r="29" spans="2:17" ht="17" customHeight="1" x14ac:dyDescent="0.15">
      <c r="D29" s="23">
        <v>21.5</v>
      </c>
      <c r="E29" s="66" t="s">
        <v>129</v>
      </c>
      <c r="F29" s="67" t="s">
        <v>94</v>
      </c>
      <c r="G29" s="67" t="s">
        <v>95</v>
      </c>
      <c r="H29" s="68"/>
      <c r="I29" s="67" t="s">
        <v>100</v>
      </c>
      <c r="J29" s="67" t="s">
        <v>101</v>
      </c>
      <c r="K29" s="68" t="s">
        <v>96</v>
      </c>
      <c r="L29">
        <f t="shared" ref="L29:L37" si="4">IF(ISBLANK(D29),"",IF(D29&gt;1000,(D29-1000)/26+33.0847,(IF(D29&gt;600,(D29-600)/28+18.799,(IF(D29&gt;400,(D29-400)/30+12.1324,(IF(D29&gt;200,(D29-200)/32+5.8824,D29/34))))))))</f>
        <v>0.63235294117647056</v>
      </c>
      <c r="M29">
        <f t="shared" si="3"/>
        <v>2.0750000000000002</v>
      </c>
      <c r="N29" s="5" t="d">
        <f>IF(ISBLANK(D29),"",Open_time Control_1+(INT(L29)&amp;":"&amp;IF(ROUND(((L29-INT(L29))*60),0)&lt;10,0,"")&amp;ROUND(((L29-INT(L29))*60),0)))</f>
        <v>2023-06-24T07:37:59.9999996786937150</v>
      </c>
      <c r="O29" s="5" t="d">
        <f>IF(ISBLANK(D29),"",Open_time Control_1+(INT(M29)&amp;":"&amp;IF(ROUND(((M29-INT(M29))*60),0)&lt;10,0,"")&amp;ROUND(((M29-INT(M29))*60),0)))</f>
        <v>2023-06-24T09:04:59.9999997206032275</v>
      </c>
    </row>
    <row r="30" spans="2:17" ht="17" customHeight="1" x14ac:dyDescent="0.15">
      <c r="D30" s="23">
        <v>38.700000000000003</v>
      </c>
      <c r="E30" s="66" t="s">
        <v>130</v>
      </c>
      <c r="F30" s="67" t="s">
        <v>97</v>
      </c>
      <c r="G30" s="67" t="s">
        <v>98</v>
      </c>
      <c r="H30" s="68"/>
      <c r="I30" s="67" t="s">
        <v>99</v>
      </c>
      <c r="J30" s="67" t="s">
        <v>102</v>
      </c>
      <c r="K30" s="68" t="s">
        <v>121</v>
      </c>
      <c r="L30">
        <f t="shared" si="4"/>
        <v>1.1382352941176472</v>
      </c>
      <c r="M30">
        <f t="shared" si="3"/>
        <v>2.9350000000000001</v>
      </c>
      <c r="N30" s="5" t="d">
        <f>IF(ISBLANK(D30),"",Open_time Control_1+(INT(L30)&amp;":"&amp;IF(ROUND(((L30-INT(L30))*60),0)&lt;10,0,"")&amp;ROUND(((L30-INT(L30))*60),0)))</f>
        <v>2023-06-24T08:07:59.99999988824129100</v>
      </c>
      <c r="O30" s="5" t="d">
        <f>IF(ISBLANK(D30),"",Open_time Control_1+(INT(M30)&amp;":"&amp;IF(ROUND(((M30-INT(M30))*60),0)&lt;10,0,"")&amp;ROUND(((M30-INT(M30))*60),0)))</f>
        <v>2023-06-24T09:55:59.99999963678419575</v>
      </c>
    </row>
    <row r="31" spans="2:17" ht="17" customHeight="1" x14ac:dyDescent="0.15">
      <c r="D31" s="23">
        <v>51.099999999999994</v>
      </c>
      <c r="E31" s="66" t="s">
        <v>131</v>
      </c>
      <c r="F31" s="67" t="s">
        <v>103</v>
      </c>
      <c r="G31" s="67" t="s">
        <v>104</v>
      </c>
      <c r="H31" s="68"/>
      <c r="I31" s="67" t="s">
        <v>105</v>
      </c>
      <c r="J31" s="67" t="s">
        <v>106</v>
      </c>
      <c r="K31" s="68" t="s">
        <v>122</v>
      </c>
      <c r="L31">
        <f t="shared" si="4"/>
        <v>1.502941176470588</v>
      </c>
      <c r="M31">
        <f t="shared" si="3"/>
        <v>3.5549999999999997</v>
      </c>
      <c r="N31" s="5" t="d">
        <f>IF(ISBLANK(D31),"",Open_time Control_1+(INT(L31)&amp;":"&amp;IF(ROUND(((L31-INT(L31))*60),0)&lt;10,0,"")&amp;ROUND(((L31-INT(L31))*60),0)))</f>
        <v>2023-06-24T08:29:59.99999979045242400</v>
      </c>
      <c r="O31" s="5" t="d">
        <f>IF(ISBLANK(D31),"",Open_time Control_1+(INT(M31)&amp;":"&amp;IF(ROUND(((M31-INT(M31))*60),0)&lt;10,0,"")&amp;ROUND(((M31-INT(M31))*60),0)))</f>
        <v>2023-06-24T10:32:59.9999999580904875</v>
      </c>
    </row>
    <row r="32" spans="2:17" ht="17" customHeight="1" x14ac:dyDescent="0.15">
      <c r="D32" s="23">
        <v>85.999999999999986</v>
      </c>
      <c r="E32" s="66" t="s">
        <v>132</v>
      </c>
      <c r="F32" s="67" t="s">
        <v>110</v>
      </c>
      <c r="G32" s="67" t="s">
        <v>107</v>
      </c>
      <c r="H32" s="68"/>
      <c r="I32" s="67" t="s">
        <v>108</v>
      </c>
      <c r="J32" s="67" t="s">
        <v>109</v>
      </c>
      <c r="K32" s="68" t="s">
        <v>124</v>
      </c>
      <c r="L32">
        <f t="shared" si="4"/>
        <v>2.5294117647058818</v>
      </c>
      <c r="M32">
        <f t="shared" si="3"/>
        <v>5.7333333333333325</v>
      </c>
      <c r="N32" s="5" t="d">
        <f>IF(ISBLANK(D32),"",Open_time Control_1+(INT(L32)&amp;":"&amp;IF(ROUND(((L32-INT(L32))*60),0)&lt;10,0,"")&amp;ROUND(((L32-INT(L32))*60),0)))</f>
        <v>2023-06-24T09:31:59.99999997206032275</v>
      </c>
      <c r="O32" s="5" t="d">
        <f>IF(ISBLANK(D32),"",Open_time Control_1+(INT(M32)&amp;":"&amp;IF(ROUND(((M32-INT(M32))*60),0)&lt;10,0,"")&amp;ROUND(((M32-INT(M32))*60),0)))</f>
        <v>2023-06-24T12:43:59.99999980442225925</v>
      </c>
    </row>
    <row r="33" spans="4:15" ht="17" customHeight="1" x14ac:dyDescent="0.15">
      <c r="D33" s="23">
        <v>104.10000000000001</v>
      </c>
      <c r="E33" s="66" t="s">
        <v>133</v>
      </c>
      <c r="F33" s="67" t="s">
        <v>111</v>
      </c>
      <c r="G33" s="67" t="s">
        <v>113</v>
      </c>
      <c r="H33" s="68" t="s">
        <v>114</v>
      </c>
      <c r="I33" s="67" t="s">
        <v>112</v>
      </c>
      <c r="J33" s="67" t="s">
        <v>102</v>
      </c>
      <c r="K33" s="68" t="s">
        <v>125</v>
      </c>
      <c r="L33">
        <f t="shared" si="4"/>
        <v>3.0617647058823532</v>
      </c>
      <c r="M33">
        <f t="shared" si="3"/>
        <v>6.94</v>
      </c>
      <c r="N33" s="5" t="d">
        <f>IF(ISBLANK(D33),"",Open_time Control_1+(INT(L33)&amp;":"&amp;IF(ROUND(((L33-INT(L33))*60),0)&lt;10,0,"")&amp;ROUND(((L33-INT(L33))*60),0)))</f>
        <v>2023-06-24T10:03:59.99999994412064550</v>
      </c>
      <c r="O33" s="5" t="d">
        <f>IF(ISBLANK(D33),"",Open_time Control_1+(INT(M33)&amp;":"&amp;IF(ROUND(((M33-INT(M33))*60),0)&lt;10,0,"")&amp;ROUND(((M33-INT(M33))*60),0)))</f>
        <v>2023-06-24T13:56:00.00000005587935450</v>
      </c>
    </row>
    <row r="34" spans="4:15" ht="17" customHeight="1" x14ac:dyDescent="0.15">
      <c r="D34" s="23">
        <v>121.39999999999999</v>
      </c>
      <c r="E34" s="66" t="s">
        <v>132</v>
      </c>
      <c r="F34" s="67" t="s">
        <v>116</v>
      </c>
      <c r="G34" s="67" t="s">
        <v>115</v>
      </c>
      <c r="H34" s="68"/>
      <c r="I34" s="68" t="s">
        <v>117</v>
      </c>
      <c r="J34" s="67" t="s">
        <v>118</v>
      </c>
      <c r="K34" s="68" t="s">
        <v>126</v>
      </c>
      <c r="L34">
        <f t="shared" si="4"/>
        <v>3.5705882352941174</v>
      </c>
      <c r="M34">
        <f t="shared" si="3"/>
        <v>8.0933333333333319</v>
      </c>
      <c r="N34" s="5" t="d">
        <f>IF(ISBLANK(D34),"",Open_time Control_1+(INT(L34)&amp;":"&amp;IF(ROUND(((L34-INT(L34))*60),0)&lt;10,0,"")&amp;ROUND(((L34-INT(L34))*60),0)))</f>
        <v>2023-06-24T10:33:59.99999952502548675</v>
      </c>
      <c r="O34" s="5" t="d">
        <f>IF(ISBLANK(D34),"",Open_time Control_1+(INT(M34)&amp;":"&amp;IF(ROUND(((M34-INT(M34))*60),0)&lt;10,0,"")&amp;ROUND(((M34-INT(M34))*60),0)))</f>
        <v>2023-06-24T15:05:59.99999991618096825</v>
      </c>
    </row>
    <row r="35" spans="4:15" ht="17" customHeight="1" x14ac:dyDescent="0.15">
      <c r="D35" s="23">
        <v>152.60000000000002</v>
      </c>
      <c r="E35" s="66" t="s">
        <v>127</v>
      </c>
      <c r="F35" s="67" t="s">
        <v>119</v>
      </c>
      <c r="G35" s="67" t="s">
        <v>120</v>
      </c>
      <c r="H35" s="68"/>
      <c r="I35" s="67"/>
      <c r="J35" s="67"/>
      <c r="K35" s="68"/>
      <c r="L35">
        <f t="shared" si="4"/>
        <v>4.488235294117648</v>
      </c>
      <c r="M35">
        <f t="shared" si="3"/>
        <v>10.173333333333336</v>
      </c>
      <c r="N35" s="5" t="d">
        <f>IF(ISBLANK(D35),"",Open_time Control_1+(INT(L35)&amp;":"&amp;IF(ROUND(((L35-INT(L35))*60),0)&lt;10,0,"")&amp;ROUND(((L35-INT(L35))*60),0)))</f>
        <v>2023-06-24T11:28:59.99999959487468325</v>
      </c>
      <c r="O35" s="5" t="d">
        <f>IF(ISBLANK(D35),"",Open_time Control_1+(INT(M35)&amp;":"&amp;IF(ROUND(((M35-INT(M35))*60),0)&lt;10,0,"")&amp;ROUND(((M35-INT(M35))*60),0)))</f>
        <v>2023-06-24T17:09:59.99999965075403775</v>
      </c>
    </row>
    <row r="36" spans="4:15" ht="17" customHeight="1" x14ac:dyDescent="0.15">
      <c r="D36" s="23">
        <v>202.8</v>
      </c>
      <c r="E36" s="66" t="s">
        <v>128</v>
      </c>
      <c r="F36" s="67" t="s">
        <v>135</v>
      </c>
      <c r="G36" s="67" t="s">
        <v>136</v>
      </c>
      <c r="H36" s="68"/>
      <c r="I36" s="67" t="s">
        <v>140</v>
      </c>
      <c r="J36" s="67"/>
      <c r="K36" s="68"/>
      <c r="L36">
        <f t="shared" si="4"/>
        <v>5.9699</v>
      </c>
      <c r="M36">
        <f t="shared" si="3"/>
        <v>13.5</v>
      </c>
      <c r="N36" s="5" t="d">
        <f>IF(ISBLANK(D36),"",Open_time Control_1+(INT(L36)&amp;":"&amp;IF(ROUND(((L36-INT(L36))*60),0)&lt;10,0,"")&amp;ROUND(((L36-INT(L36))*60),0)))</f>
        <v>2023-06-24T12:58:00.00000002793967725</v>
      </c>
      <c r="O36" s="5" t="d">
        <f>IF(ISBLANK(D36),"",Open_time Control_1+(INT(M36)&amp;":"&amp;IF(ROUND(((M36-INT(M36))*60),0)&lt;10,0,"")&amp;ROUND(((M36-INT(M36))*60),0)))</f>
        <v>2023-06-24T20:29:59.99999979045242400</v>
      </c>
    </row>
    <row r="37" spans="4:15" ht="17" customHeight="1" thickBot="1" x14ac:dyDescent="0.2">
      <c r="D37" s="47"/>
      <c r="E37" s="69" t="s">
        <v>134</v>
      </c>
      <c r="F37" s="70"/>
      <c r="G37" s="70"/>
      <c r="H37" s="71"/>
      <c r="I37" s="70"/>
      <c r="J37" s="70"/>
      <c r="K37" s="71"/>
      <c r="L37" t="str">
        <f t="shared" si="4"/>
        <v/>
      </c>
      <c r="M37" t="str">
        <f t="shared" si="3"/>
        <v/>
      </c>
      <c r="N37" s="5" t="str">
        <f>IF(ISBLANK(D37),"",Open_time Control_1+(INT(L37)&amp;":"&amp;IF(ROUND(((L37-INT(L37))*60),0)&lt;10,0,"")&amp;ROUND(((L37-INT(L37))*60),0)))</f>
        <v/>
      </c>
      <c r="O37" s="5" t="str">
        <f>IF(ISBLANK(D37),"",Open_time Control_1+(INT(M37)&amp;":"&amp;IF(ROUND(((M37-INT(M37))*60),0)&lt;10,0,"")&amp;ROUND(((M37-INT(M37))*60),0)))</f>
        <v/>
      </c>
    </row>
    <row r="38" spans="4:15" ht="7" customHeight="1" thickBot="1" x14ac:dyDescent="0.25">
      <c r="D38" s="56"/>
      <c r="E38" s="57"/>
      <c r="F38" s="58"/>
      <c r="G38" s="58"/>
      <c r="H38" s="58"/>
      <c r="I38" s="58"/>
      <c r="J38" s="58"/>
      <c r="K38" s="59"/>
      <c r="N38" s="5"/>
      <c r="O38" s="5"/>
    </row>
    <row r="39" spans="4:15" ht="14" thickBot="1" x14ac:dyDescent="0.2">
      <c r="D39" s="98" t="s">
        <v>79</v>
      </c>
      <c r="E39" s="99"/>
      <c r="F39" s="99"/>
      <c r="G39" s="99"/>
      <c r="H39" s="99"/>
      <c r="I39" s="98" t="s">
        <v>78</v>
      </c>
      <c r="J39" s="99"/>
      <c r="K39" s="100"/>
    </row>
    <row r="40" spans="4:15" ht="14" thickBot="1" x14ac:dyDescent="0.2">
      <c r="D40" s="6" t="s">
        <v>24</v>
      </c>
      <c r="E40" s="7" t="s">
        <v>25</v>
      </c>
      <c r="F40" s="54" t="s">
        <v>26</v>
      </c>
      <c r="G40" s="54" t="s">
        <v>27</v>
      </c>
      <c r="H40" s="78" t="s">
        <v>28</v>
      </c>
      <c r="I40" s="7" t="s">
        <v>60</v>
      </c>
      <c r="J40" s="7" t="s">
        <v>61</v>
      </c>
      <c r="K40" s="8" t="s">
        <v>62</v>
      </c>
      <c r="L40" t="s">
        <v>3</v>
      </c>
      <c r="M40" t="s">
        <v>4</v>
      </c>
      <c r="N40" t="s">
        <v>5</v>
      </c>
      <c r="O40" t="s">
        <v>6</v>
      </c>
    </row>
    <row r="41" spans="4:15" ht="17" customHeight="1" x14ac:dyDescent="0.15">
      <c r="D41" s="23"/>
      <c r="E41" s="66"/>
      <c r="F41" s="67"/>
      <c r="G41" s="67"/>
      <c r="H41" s="68"/>
      <c r="I41" s="67"/>
      <c r="J41" s="67"/>
      <c r="K41" s="68"/>
      <c r="L41" t="str">
        <f>IF(ISBLANK(D41),"",IF(D41&gt;1000,(D41-1000)/26+33.0847,(IF(D41&gt;600,(D41-600)/28+18.799,(IF(D41&gt;400,(D41-400)/30+12.1324,(IF(D41&gt;200,(D41-200)/32+5.8824,D41/34))))))))</f>
        <v/>
      </c>
      <c r="M41" t="str">
        <f t="shared" ref="M41:M50" si="5">IF(ISBLANK(D41),"",IF((D41=0),1,IF(D41&gt;=brevet,IF(brevet&gt;1200,(brevet-1200)*75/1000+90,Max_time),IF(D41&gt;1200,(D41-1200)*75/1000+90,IF(D41&gt;1000,(D41-1000)/(1000/75)+75,IF(D41&gt;600,(D41-600)/(400/35)+40,IF(D41&lt;=60,D41/20+1,D41/15)))))))</f>
        <v/>
      </c>
      <c r="N41" s="5" t="str">
        <f>IF(ISBLANK(D41),"",Open_time Control_1+(INT(L41)&amp;":"&amp;IF(ROUND(((L41-INT(L41))*60),0)&lt;10,0,"")&amp;ROUND(((L41-INT(L41))*60),0)))</f>
        <v/>
      </c>
      <c r="O41" s="5" t="str">
        <f>IF(ISBLANK(D41),"",Open_time Control_1+(INT(M41)&amp;":"&amp;IF(ROUND(((M41-INT(M41))*60),0)&lt;10,0,"")&amp;ROUND(((M41-INT(M41))*60),0)))</f>
        <v/>
      </c>
    </row>
    <row r="42" spans="4:15" ht="17" customHeight="1" x14ac:dyDescent="0.15">
      <c r="D42" s="23"/>
      <c r="E42" s="66"/>
      <c r="F42" s="67"/>
      <c r="G42" s="67"/>
      <c r="H42" s="68"/>
      <c r="I42" s="67" t="s">
        <v>92</v>
      </c>
      <c r="J42" s="67" t="s">
        <v>93</v>
      </c>
      <c r="K42" s="68" t="s">
        <v>123</v>
      </c>
      <c r="L42" t="str">
        <f t="shared" ref="L42:L50" si="6">IF(ISBLANK(D42),"",IF(D42&gt;1000,(D42-1000)/26+33.0847,(IF(D42&gt;600,(D42-600)/28+18.799,(IF(D42&gt;400,(D42-400)/30+12.1324,(IF(D42&gt;200,(D42-200)/32+5.8824,D42/34))))))))</f>
        <v/>
      </c>
      <c r="M42" t="str">
        <f t="shared" si="5"/>
        <v/>
      </c>
      <c r="N42" s="5" t="str">
        <f>IF(ISBLANK(D42),"",Open_time Control_1+(INT(L42)&amp;":"&amp;IF(ROUND(((L42-INT(L42))*60),0)&lt;10,0,"")&amp;ROUND(((L42-INT(L42))*60),0)))</f>
        <v/>
      </c>
      <c r="O42" s="5" t="str">
        <f>IF(ISBLANK(D42),"",Open_time Control_1+(INT(M42)&amp;":"&amp;IF(ROUND(((M42-INT(M42))*60),0)&lt;10,0,"")&amp;ROUND(((M42-INT(M42))*60),0)))</f>
        <v/>
      </c>
    </row>
    <row r="43" spans="4:15" ht="17" customHeight="1" x14ac:dyDescent="0.15">
      <c r="D43" s="23"/>
      <c r="E43" s="66"/>
      <c r="F43" s="67"/>
      <c r="G43" s="67"/>
      <c r="H43" s="68"/>
      <c r="I43" s="67" t="s">
        <v>100</v>
      </c>
      <c r="J43" s="67" t="s">
        <v>101</v>
      </c>
      <c r="K43" s="68" t="s">
        <v>96</v>
      </c>
      <c r="L43" t="str">
        <f t="shared" si="6"/>
        <v/>
      </c>
      <c r="M43" t="str">
        <f t="shared" si="5"/>
        <v/>
      </c>
      <c r="N43" s="5" t="str">
        <f>IF(ISBLANK(D43),"",Open_time Control_1+(INT(L43)&amp;":"&amp;IF(ROUND(((L43-INT(L43))*60),0)&lt;10,0,"")&amp;ROUND(((L43-INT(L43))*60),0)))</f>
        <v/>
      </c>
      <c r="O43" s="5" t="str">
        <f>IF(ISBLANK(D43),"",Open_time Control_1+(INT(M43)&amp;":"&amp;IF(ROUND(((M43-INT(M43))*60),0)&lt;10,0,"")&amp;ROUND(((M43-INT(M43))*60),0)))</f>
        <v/>
      </c>
    </row>
    <row r="44" spans="4:15" ht="17" customHeight="1" x14ac:dyDescent="0.15">
      <c r="D44" s="23"/>
      <c r="E44" s="66"/>
      <c r="F44" s="67"/>
      <c r="G44" s="67"/>
      <c r="H44" s="68"/>
      <c r="I44" s="67" t="s">
        <v>99</v>
      </c>
      <c r="J44" s="67" t="s">
        <v>102</v>
      </c>
      <c r="K44" s="68" t="s">
        <v>121</v>
      </c>
      <c r="L44" t="str">
        <f t="shared" si="6"/>
        <v/>
      </c>
      <c r="M44" t="str">
        <f t="shared" si="5"/>
        <v/>
      </c>
      <c r="N44" s="5" t="str">
        <f>IF(ISBLANK(D44),"",Open_time Control_1+(INT(L44)&amp;":"&amp;IF(ROUND(((L44-INT(L44))*60),0)&lt;10,0,"")&amp;ROUND(((L44-INT(L44))*60),0)))</f>
        <v/>
      </c>
      <c r="O44" s="5" t="str">
        <f>IF(ISBLANK(D44),"",Open_time Control_1+(INT(M44)&amp;":"&amp;IF(ROUND(((M44-INT(M44))*60),0)&lt;10,0,"")&amp;ROUND(((M44-INT(M44))*60),0)))</f>
        <v/>
      </c>
    </row>
    <row r="45" spans="4:15" ht="17" customHeight="1" x14ac:dyDescent="0.15">
      <c r="D45" s="23"/>
      <c r="E45" s="66"/>
      <c r="F45" s="67"/>
      <c r="G45" s="67"/>
      <c r="H45" s="68"/>
      <c r="I45" s="67" t="s">
        <v>105</v>
      </c>
      <c r="J45" s="67" t="s">
        <v>106</v>
      </c>
      <c r="K45" s="68" t="s">
        <v>122</v>
      </c>
      <c r="L45" t="str">
        <f t="shared" si="6"/>
        <v/>
      </c>
      <c r="M45" t="str">
        <f t="shared" si="5"/>
        <v/>
      </c>
      <c r="N45" s="5" t="str">
        <f>IF(ISBLANK(D45),"",Open_time Control_1+(INT(L45)&amp;":"&amp;IF(ROUND(((L45-INT(L45))*60),0)&lt;10,0,"")&amp;ROUND(((L45-INT(L45))*60),0)))</f>
        <v/>
      </c>
      <c r="O45" s="5" t="str">
        <f>IF(ISBLANK(D45),"",Open_time Control_1+(INT(M45)&amp;":"&amp;IF(ROUND(((M45-INT(M45))*60),0)&lt;10,0,"")&amp;ROUND(((M45-INT(M45))*60),0)))</f>
        <v/>
      </c>
    </row>
    <row r="46" spans="4:15" ht="17" customHeight="1" x14ac:dyDescent="0.15">
      <c r="D46" s="23"/>
      <c r="E46" s="66"/>
      <c r="F46" s="67"/>
      <c r="G46" s="67"/>
      <c r="H46" s="68"/>
      <c r="I46" s="67" t="s">
        <v>108</v>
      </c>
      <c r="J46" s="67" t="s">
        <v>109</v>
      </c>
      <c r="K46" s="68" t="s">
        <v>124</v>
      </c>
      <c r="L46" t="str">
        <f t="shared" si="6"/>
        <v/>
      </c>
      <c r="M46" t="str">
        <f t="shared" si="5"/>
        <v/>
      </c>
      <c r="N46" s="5" t="str">
        <f>IF(ISBLANK(D46),"",Open_time Control_1+(INT(L46)&amp;":"&amp;IF(ROUND(((L46-INT(L46))*60),0)&lt;10,0,"")&amp;ROUND(((L46-INT(L46))*60),0)))</f>
        <v/>
      </c>
      <c r="O46" s="5" t="str">
        <f>IF(ISBLANK(D46),"",Open_time Control_1+(INT(M46)&amp;":"&amp;IF(ROUND(((M46-INT(M46))*60),0)&lt;10,0,"")&amp;ROUND(((M46-INT(M46))*60),0)))</f>
        <v/>
      </c>
    </row>
    <row r="47" spans="4:15" ht="17" customHeight="1" x14ac:dyDescent="0.15">
      <c r="D47" s="23"/>
      <c r="E47" s="66"/>
      <c r="F47" s="67"/>
      <c r="G47" s="67"/>
      <c r="H47" s="68"/>
      <c r="I47" s="67" t="s">
        <v>112</v>
      </c>
      <c r="J47" s="67" t="s">
        <v>102</v>
      </c>
      <c r="K47" s="68" t="s">
        <v>125</v>
      </c>
      <c r="L47" t="str">
        <f t="shared" si="6"/>
        <v/>
      </c>
      <c r="M47" t="str">
        <f t="shared" si="5"/>
        <v/>
      </c>
      <c r="N47" s="5" t="str">
        <f>IF(ISBLANK(D47),"",Open_time Control_1+(INT(L47)&amp;":"&amp;IF(ROUND(((L47-INT(L47))*60),0)&lt;10,0,"")&amp;ROUND(((L47-INT(L47))*60),0)))</f>
        <v/>
      </c>
      <c r="O47" s="5" t="str">
        <f>IF(ISBLANK(D47),"",Open_time Control_1+(INT(M47)&amp;":"&amp;IF(ROUND(((M47-INT(M47))*60),0)&lt;10,0,"")&amp;ROUND(((M47-INT(M47))*60),0)))</f>
        <v/>
      </c>
    </row>
    <row r="48" spans="4:15" ht="17" customHeight="1" x14ac:dyDescent="0.15">
      <c r="D48" s="23"/>
      <c r="E48" s="66"/>
      <c r="F48" s="67"/>
      <c r="G48" s="67"/>
      <c r="H48" s="68"/>
      <c r="I48" s="68" t="s">
        <v>117</v>
      </c>
      <c r="J48" s="67" t="s">
        <v>118</v>
      </c>
      <c r="K48" s="68" t="s">
        <v>126</v>
      </c>
      <c r="L48" t="str">
        <f t="shared" si="6"/>
        <v/>
      </c>
      <c r="M48" t="str">
        <f t="shared" si="5"/>
        <v/>
      </c>
      <c r="N48" s="5" t="str">
        <f>IF(ISBLANK(D48),"",Open_time Control_1+(INT(L48)&amp;":"&amp;IF(ROUND(((L48-INT(L48))*60),0)&lt;10,0,"")&amp;ROUND(((L48-INT(L48))*60),0)))</f>
        <v/>
      </c>
      <c r="O48" s="5" t="str">
        <f>IF(ISBLANK(D48),"",Open_time Control_1+(INT(M48)&amp;":"&amp;IF(ROUND(((M48-INT(M48))*60),0)&lt;10,0,"")&amp;ROUND(((M48-INT(M48))*60),0)))</f>
        <v/>
      </c>
    </row>
    <row r="49" spans="4:15" ht="17" customHeight="1" x14ac:dyDescent="0.15">
      <c r="D49" s="23"/>
      <c r="E49" s="66"/>
      <c r="F49" s="67"/>
      <c r="G49" s="67"/>
      <c r="H49" s="68"/>
      <c r="I49" s="67"/>
      <c r="J49" s="67"/>
      <c r="K49" s="68"/>
      <c r="L49" t="str">
        <f t="shared" si="6"/>
        <v/>
      </c>
      <c r="M49" t="str">
        <f t="shared" si="5"/>
        <v/>
      </c>
      <c r="N49" s="5" t="str">
        <f>IF(ISBLANK(D49),"",Open_time Control_1+(INT(L49)&amp;":"&amp;IF(ROUND(((L49-INT(L49))*60),0)&lt;10,0,"")&amp;ROUND(((L49-INT(L49))*60),0)))</f>
        <v/>
      </c>
      <c r="O49" s="5" t="str">
        <f>IF(ISBLANK(D49),"",Open_time Control_1+(INT(M49)&amp;":"&amp;IF(ROUND(((M49-INT(M49))*60),0)&lt;10,0,"")&amp;ROUND(((M49-INT(M49))*60),0)))</f>
        <v/>
      </c>
    </row>
    <row r="50" spans="4:15" ht="17" customHeight="1" thickBot="1" x14ac:dyDescent="0.2">
      <c r="D50" s="47"/>
      <c r="E50" s="69"/>
      <c r="F50" s="70"/>
      <c r="G50" s="70"/>
      <c r="H50" s="71"/>
      <c r="I50" s="70"/>
      <c r="J50" s="70"/>
      <c r="K50" s="71"/>
      <c r="L50" t="str">
        <f t="shared" si="6"/>
        <v/>
      </c>
      <c r="M50" t="str">
        <f t="shared" si="5"/>
        <v/>
      </c>
      <c r="N50" s="5" t="str">
        <f>IF(ISBLANK(D50),"",Open_time Control_1+(INT(L50)&amp;":"&amp;IF(ROUND(((L50-INT(L50))*60),0)&lt;10,0,"")&amp;ROUND(((L50-INT(L50))*60),0)))</f>
        <v/>
      </c>
      <c r="O50" s="5" t="str">
        <f>IF(ISBLANK(D50),"",Open_time Control_1+(INT(M50)&amp;":"&amp;IF(ROUND(((M50-INT(M50))*60),0)&lt;10,0,"")&amp;ROUND(((M50-INT(M50))*60),0)))</f>
        <v/>
      </c>
    </row>
    <row r="51" spans="4:15" ht="7" customHeight="1" thickBot="1" x14ac:dyDescent="0.25">
      <c r="D51" s="56"/>
      <c r="E51" s="57"/>
      <c r="F51" s="58"/>
      <c r="G51" s="58"/>
      <c r="H51" s="58"/>
      <c r="I51" s="58"/>
      <c r="J51" s="58"/>
      <c r="K51" s="59"/>
      <c r="N51" s="5"/>
      <c r="O51" s="5"/>
    </row>
    <row r="52" spans="4:15" ht="14" thickBot="1" x14ac:dyDescent="0.2">
      <c r="D52" s="98" t="s">
        <v>87</v>
      </c>
      <c r="E52" s="99"/>
      <c r="F52" s="99"/>
      <c r="G52" s="99"/>
      <c r="H52" s="99"/>
      <c r="I52" s="98" t="s">
        <v>88</v>
      </c>
      <c r="J52" s="99"/>
      <c r="K52" s="100"/>
    </row>
    <row r="53" spans="4:15" ht="14" thickBot="1" x14ac:dyDescent="0.2">
      <c r="D53" s="6" t="s">
        <v>24</v>
      </c>
      <c r="E53" s="7" t="s">
        <v>25</v>
      </c>
      <c r="F53" s="54" t="s">
        <v>26</v>
      </c>
      <c r="G53" s="54" t="s">
        <v>27</v>
      </c>
      <c r="H53" s="78" t="s">
        <v>28</v>
      </c>
      <c r="I53" s="7" t="s">
        <v>60</v>
      </c>
      <c r="J53" s="7" t="s">
        <v>61</v>
      </c>
      <c r="K53" s="8" t="s">
        <v>62</v>
      </c>
      <c r="L53" t="s">
        <v>3</v>
      </c>
      <c r="M53" t="s">
        <v>4</v>
      </c>
      <c r="N53" t="s">
        <v>5</v>
      </c>
      <c r="O53" t="s">
        <v>6</v>
      </c>
    </row>
    <row r="54" spans="4:15" ht="17" customHeight="1" x14ac:dyDescent="0.15">
      <c r="D54" s="23"/>
      <c r="E54" s="66"/>
      <c r="F54" s="67"/>
      <c r="G54" s="67"/>
      <c r="H54" s="68"/>
      <c r="I54" s="67"/>
      <c r="J54" s="67"/>
      <c r="K54" s="68"/>
      <c r="L54" t="str">
        <f>IF(ISBLANK(D54),"",IF(D54&gt;1000,(D54-1000)/26+33.0847,(IF(D54&gt;600,(D54-600)/28+18.799,(IF(D54&gt;400,(D54-400)/30+12.1324,(IF(D54&gt;200,(D54-200)/32+5.8824,D54/34))))))))</f>
        <v/>
      </c>
      <c r="M54" t="str">
        <f t="shared" ref="M54:M63" si="7">IF(ISBLANK(D54),"",IF((D54=0),1,IF(D54&gt;=brevet,IF(brevet&gt;1200,(brevet-1200)*75/1000+90,Max_time),IF(D54&gt;1200,(D54-1200)*75/1000+90,IF(D54&gt;1000,(D54-1000)/(1000/75)+75,IF(D54&gt;600,(D54-600)/(400/35)+40,IF(D54&lt;=60,D54/20+1,D54/15)))))))</f>
        <v/>
      </c>
      <c r="N54" s="5" t="str">
        <f>IF(ISBLANK(D54),"",Open_time Control_1+(INT(L54)&amp;":"&amp;IF(ROUND(((L54-INT(L54))*60),0)&lt;10,0,"")&amp;ROUND(((L54-INT(L54))*60),0)))</f>
        <v/>
      </c>
      <c r="O54" s="5" t="str">
        <f>IF(ISBLANK(D54),"",Open_time Control_1+(INT(M54)&amp;":"&amp;IF(ROUND(((M54-INT(M54))*60),0)&lt;10,0,"")&amp;ROUND(((M54-INT(M54))*60),0)))</f>
        <v/>
      </c>
    </row>
    <row r="55" spans="4:15" ht="17" customHeight="1" x14ac:dyDescent="0.15">
      <c r="D55" s="23"/>
      <c r="E55" s="66"/>
      <c r="F55" s="67"/>
      <c r="G55" s="67"/>
      <c r="H55" s="68"/>
      <c r="I55" s="67"/>
      <c r="J55" s="67"/>
      <c r="K55" s="68"/>
      <c r="L55" t="str">
        <f t="shared" ref="L55:L63" si="8">IF(ISBLANK(D55),"",IF(D55&gt;1000,(D55-1000)/26+33.0847,(IF(D55&gt;600,(D55-600)/28+18.799,(IF(D55&gt;400,(D55-400)/30+12.1324,(IF(D55&gt;200,(D55-200)/32+5.8824,D55/34))))))))</f>
        <v/>
      </c>
      <c r="M55" t="str">
        <f t="shared" si="7"/>
        <v/>
      </c>
      <c r="N55" s="5" t="str">
        <f>IF(ISBLANK(D55),"",Open_time Control_1+(INT(L55)&amp;":"&amp;IF(ROUND(((L55-INT(L55))*60),0)&lt;10,0,"")&amp;ROUND(((L55-INT(L55))*60),0)))</f>
        <v/>
      </c>
      <c r="O55" s="5" t="str">
        <f>IF(ISBLANK(D55),"",Open_time Control_1+(INT(M55)&amp;":"&amp;IF(ROUND(((M55-INT(M55))*60),0)&lt;10,0,"")&amp;ROUND(((M55-INT(M55))*60),0)))</f>
        <v/>
      </c>
    </row>
    <row r="56" spans="4:15" ht="17" customHeight="1" x14ac:dyDescent="0.15">
      <c r="D56" s="23"/>
      <c r="E56" s="66"/>
      <c r="F56" s="67"/>
      <c r="G56" s="67"/>
      <c r="H56" s="68"/>
      <c r="I56" s="67"/>
      <c r="J56" s="67"/>
      <c r="K56" s="68"/>
      <c r="L56" t="str">
        <f t="shared" si="8"/>
        <v/>
      </c>
      <c r="M56" t="str">
        <f t="shared" si="7"/>
        <v/>
      </c>
      <c r="N56" s="5" t="str">
        <f>IF(ISBLANK(D56),"",Open_time Control_1+(INT(L56)&amp;":"&amp;IF(ROUND(((L56-INT(L56))*60),0)&lt;10,0,"")&amp;ROUND(((L56-INT(L56))*60),0)))</f>
        <v/>
      </c>
      <c r="O56" s="5" t="str">
        <f>IF(ISBLANK(D56),"",Open_time Control_1+(INT(M56)&amp;":"&amp;IF(ROUND(((M56-INT(M56))*60),0)&lt;10,0,"")&amp;ROUND(((M56-INT(M56))*60),0)))</f>
        <v/>
      </c>
    </row>
    <row r="57" spans="4:15" ht="17" customHeight="1" x14ac:dyDescent="0.15">
      <c r="D57" s="23"/>
      <c r="E57" s="66"/>
      <c r="F57" s="67"/>
      <c r="G57" s="67"/>
      <c r="H57" s="68"/>
      <c r="I57" s="67"/>
      <c r="J57" s="67"/>
      <c r="K57" s="68"/>
      <c r="L57" t="str">
        <f t="shared" si="8"/>
        <v/>
      </c>
      <c r="M57" t="str">
        <f t="shared" si="7"/>
        <v/>
      </c>
      <c r="N57" s="5" t="str">
        <f>IF(ISBLANK(D57),"",Open_time Control_1+(INT(L57)&amp;":"&amp;IF(ROUND(((L57-INT(L57))*60),0)&lt;10,0,"")&amp;ROUND(((L57-INT(L57))*60),0)))</f>
        <v/>
      </c>
      <c r="O57" s="5" t="str">
        <f>IF(ISBLANK(D57),"",Open_time Control_1+(INT(M57)&amp;":"&amp;IF(ROUND(((M57-INT(M57))*60),0)&lt;10,0,"")&amp;ROUND(((M57-INT(M57))*60),0)))</f>
        <v/>
      </c>
    </row>
    <row r="58" spans="4:15" ht="17" customHeight="1" x14ac:dyDescent="0.15">
      <c r="D58" s="23"/>
      <c r="E58" s="66"/>
      <c r="F58" s="67"/>
      <c r="G58" s="67"/>
      <c r="H58" s="68"/>
      <c r="I58" s="67"/>
      <c r="J58" s="67"/>
      <c r="K58" s="68"/>
      <c r="L58" t="str">
        <f t="shared" si="8"/>
        <v/>
      </c>
      <c r="M58" t="str">
        <f t="shared" si="7"/>
        <v/>
      </c>
      <c r="N58" s="5" t="str">
        <f>IF(ISBLANK(D58),"",Open_time Control_1+(INT(L58)&amp;":"&amp;IF(ROUND(((L58-INT(L58))*60),0)&lt;10,0,"")&amp;ROUND(((L58-INT(L58))*60),0)))</f>
        <v/>
      </c>
      <c r="O58" s="5" t="str">
        <f>IF(ISBLANK(D58),"",Open_time Control_1+(INT(M58)&amp;":"&amp;IF(ROUND(((M58-INT(M58))*60),0)&lt;10,0,"")&amp;ROUND(((M58-INT(M58))*60),0)))</f>
        <v/>
      </c>
    </row>
    <row r="59" spans="4:15" ht="17" customHeight="1" x14ac:dyDescent="0.15">
      <c r="D59" s="23"/>
      <c r="E59" s="66"/>
      <c r="F59" s="67"/>
      <c r="G59" s="67"/>
      <c r="H59" s="68"/>
      <c r="I59" s="67"/>
      <c r="J59" s="67"/>
      <c r="K59" s="68"/>
      <c r="L59" t="str">
        <f t="shared" si="8"/>
        <v/>
      </c>
      <c r="M59" t="str">
        <f t="shared" si="7"/>
        <v/>
      </c>
      <c r="N59" s="5" t="str">
        <f>IF(ISBLANK(D59),"",Open_time Control_1+(INT(L59)&amp;":"&amp;IF(ROUND(((L59-INT(L59))*60),0)&lt;10,0,"")&amp;ROUND(((L59-INT(L59))*60),0)))</f>
        <v/>
      </c>
      <c r="O59" s="5" t="str">
        <f>IF(ISBLANK(D59),"",Open_time Control_1+(INT(M59)&amp;":"&amp;IF(ROUND(((M59-INT(M59))*60),0)&lt;10,0,"")&amp;ROUND(((M59-INT(M59))*60),0)))</f>
        <v/>
      </c>
    </row>
    <row r="60" spans="4:15" ht="17" customHeight="1" x14ac:dyDescent="0.15">
      <c r="D60" s="23"/>
      <c r="E60" s="66"/>
      <c r="F60" s="67"/>
      <c r="G60" s="67"/>
      <c r="H60" s="68"/>
      <c r="I60" s="67"/>
      <c r="J60" s="67"/>
      <c r="K60" s="68"/>
      <c r="L60" t="str">
        <f t="shared" si="8"/>
        <v/>
      </c>
      <c r="M60" t="str">
        <f t="shared" si="7"/>
        <v/>
      </c>
      <c r="N60" s="5" t="str">
        <f>IF(ISBLANK(D60),"",Open_time Control_1+(INT(L60)&amp;":"&amp;IF(ROUND(((L60-INT(L60))*60),0)&lt;10,0,"")&amp;ROUND(((L60-INT(L60))*60),0)))</f>
        <v/>
      </c>
      <c r="O60" s="5" t="str">
        <f>IF(ISBLANK(D60),"",Open_time Control_1+(INT(M60)&amp;":"&amp;IF(ROUND(((M60-INT(M60))*60),0)&lt;10,0,"")&amp;ROUND(((M60-INT(M60))*60),0)))</f>
        <v/>
      </c>
    </row>
    <row r="61" spans="4:15" ht="17" customHeight="1" x14ac:dyDescent="0.15">
      <c r="D61" s="23"/>
      <c r="E61" s="66"/>
      <c r="F61" s="67"/>
      <c r="G61" s="67"/>
      <c r="H61" s="68"/>
      <c r="I61" s="67"/>
      <c r="J61" s="67"/>
      <c r="K61" s="68"/>
      <c r="L61" t="str">
        <f t="shared" si="8"/>
        <v/>
      </c>
      <c r="M61" t="str">
        <f t="shared" si="7"/>
        <v/>
      </c>
      <c r="N61" s="5" t="str">
        <f>IF(ISBLANK(D61),"",Open_time Control_1+(INT(L61)&amp;":"&amp;IF(ROUND(((L61-INT(L61))*60),0)&lt;10,0,"")&amp;ROUND(((L61-INT(L61))*60),0)))</f>
        <v/>
      </c>
      <c r="O61" s="5" t="str">
        <f>IF(ISBLANK(D61),"",Open_time Control_1+(INT(M61)&amp;":"&amp;IF(ROUND(((M61-INT(M61))*60),0)&lt;10,0,"")&amp;ROUND(((M61-INT(M61))*60),0)))</f>
        <v/>
      </c>
    </row>
    <row r="62" spans="4:15" ht="17" customHeight="1" x14ac:dyDescent="0.15">
      <c r="D62" s="23"/>
      <c r="E62" s="66"/>
      <c r="F62" s="67"/>
      <c r="G62" s="67"/>
      <c r="H62" s="68"/>
      <c r="I62" s="67"/>
      <c r="J62" s="67"/>
      <c r="K62" s="68"/>
      <c r="L62" t="str">
        <f t="shared" si="8"/>
        <v/>
      </c>
      <c r="M62" t="str">
        <f t="shared" si="7"/>
        <v/>
      </c>
      <c r="N62" s="5" t="str">
        <f>IF(ISBLANK(D62),"",Open_time Control_1+(INT(L62)&amp;":"&amp;IF(ROUND(((L62-INT(L62))*60),0)&lt;10,0,"")&amp;ROUND(((L62-INT(L62))*60),0)))</f>
        <v/>
      </c>
      <c r="O62" s="5" t="str">
        <f>IF(ISBLANK(D62),"",Open_time Control_1+(INT(M62)&amp;":"&amp;IF(ROUND(((M62-INT(M62))*60),0)&lt;10,0,"")&amp;ROUND(((M62-INT(M62))*60),0)))</f>
        <v/>
      </c>
    </row>
    <row r="63" spans="4:15" ht="17" customHeight="1" thickBot="1" x14ac:dyDescent="0.2">
      <c r="D63" s="47"/>
      <c r="E63" s="69"/>
      <c r="F63" s="70"/>
      <c r="G63" s="70"/>
      <c r="H63" s="71"/>
      <c r="I63" s="70"/>
      <c r="J63" s="70"/>
      <c r="K63" s="71"/>
      <c r="L63" t="str">
        <f t="shared" si="8"/>
        <v/>
      </c>
      <c r="M63" t="str">
        <f t="shared" si="7"/>
        <v/>
      </c>
      <c r="N63" s="5" t="str">
        <f>IF(ISBLANK(D63),"",Open_time Control_1+(INT(L63)&amp;":"&amp;IF(ROUND(((L63-INT(L63))*60),0)&lt;10,0,"")&amp;ROUND(((L63-INT(L63))*60),0)))</f>
        <v/>
      </c>
      <c r="O63" s="5" t="str">
        <f>IF(ISBLANK(D63),"",Open_time Control_1+(INT(M63)&amp;":"&amp;IF(ROUND(((M63-INT(M63))*60),0)&lt;10,0,"")&amp;ROUND(((M63-INT(M63))*60),0)))</f>
        <v/>
      </c>
    </row>
  </sheetData>
  <sheetProtection algorithmName="SHA-512" hashValue="hXqSV0bU1chupEFDmG8jcGyvWNS5PnswRem4CQMjxQ0nMAu2s0QEHhTqcZepwEmcZ4YXOuX/yUKRZfDjv3IWAw==" saltValue="rHiEE/Oer+IiCcmxqua5ww==" spinCount="100000" sheet="1" objects="1" scenarios="1" formatCells="0" selectLockedCells="1"/>
  <mergeCells count="12">
    <mergeCell ref="D52:H52"/>
    <mergeCell ref="I52:K52"/>
    <mergeCell ref="Q1:Z5"/>
    <mergeCell ref="A1:H1"/>
    <mergeCell ref="B8:H8"/>
    <mergeCell ref="D39:H39"/>
    <mergeCell ref="I39:K39"/>
    <mergeCell ref="J6:K6"/>
    <mergeCell ref="D13:H13"/>
    <mergeCell ref="D26:H26"/>
    <mergeCell ref="I13:K13"/>
    <mergeCell ref="I26:K26"/>
  </mergeCells>
  <phoneticPr fontId="16" type="noConversion"/>
  <pageMargins left="0.75" right="0.75" top="1" bottom="1" header="0.5" footer="0.5"/>
  <pageSetup orientation="portrait" horizontalDpi="4294967292" verticalDpi="4294967292"/>
  <headerFooter>
    <oddHeader>&amp;A</oddHeader>
    <oddFooter>Page &amp;P</oddFooter>
  </headerFooter>
  <drawing r:id="rId1"/>
  <mc:AlternateContent xmlns:mc="http://schemas.openxmlformats.org/markup-compatibility/2006">
    <mc:Choice Requires="v">
      <legacyDrawing r:id="rId2"/>
    </mc:Choice>
  </mc:AlternateContent>
  <extLst>
    <ext xmlns="http://schemas.openxmlformats.org/spreadsheetml/2006/main" xmlns:mx="http://schemas.microsoft.com/office/mac/excel/2008/main" uri="{64002731-A6B0-56B0-2670-7721B7C09600}">
      <mx:PLV Mode="0" OnePage="0" WScale="0"/>
    </ext>
  </extLs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V40"/>
  <sheetViews>
    <sheetView showGridLines="0" zoomScale="92" zoomScaleNormal="92" zoomScalePageLayoutView="92" workbookViewId="0">
      <selection activeCell="F6" sqref="F6"/>
    </sheetView>
  </sheetViews>
  <sheetFormatPr baseColWidth="10" defaultColWidth="8.83203125" defaultRowHeight="13" x14ac:dyDescent="0.15"/>
  <cols>
    <col min="1" max="1" width="8.5" style="1" customWidth="1"/>
    <col min="2" max="3" width="11.6640625" customWidth="1"/>
    <col min="4" max="4" width="18" customWidth="1"/>
    <col min="5" max="5" width="23.83203125" customWidth="1"/>
    <col min="6" max="6" width="42" customWidth="1"/>
    <col min="7" max="7" width="13.5" customWidth="1"/>
    <col min="8" max="8" width="8" customWidth="1"/>
    <col min="9" max="9" width="12" customWidth="1"/>
    <col min="12" max="14" width="9" customWidth="1"/>
    <col min="18" max="19" width="8.83203125" customWidth="1"/>
  </cols>
  <sheetData>
    <row r="1" spans="1:22" ht="21" thickBot="1" x14ac:dyDescent="0.2">
      <c r="A1" s="115" t="s">
        <v>80</v>
      </c>
      <c r="B1" s="115"/>
      <c r="C1" s="115"/>
      <c r="D1" s="115"/>
      <c r="E1" s="115"/>
      <c r="F1" s="115"/>
      <c r="G1" s="115"/>
      <c r="H1" s="24" t="s">
        <v>29</v>
      </c>
    </row>
    <row r="2" spans="1:22" ht="33.75" customHeight="1" thickBot="1" x14ac:dyDescent="0.25">
      <c r="A2" s="65" t="s">
        <v>30</v>
      </c>
      <c r="B2" s="9" t="s">
        <v>3</v>
      </c>
      <c r="C2" s="9" t="s">
        <v>4</v>
      </c>
      <c r="D2" s="9" t="s">
        <v>25</v>
      </c>
      <c r="E2" s="9" t="s">
        <v>31</v>
      </c>
      <c r="F2" s="9" t="s">
        <v>59</v>
      </c>
      <c r="G2" s="65" t="s">
        <v>32</v>
      </c>
      <c r="H2" s="24" t="s">
        <v>29</v>
      </c>
      <c r="K2" s="114" t="s">
        <v>55</v>
      </c>
      <c r="L2" s="114"/>
      <c r="M2" s="114"/>
      <c r="N2" s="114"/>
      <c r="O2" s="114"/>
      <c r="P2" s="114"/>
      <c r="Q2" s="114"/>
      <c r="R2" s="114"/>
      <c r="S2" s="114"/>
      <c r="T2" s="114"/>
      <c r="U2" s="114"/>
    </row>
    <row r="3" spans="1:22" ht="36" customHeight="1" x14ac:dyDescent="0.45">
      <c r="A3" s="25"/>
      <c r="B3" s="26" t="d">
        <f>Control_1 Open_time</f>
        <v>2023-06-24T06:59:59.99999979045242400</v>
      </c>
      <c r="C3" s="26" t="d">
        <f>Control_1 Close_time</f>
        <v>2023-06-24T07:59:59.99999958090484125</v>
      </c>
      <c r="D3" s="27"/>
      <c r="E3" s="28" t="str">
        <f>IF(ISBLANK(Control_1 Establishment_1),"",Control_1 Establishment_1)</f>
        <v>Stonehouse Pub</v>
      </c>
      <c r="F3" s="85" t="str">
        <f>IF(ISBLANK('Control Entry'!I15),"",'Control Entry'!I15)</f>
        <v/>
      </c>
      <c r="G3" s="86"/>
      <c r="H3" s="24" t="s">
        <v>29</v>
      </c>
      <c r="K3" s="14"/>
      <c r="O3" s="132" t="s">
        <v>33</v>
      </c>
      <c r="P3" s="132"/>
      <c r="Q3" s="132"/>
      <c r="R3" s="132"/>
      <c r="S3" s="75" t="str">
        <f>IF('Control Entry'!D28=0,"","#1")</f>
        <v/>
      </c>
      <c r="U3" s="38"/>
    </row>
    <row r="4" spans="1:22" ht="36" customHeight="1" x14ac:dyDescent="0.2">
      <c r="A4" s="34">
        <f>IF(ISBLANK(Distance Control_1),"",Control_1 Distance)</f>
        <v>0</v>
      </c>
      <c r="B4" s="35" t="d">
        <f>Control_1 Open_time</f>
        <v>2023-06-24T06:59:59.99999979045242400</v>
      </c>
      <c r="C4" s="35" t="d">
        <f>Control_1 Close_time</f>
        <v>2023-06-24T07:59:59.99999958090484125</v>
      </c>
      <c r="D4" s="36" t="str">
        <f>IF(ISBLANK(Locale Control_1),"",Locale Control_1)</f>
        <v>NORTH SAANICH</v>
      </c>
      <c r="E4" s="28" t="str">
        <f>IF(ISBLANK(Control_1 Establishment_2),"",Control_1 Establishment_2)</f>
        <v>2215 Canoe Cove Rd</v>
      </c>
      <c r="F4" s="85" t="str">
        <f>IF(ISBLANK('Control Entry'!J15),"",'Control Entry'!J15)</f>
        <v/>
      </c>
      <c r="G4" s="86"/>
      <c r="H4" s="24" t="s">
        <v>29</v>
      </c>
      <c r="K4" s="14"/>
      <c r="M4" s="117" t="str">
        <f>IF(ISBLANK(brevet),"",brevet&amp;" km Randonnée")</f>
        <v>200 km Randonnée</v>
      </c>
      <c r="N4" s="117"/>
      <c r="O4" s="117"/>
      <c r="P4" s="117"/>
      <c r="Q4" s="117"/>
      <c r="R4" s="117"/>
      <c r="S4" s="117"/>
      <c r="T4" s="117"/>
      <c r="U4" s="39"/>
    </row>
    <row r="5" spans="1:22" ht="36" customHeight="1" thickBot="1" x14ac:dyDescent="0.25">
      <c r="A5" s="29"/>
      <c r="B5" s="30" t="d">
        <f>Control_1 Open_time</f>
        <v>2023-06-24T06:59:59.99999979045242400</v>
      </c>
      <c r="C5" s="30" t="d">
        <f>Control_1 Close_time</f>
        <v>2023-06-24T07:59:59.99999958090484125</v>
      </c>
      <c r="D5" s="31"/>
      <c r="E5" s="32" t="str">
        <f>IF(ISBLANK(Control_1 Establishment_3),"",Control_1 Establishment_3)</f>
        <v/>
      </c>
      <c r="F5" s="90" t="str">
        <f>IF(ISBLANK('Control Entry'!K15),"",'Control Entry'!K15)</f>
        <v/>
      </c>
      <c r="G5" s="89"/>
      <c r="H5" s="24" t="s">
        <v>29</v>
      </c>
      <c r="K5" s="14"/>
      <c r="M5" s="15"/>
      <c r="N5" s="108" t="s">
        <v>47</v>
      </c>
      <c r="O5" s="108"/>
      <c r="P5" s="52">
        <f>IF(ISBLANK(Brevet_Number),"",Brevet_Number)</f>
        <v>5273</v>
      </c>
      <c r="Q5" s="53"/>
      <c r="R5" s="120" t="d">
        <f>IF(ISBLANK('Control Entry'!$B10),"",'Control Entry'!$B10)</f>
        <v>2023-06-24</v>
      </c>
      <c r="S5" s="120"/>
      <c r="T5" s="120"/>
      <c r="U5" s="120"/>
      <c r="V5" s="40"/>
    </row>
    <row r="6" spans="1:22" ht="36" customHeight="1" x14ac:dyDescent="0.2">
      <c r="A6" s="25"/>
      <c r="B6" s="26" t="d">
        <f>Control_2 Open_time</f>
        <v>2023-06-24T08:28:59.99999959487468325</v>
      </c>
      <c r="C6" s="26" t="d">
        <f>Control_2 Close_time</f>
        <v>2023-06-24T10:30:59.999999566935002625</v>
      </c>
      <c r="D6" s="33"/>
      <c r="E6" s="28" t="str">
        <f>IF(ISBLANK(Control_2 Establishment_1),"",Control_2 Establishment_1)</f>
        <v>Galloping Goose Regional Park</v>
      </c>
      <c r="F6" s="85" t="str">
        <f>IF(ISBLANK('Control Entry'!I16),"",'Control Entry'!I16)</f>
        <v>Bicycle art in front of bench</v>
      </c>
      <c r="G6" s="86"/>
      <c r="H6" s="24" t="s">
        <v>29</v>
      </c>
      <c r="K6" s="14"/>
      <c r="L6" s="135" t="str">
        <f>IF(ISBLANK(Brevet_Description),"",Brevet_Description)</f>
        <v>Hands Across the Water 2023</v>
      </c>
      <c r="M6" s="135"/>
      <c r="N6" s="135"/>
      <c r="O6" s="135"/>
      <c r="P6" s="135"/>
      <c r="Q6" s="135"/>
      <c r="R6" s="135"/>
      <c r="S6" s="135"/>
      <c r="T6" s="135"/>
      <c r="U6" s="135"/>
    </row>
    <row r="7" spans="1:22" ht="36" customHeight="1" x14ac:dyDescent="0.2">
      <c r="A7" s="34">
        <f>IF(ISBLANK(Distance Control_2),"",Control_2 Distance)</f>
        <v>50.2</v>
      </c>
      <c r="B7" s="35" t="d">
        <f>Control_2 Open_time</f>
        <v>2023-06-24T08:28:59.99999959487468325</v>
      </c>
      <c r="C7" s="35" t="d">
        <f>Control_2 Close_time</f>
        <v>2023-06-24T10:30:59.999999566935002625</v>
      </c>
      <c r="D7" s="36" t="str">
        <f>IF(ISBLANK(Locale Control_2),"",Locale Control_2)</f>
        <v>VIEW ROYAL</v>
      </c>
      <c r="E7" s="48" t="str">
        <f>IF(ISBLANK(Control_2 Establishment_2),"",Control_2 Establishment_2)</f>
        <v>Atkins Rd</v>
      </c>
      <c r="F7" s="87" t="str">
        <f>IF(ISBLANK('Control Entry'!J16),"",'Control Entry'!J16)</f>
        <v>What size?</v>
      </c>
      <c r="G7" s="86"/>
      <c r="H7" s="24" t="s">
        <v>29</v>
      </c>
      <c r="J7" s="74"/>
      <c r="L7" s="74"/>
    </row>
    <row r="8" spans="1:22" ht="36" customHeight="1" thickBot="1" x14ac:dyDescent="0.25">
      <c r="A8" s="29"/>
      <c r="B8" s="30" t="d">
        <f>Control_2 Open_time</f>
        <v>2023-06-24T08:28:59.99999959487468325</v>
      </c>
      <c r="C8" s="30" t="d">
        <f>Control_2 Close_time</f>
        <v>2023-06-24T10:30:59.999999566935002625</v>
      </c>
      <c r="D8" s="31"/>
      <c r="E8" s="73" t="str">
        <f>IF(ISBLANK(Control_2 Establishment_3),"",Control_2 Establishment_3)</f>
        <v/>
      </c>
      <c r="F8" s="88" t="str">
        <f>IF(ISBLANK('Control Entry'!K16),"",'Control Entry'!K16)</f>
        <v>Small        Lifesize        Big</v>
      </c>
      <c r="G8" s="89"/>
      <c r="H8" s="24" t="s">
        <v>29</v>
      </c>
      <c r="J8" s="15" t="s">
        <v>34</v>
      </c>
      <c r="L8" s="121"/>
      <c r="M8" s="121"/>
      <c r="N8" s="121"/>
      <c r="O8" s="121"/>
      <c r="P8" s="121"/>
      <c r="Q8" s="121"/>
      <c r="S8" s="41" t="s">
        <v>46</v>
      </c>
      <c r="T8" s="128"/>
      <c r="U8" s="128"/>
    </row>
    <row r="9" spans="1:22" ht="36" customHeight="1" thickBot="1" x14ac:dyDescent="0.3">
      <c r="A9" s="25"/>
      <c r="B9" s="26" t="d">
        <f>Control_3 Open_time</f>
        <v>2023-06-24T09:06:59.99999948311597425</v>
      </c>
      <c r="C9" s="26" t="d">
        <f>Control_3 Close_time</f>
        <v>2023-06-24T11:46:59.99999997206032275</v>
      </c>
      <c r="D9" s="33"/>
      <c r="E9" s="28" t="str">
        <f>IF(ISBLANK(Control_3 Establishment_1),"",Control_3 Establishment_1)</f>
        <v>Mailboxes</v>
      </c>
      <c r="F9" s="85" t="str">
        <f>IF(ISBLANK('Control Entry'!I17),"",'Control Entry'!I17)</f>
        <v>Mailbox tower 1 (number in top left)</v>
      </c>
      <c r="G9" s="86"/>
      <c r="H9" s="24" t="s">
        <v>29</v>
      </c>
      <c r="J9" s="15" t="s">
        <v>35</v>
      </c>
      <c r="K9" s="15"/>
      <c r="L9" s="137" t="s">
        <v>54</v>
      </c>
      <c r="M9" s="137"/>
      <c r="N9" s="137"/>
      <c r="O9" s="137"/>
      <c r="P9" s="137"/>
      <c r="Q9" s="137"/>
      <c r="R9" s="137"/>
      <c r="S9" s="137"/>
      <c r="T9" s="137"/>
      <c r="U9" s="137"/>
    </row>
    <row r="10" spans="1:22" ht="36" customHeight="1" thickBot="1" x14ac:dyDescent="0.3">
      <c r="A10" s="34">
        <f>IF(ISBLANK(Distance Control_3),"",Control_3 Distance)</f>
        <v>71.7</v>
      </c>
      <c r="B10" s="35" t="d">
        <f>Control_3 Open_time</f>
        <v>2023-06-24T09:06:59.99999948311597425</v>
      </c>
      <c r="C10" s="35" t="d">
        <f>Control_3 Close_time</f>
        <v>2023-06-24T11:46:59.99999997206032275</v>
      </c>
      <c r="D10" s="36" t="str">
        <f>IF(ISBLANK(Locale Control_3),"",Locale Control_3)</f>
        <v>MECHOSIN</v>
      </c>
      <c r="E10" s="28" t="str">
        <f>IF(ISBLANK(Control_3 Establishment_2),"",Control_3 Establishment_2)</f>
        <v>Liberty Drive at Deer Park Trail</v>
      </c>
      <c r="F10" s="85" t="str">
        <f>IF(ISBLANK('Control Entry'!J17),"",'Control Entry'!J17)</f>
        <v>Columns of mailboxes in tower</v>
      </c>
      <c r="G10" s="86"/>
      <c r="H10" s="24" t="s">
        <v>29</v>
      </c>
      <c r="J10" s="15"/>
      <c r="K10" s="15"/>
      <c r="L10" s="130"/>
      <c r="M10" s="130"/>
      <c r="N10" s="130"/>
      <c r="O10" s="130"/>
      <c r="P10" s="130"/>
      <c r="Q10" s="130"/>
      <c r="R10" s="130"/>
      <c r="S10" s="130"/>
      <c r="T10" s="130"/>
      <c r="U10" s="130"/>
    </row>
    <row r="11" spans="1:22" ht="36" customHeight="1" thickBot="1" x14ac:dyDescent="0.3">
      <c r="A11" s="29"/>
      <c r="B11" s="30" t="d">
        <f>Control_3 Open_time</f>
        <v>2023-06-24T09:06:59.99999948311597425</v>
      </c>
      <c r="C11" s="30" t="d">
        <f>Control_3 Close_time</f>
        <v>2023-06-24T11:46:59.99999997206032275</v>
      </c>
      <c r="D11" s="31"/>
      <c r="E11" s="32" t="str">
        <f>IF(ISBLANK(Control_3 Establishment_3),"",Control_3 Establishment_3)</f>
        <v/>
      </c>
      <c r="F11" s="90" t="str">
        <f>IF(ISBLANK('Control Entry'!K17),"",'Control Entry'!K17)</f>
        <v>Circle answer:   1    2    3    4</v>
      </c>
      <c r="G11" s="89"/>
      <c r="H11" s="24" t="s">
        <v>29</v>
      </c>
      <c r="J11" s="15" t="s">
        <v>36</v>
      </c>
      <c r="K11" s="15"/>
      <c r="L11" s="130"/>
      <c r="M11" s="130"/>
      <c r="N11" s="130"/>
      <c r="O11" s="15"/>
      <c r="P11" s="15" t="s">
        <v>37</v>
      </c>
      <c r="Q11" s="15"/>
      <c r="R11" s="15"/>
      <c r="S11" s="118"/>
      <c r="T11" s="118"/>
      <c r="U11" s="118"/>
    </row>
    <row r="12" spans="1:22" ht="36" customHeight="1" thickBot="1" x14ac:dyDescent="0.3">
      <c r="A12" s="25"/>
      <c r="B12" s="26" t="d">
        <f>Control_4 Open_time</f>
        <v>2023-06-24T09:36:59.99999969266355025</v>
      </c>
      <c r="C12" s="26" t="d">
        <f>Control_4 Close_time</f>
        <v>2023-06-24T12:55:59.99999963678419575</v>
      </c>
      <c r="D12" s="33"/>
      <c r="E12" s="28" t="str">
        <f>IF(ISBLANK(Control_4 Establishment_1),"",Control_4 Establishment_1)</f>
        <v>Totem Pole</v>
      </c>
      <c r="F12" s="85" t="str">
        <f>IF(ISBLANK('Control Entry'!I18),"",'Control Entry'!I18)</f>
        <v>Plaque in front of totem pole</v>
      </c>
      <c r="G12" s="86"/>
      <c r="H12" s="24" t="s">
        <v>29</v>
      </c>
      <c r="J12" s="15" t="s">
        <v>38</v>
      </c>
      <c r="K12" s="15"/>
      <c r="L12" s="130"/>
      <c r="M12" s="130"/>
      <c r="N12" s="130"/>
      <c r="O12" s="15"/>
      <c r="P12" s="15" t="s">
        <v>39</v>
      </c>
      <c r="Q12" s="15"/>
      <c r="R12" s="15"/>
      <c r="S12" s="118"/>
      <c r="T12" s="118"/>
      <c r="U12" s="118"/>
    </row>
    <row r="13" spans="1:22" ht="36" customHeight="1" thickBot="1" x14ac:dyDescent="0.3">
      <c r="A13" s="34">
        <f>IF(ISBLANK(Distance Control_4),"",Control_4 Distance)</f>
        <v>88.9</v>
      </c>
      <c r="B13" s="35" t="d">
        <f>Control_4 Open_time</f>
        <v>2023-06-24T09:36:59.99999969266355025</v>
      </c>
      <c r="C13" s="35" t="d">
        <f>Control_4 Close_time</f>
        <v>2023-06-24T12:55:59.99999963678419575</v>
      </c>
      <c r="D13" s="36" t="str">
        <f>IF(ISBLANK(Locale Control_4),"",Locale Control_4)</f>
        <v>COLWOOD</v>
      </c>
      <c r="E13" s="28" t="str">
        <f>IF(ISBLANK(Control_4 Establishment_2),"",Control_4 Establishment_2)</f>
        <v>West Campus Rd at University Dr</v>
      </c>
      <c r="F13" s="85" t="str">
        <f>IF(ISBLANK('Control Entry'!J18),"",'Control Entry'!J18)</f>
        <v>Date at bottom of plaque</v>
      </c>
      <c r="G13" s="86"/>
      <c r="H13" s="24" t="s">
        <v>29</v>
      </c>
      <c r="J13" s="15" t="s">
        <v>40</v>
      </c>
      <c r="L13" s="140"/>
      <c r="M13" s="140"/>
      <c r="N13" s="140"/>
      <c r="P13" s="15" t="s">
        <v>41</v>
      </c>
      <c r="Q13" s="15"/>
      <c r="R13" s="119"/>
      <c r="S13" s="119"/>
      <c r="T13" s="119"/>
      <c r="U13" s="119"/>
    </row>
    <row r="14" spans="1:22" ht="36" customHeight="1" thickBot="1" x14ac:dyDescent="0.25">
      <c r="A14" s="29"/>
      <c r="B14" s="30" t="d">
        <f>Control_4 Open_time</f>
        <v>2023-06-24T09:36:59.99999969266355025</v>
      </c>
      <c r="C14" s="30" t="d">
        <f>Control_4 Close_time</f>
        <v>2023-06-24T12:55:59.99999963678419575</v>
      </c>
      <c r="D14" s="31"/>
      <c r="E14" s="32" t="str">
        <f>IF(ISBLANK(Control_4 Establishment_3),"",Control_4 Establishment_3)</f>
        <v/>
      </c>
      <c r="F14" s="90" t="str">
        <f>IF(ISBLANK('Control Entry'!K18),"",'Control Entry'!K18)</f>
        <v>September ______________</v>
      </c>
      <c r="G14" s="89"/>
      <c r="H14" s="24" t="s">
        <v>29</v>
      </c>
    </row>
    <row r="15" spans="1:22" ht="36" customHeight="1" x14ac:dyDescent="0.2">
      <c r="A15" s="25"/>
      <c r="B15" s="26" t="d">
        <f>Control_5 Open_time</f>
        <v>2023-06-24T09:58:59.99999959487468325</v>
      </c>
      <c r="C15" s="26" t="d">
        <f>Control_5 Close_time</f>
        <v>2023-06-24T13:44:59.99999979045242400</v>
      </c>
      <c r="D15" s="33"/>
      <c r="E15" s="28" t="str">
        <f>IF(ISBLANK(Control_5 Establishment_1),"",Control_5 Establishment_1)</f>
        <v>Saxe Point Park</v>
      </c>
      <c r="F15" s="85" t="str">
        <f>IF(ISBLANK('Control Entry'!I19),"",'Control Entry'!I19)</f>
        <v>Covered welcome sign by washrooms</v>
      </c>
      <c r="G15" s="86"/>
      <c r="H15" s="24" t="s">
        <v>29</v>
      </c>
      <c r="J15" s="15"/>
      <c r="L15" s="134" t="s">
        <v>58</v>
      </c>
      <c r="M15" s="134"/>
      <c r="N15" s="134"/>
      <c r="O15" s="134"/>
      <c r="P15" s="134"/>
      <c r="Q15" s="134"/>
      <c r="R15" s="134"/>
      <c r="S15" s="134"/>
      <c r="T15" s="134"/>
      <c r="U15" s="134"/>
    </row>
    <row r="16" spans="1:22" ht="36" customHeight="1" thickBot="1" x14ac:dyDescent="0.25">
      <c r="A16" s="34">
        <f>IF(ISBLANK(Distance Control_5),"",Control_5 Distance)</f>
        <v>101.3</v>
      </c>
      <c r="B16" s="35" t="d">
        <f>Control_5 Open_time</f>
        <v>2023-06-24T09:58:59.99999959487468325</v>
      </c>
      <c r="C16" s="35" t="d">
        <f>Control_5 Close_time</f>
        <v>2023-06-24T13:44:59.99999979045242400</v>
      </c>
      <c r="D16" s="36" t="str">
        <f>IF(ISBLANK(Locale Control_5),"",Locale Control_5)</f>
        <v>ESQUIMALT</v>
      </c>
      <c r="E16" s="28" t="str">
        <f>IF(ISBLANK(Control_5 Establishment_2),"",Control_5 Establishment_2)</f>
        <v>Fraser St</v>
      </c>
      <c r="F16" s="85" t="str">
        <f>IF(ISBLANK('Control Entry'!J19),"",'Control Entry'!J19)</f>
        <v>TRAIL ETIQUETTE, first on list (top left)</v>
      </c>
      <c r="G16" s="86"/>
      <c r="H16" s="24" t="s">
        <v>29</v>
      </c>
      <c r="L16" s="138"/>
      <c r="M16" s="138"/>
      <c r="N16" s="138"/>
      <c r="O16" s="138"/>
      <c r="P16" s="138"/>
      <c r="Q16" s="138"/>
      <c r="R16" s="138"/>
      <c r="S16" s="138"/>
      <c r="T16" s="138"/>
      <c r="U16" s="138"/>
    </row>
    <row r="17" spans="1:22" ht="36" customHeight="1" thickBot="1" x14ac:dyDescent="0.25">
      <c r="A17" s="29"/>
      <c r="B17" s="30" t="d">
        <f>Control_5 Open_time</f>
        <v>2023-06-24T09:58:59.99999959487468325</v>
      </c>
      <c r="C17" s="30" t="d">
        <f>Control_5 Close_time</f>
        <v>2023-06-24T13:44:59.99999979045242400</v>
      </c>
      <c r="D17" s="31"/>
      <c r="E17" s="32" t="str">
        <f>IF(ISBLANK(Control_5 Establishment_3),"",Control_5 Establishment_3)</f>
        <v/>
      </c>
      <c r="F17" s="90" t="str">
        <f>IF(ISBLANK('Control Entry'!K19),"",'Control Entry'!K19)</f>
        <v>NO ________________ ALLOWED</v>
      </c>
      <c r="G17" s="89"/>
      <c r="H17" s="24" t="s">
        <v>29</v>
      </c>
    </row>
    <row r="18" spans="1:22" ht="36" customHeight="1" x14ac:dyDescent="0.2">
      <c r="A18" s="25"/>
      <c r="B18" s="26" t="d">
        <f>Control_6 Open_time</f>
        <v>2023-06-24T10:59:59.99999958090484125</v>
      </c>
      <c r="C18" s="26" t="d">
        <f>Control_6 Close_time</f>
        <v>2023-06-24T16:04:59.99999951105565150</v>
      </c>
      <c r="D18" s="33"/>
      <c r="E18" s="28" t="str">
        <f>IF(ISBLANK(Control_6 Establishment_1),"",Control_6 Establishment_1)</f>
        <v>Beach access</v>
      </c>
      <c r="F18" s="85" t="str">
        <f>IF(ISBLANK('Control Entry'!I20),"",'Control Entry'!I20)</f>
        <v>Beach Access Sign</v>
      </c>
      <c r="G18" s="86"/>
      <c r="H18" s="24" t="s">
        <v>29</v>
      </c>
    </row>
    <row r="19" spans="1:22" ht="36" customHeight="1" x14ac:dyDescent="0.2">
      <c r="A19" s="34">
        <f>IF(ISBLANK(Distance Control_6),"",Control_6 Distance)</f>
        <v>136.19999999999999</v>
      </c>
      <c r="B19" s="35" t="d">
        <f>Control_6 Open_time</f>
        <v>2023-06-24T10:59:59.99999958090484125</v>
      </c>
      <c r="C19" s="35" t="d">
        <f>Control_6 Close_time</f>
        <v>2023-06-24T16:04:59.99999951105565150</v>
      </c>
      <c r="D19" s="36" t="str">
        <f>IF(ISBLANK(Locale Control_6),"",Locale Control_6)</f>
        <v>SAANICH</v>
      </c>
      <c r="E19" s="28" t="str">
        <f>IF(ISBLANK(Control_6 Establishment_2),"",Control_6 Establishment_2)</f>
        <v>Leyns Rd at Balmacarra Rd</v>
      </c>
      <c r="F19" s="85" t="str">
        <f>IF(ISBLANK('Control Entry'!J20),"",'Control Entry'!J20)</f>
        <v>Top left symbol</v>
      </c>
      <c r="G19" s="86"/>
      <c r="H19" s="24" t="s">
        <v>29</v>
      </c>
    </row>
    <row r="20" spans="1:22" ht="36" customHeight="1" thickBot="1" x14ac:dyDescent="0.25">
      <c r="A20" s="29"/>
      <c r="B20" s="30" t="d">
        <f>Control_6 Open_time</f>
        <v>2023-06-24T10:59:59.99999958090484125</v>
      </c>
      <c r="C20" s="30" t="d">
        <f>Control_6 Close_time</f>
        <v>2023-06-24T16:04:59.99999951105565150</v>
      </c>
      <c r="D20" s="31"/>
      <c r="E20" s="32" t="str">
        <f>IF(ISBLANK(Control_6 Establishment_3),"",Control_6 Establishment_3)</f>
        <v/>
      </c>
      <c r="F20" s="90" t="str">
        <f>IF(ISBLANK('Control Entry'!K20),"",'Control Entry'!K20)</f>
        <v>NO ________________</v>
      </c>
      <c r="G20" s="89"/>
      <c r="H20" s="24" t="s">
        <v>29</v>
      </c>
      <c r="J20" s="50" t="s">
        <v>44</v>
      </c>
      <c r="K20" s="50"/>
      <c r="L20" s="129" t="d">
        <f>IF(ISBLANK('Control Entry'!B12),"",'Control Entry'!B12)</f>
        <v>2023-06-24</v>
      </c>
      <c r="M20" s="129"/>
      <c r="N20" s="129"/>
      <c r="P20" s="15" t="s">
        <v>0</v>
      </c>
      <c r="Q20" s="15"/>
      <c r="S20" s="133" t="d">
        <f>IF(ISBLANK('Control Entry'!B13),"",'Control Entry'!B13)</f>
        <v>07:00:00.0000000000015975</v>
      </c>
      <c r="T20" s="133"/>
      <c r="U20" s="133"/>
    </row>
    <row r="21" spans="1:22" ht="36" customHeight="1" x14ac:dyDescent="0.2">
      <c r="A21" s="25"/>
      <c r="B21" s="26" t="d">
        <f>Control_7 Open_time</f>
        <v>2023-06-24T11:31:59.99999955296516400</v>
      </c>
      <c r="C21" s="26" t="d">
        <f>Control_7 Close_time</f>
        <v>2023-06-24T17:16:59.99999976251274675</v>
      </c>
      <c r="D21" s="33"/>
      <c r="E21" s="28" t="str">
        <f>IF(ISBLANK(Control_7 Establishment_1),"",Control_7 Establishment_1)</f>
        <v>Beacon Hill Park</v>
      </c>
      <c r="F21" s="85" t="str">
        <f>IF(ISBLANK('Control Entry'!I21),"",'Control Entry'!I21)</f>
        <v>Plaque on stone by picnic shelter</v>
      </c>
      <c r="G21" s="86"/>
      <c r="H21" s="24" t="s">
        <v>29</v>
      </c>
      <c r="J21" s="50"/>
      <c r="K21" s="50"/>
      <c r="L21" s="44"/>
      <c r="M21" s="44"/>
      <c r="N21" s="44"/>
      <c r="P21" s="15"/>
      <c r="Q21" s="15"/>
      <c r="S21" s="51"/>
      <c r="T21" s="51"/>
      <c r="U21" s="51"/>
    </row>
    <row r="22" spans="1:22" ht="36" customHeight="1" thickBot="1" x14ac:dyDescent="0.25">
      <c r="A22" s="34">
        <f>IF(ISBLANK(Distance Control_7),"",Control_7 Distance)</f>
        <v>154.30000000000001</v>
      </c>
      <c r="B22" s="35" t="d">
        <f>Control_7 Open_time</f>
        <v>2023-06-24T11:31:59.99999955296516400</v>
      </c>
      <c r="C22" s="35" t="d">
        <f>Control_7 Close_time</f>
        <v>2023-06-24T17:16:59.99999976251274675</v>
      </c>
      <c r="D22" s="36" t="str">
        <f>IF(ISBLANK(Locale Control_7),"",Locale Control_7)</f>
        <v>VICTORIA</v>
      </c>
      <c r="E22" s="28" t="str">
        <f>IF(ISBLANK(Control_7 Establishment_2),"",Control_7 Establishment_2)</f>
        <v>Circle Drive</v>
      </c>
      <c r="F22" s="85" t="str">
        <f>IF(ISBLANK('Control Entry'!J21),"",'Control Entry'!J21)</f>
        <v>Date at bottom of plaque</v>
      </c>
      <c r="G22" s="86"/>
      <c r="H22" s="24" t="s">
        <v>29</v>
      </c>
      <c r="J22" s="50" t="s">
        <v>45</v>
      </c>
      <c r="K22" s="50"/>
      <c r="L22" s="139"/>
      <c r="M22" s="139"/>
      <c r="N22" s="139"/>
      <c r="P22" s="15" t="s">
        <v>1</v>
      </c>
      <c r="Q22" s="15"/>
      <c r="S22" s="136"/>
      <c r="T22" s="136"/>
      <c r="U22" s="136"/>
    </row>
    <row r="23" spans="1:22" ht="36" customHeight="1" thickBot="1" x14ac:dyDescent="0.25">
      <c r="A23" s="29"/>
      <c r="B23" s="30" t="d">
        <f>Control_7 Open_time</f>
        <v>2023-06-24T11:31:59.99999955296516400</v>
      </c>
      <c r="C23" s="30" t="d">
        <f>Control_7 Close_time</f>
        <v>2023-06-24T17:16:59.99999976251274675</v>
      </c>
      <c r="D23" s="31"/>
      <c r="E23" s="32" t="str">
        <f>IF(ISBLANK(Control_7 Establishment_3),"",Control_7 Establishment_3)</f>
        <v>30m before Beacon Hill Loop</v>
      </c>
      <c r="F23" s="90" t="str">
        <f>IF(ISBLANK('Control Entry'!K21),"",'Control Entry'!K21)</f>
        <v>April ________, 1990</v>
      </c>
      <c r="G23" s="89"/>
      <c r="H23" s="24" t="s">
        <v>29</v>
      </c>
      <c r="J23" s="50"/>
      <c r="K23" s="50"/>
      <c r="L23" s="44"/>
      <c r="M23" s="44"/>
      <c r="N23" s="44"/>
      <c r="P23" s="15"/>
      <c r="Q23" s="15"/>
    </row>
    <row r="24" spans="1:22" ht="36" customHeight="1" thickBot="1" x14ac:dyDescent="0.25">
      <c r="A24" s="25"/>
      <c r="B24" s="26" t="d">
        <f>Control_8 Open_time</f>
        <v>2023-06-24T12:02:59.9999999580904875</v>
      </c>
      <c r="C24" s="26" t="d">
        <f>Control_8 Close_time</f>
        <v>2023-06-24T18:26:00.00000005587935450</v>
      </c>
      <c r="D24" s="33"/>
      <c r="E24" s="28" t="str">
        <f>IF(ISBLANK(Control_8 Establishment_1),"",Control_8 Establishment_1)</f>
        <v>Mount Douglas Park</v>
      </c>
      <c r="F24" s="85" t="str">
        <f>IF(ISBLANK('Control Entry'!I22),"",'Control Entry'!I22)</f>
        <v>Welcome sign to right of washrooms</v>
      </c>
      <c r="G24" s="86"/>
      <c r="H24" s="24" t="s">
        <v>29</v>
      </c>
      <c r="J24" s="136"/>
      <c r="K24" s="136"/>
      <c r="L24" s="136"/>
      <c r="M24" s="136"/>
      <c r="N24" s="136"/>
      <c r="P24" s="15" t="s">
        <v>2</v>
      </c>
      <c r="Q24" s="15"/>
      <c r="S24" s="136"/>
      <c r="T24" s="136"/>
      <c r="U24" s="136"/>
    </row>
    <row r="25" spans="1:22" ht="36" customHeight="1" x14ac:dyDescent="0.2">
      <c r="A25" s="34">
        <f>IF(ISBLANK(Distance Control_8),"",Control_8 Distance)</f>
        <v>171.6</v>
      </c>
      <c r="B25" s="35" t="d">
        <f>Control_8 Open_time</f>
        <v>2023-06-24T12:02:59.9999999580904875</v>
      </c>
      <c r="C25" s="35" t="d">
        <f>Control_8 Close_time</f>
        <v>2023-06-24T18:26:00.00000005587935450</v>
      </c>
      <c r="D25" s="36" t="str">
        <f>IF(ISBLANK(Locale Control_8),"",Locale Control_8)</f>
        <v>SAANICH</v>
      </c>
      <c r="E25" s="28" t="str">
        <f>IF(ISBLANK(Control_8 Establishment_2),"",Control_8 Establishment_2)</f>
        <v>4501 Cordova Bay Rd</v>
      </c>
      <c r="F25" s="85" t="str">
        <f>IF(ISBLANK('Control Entry'!J22),"",'Control Entry'!J22)</f>
        <v>Habitat Zone on bottom right</v>
      </c>
      <c r="G25" s="86"/>
      <c r="H25" s="24" t="s">
        <v>29</v>
      </c>
      <c r="J25" s="131" t="s">
        <v>17</v>
      </c>
      <c r="K25" s="131"/>
      <c r="L25" s="131"/>
      <c r="M25" s="131"/>
      <c r="N25" s="131"/>
      <c r="O25" s="46"/>
      <c r="P25" s="110"/>
      <c r="Q25" s="110"/>
      <c r="R25" s="46"/>
      <c r="S25" s="108"/>
      <c r="T25" s="108"/>
      <c r="U25" s="108"/>
      <c r="V25" s="108"/>
    </row>
    <row r="26" spans="1:22" ht="36" customHeight="1" thickBot="1" x14ac:dyDescent="0.25">
      <c r="A26" s="29"/>
      <c r="B26" s="30" t="d">
        <f>Control_8 Open_time</f>
        <v>2023-06-24T12:02:59.9999999580904875</v>
      </c>
      <c r="C26" s="30" t="d">
        <f>Control_8 Close_time</f>
        <v>2023-06-24T18:26:00.00000005587935450</v>
      </c>
      <c r="D26" s="31"/>
      <c r="E26" s="32" t="str">
        <f>IF(ISBLANK(Control_8 Establishment_3),"",Control_8 Establishment_3)</f>
        <v/>
      </c>
      <c r="F26" s="90" t="str">
        <f>IF(ISBLANK('Control Entry'!K22),"",'Control Entry'!K22)</f>
        <v>______________   _______ Rock Outcrop</v>
      </c>
      <c r="G26" s="89"/>
      <c r="H26" s="24" t="s">
        <v>29</v>
      </c>
    </row>
    <row r="27" spans="1:22" ht="36" customHeight="1" x14ac:dyDescent="0.2">
      <c r="A27" s="25"/>
      <c r="B27" s="26" t="d">
        <f>Control_9 Open_time</f>
        <v>2023-06-24T12:58:00.00000002793967725</v>
      </c>
      <c r="C27" s="26" t="d">
        <f>Control_9 Close_time</f>
        <v>2023-06-24T20:29:59.99999979045242400</v>
      </c>
      <c r="D27" s="33"/>
      <c r="E27" s="28" t="str">
        <f>IF(ISBLANK(Control_9 Establishment_1),"",Control_9 Establishment_1)</f>
        <v>Stonehouse Pub</v>
      </c>
      <c r="F27" s="85" t="str">
        <f>IF(ISBLANK('Control Entry'!I23),"",'Control Entry'!I23)</f>
        <v/>
      </c>
      <c r="G27" s="86"/>
      <c r="H27" s="24" t="s">
        <v>29</v>
      </c>
      <c r="K27" s="117" t="s">
        <v>56</v>
      </c>
      <c r="L27" s="110"/>
      <c r="M27" s="45" t="s">
        <v>57</v>
      </c>
      <c r="N27" s="110" t="s">
        <v>49</v>
      </c>
      <c r="O27" s="110"/>
      <c r="P27" s="110" t="s">
        <v>50</v>
      </c>
      <c r="Q27" s="110"/>
      <c r="R27" s="46" t="s">
        <v>51</v>
      </c>
      <c r="S27" s="108" t="s">
        <v>52</v>
      </c>
      <c r="T27" s="108"/>
      <c r="U27" s="108" t="s">
        <v>53</v>
      </c>
      <c r="V27" s="108"/>
    </row>
    <row r="28" spans="1:22" ht="36" customHeight="1" x14ac:dyDescent="0.2">
      <c r="A28" s="34">
        <f>IF(ISBLANK(Distance Control_9),"",Control_9 Distance)</f>
        <v>202.8</v>
      </c>
      <c r="B28" s="35" t="d">
        <f>Control_9 Open_time</f>
        <v>2023-06-24T12:58:00.00000002793967725</v>
      </c>
      <c r="C28" s="35" t="d">
        <f>Control_9 Close_time</f>
        <v>2023-06-24T20:29:59.99999979045242400</v>
      </c>
      <c r="D28" s="36" t="str">
        <f>IF(ISBLANK(Locale Control_9),"",Locale Control_9)</f>
        <v>NORTH SAANICH</v>
      </c>
      <c r="E28" s="28" t="str">
        <f>IF(ISBLANK(Control_9 Establishment_2),"",Control_9 Establishment_2)</f>
        <v>2215 Canoe Cove Rd</v>
      </c>
      <c r="F28" s="85" t="str">
        <f>IF(ISBLANK('Control Entry'!J23),"",'Control Entry'!J23)</f>
        <v/>
      </c>
      <c r="G28" s="86"/>
      <c r="H28" s="24" t="s">
        <v>29</v>
      </c>
    </row>
    <row r="29" spans="1:22" ht="36" customHeight="1" thickBot="1" x14ac:dyDescent="0.25">
      <c r="A29" s="29"/>
      <c r="B29" s="30" t="d">
        <f>Control_9 Open_time</f>
        <v>2023-06-24T12:58:00.00000002793967725</v>
      </c>
      <c r="C29" s="30" t="d">
        <f>Control_9 Close_time</f>
        <v>2023-06-24T20:29:59.99999979045242400</v>
      </c>
      <c r="D29" s="31"/>
      <c r="E29" s="32" t="str">
        <f>IF(ISBLANK(Control_9 Establishment_3),"",Control_9 Establishment_3)</f>
        <v/>
      </c>
      <c r="F29" s="90" t="str">
        <f>IF(ISBLANK('Control Entry'!K23),"",'Control Entry'!K23)</f>
        <v/>
      </c>
      <c r="G29" s="89"/>
      <c r="H29" s="24" t="s">
        <v>29</v>
      </c>
      <c r="M29" s="109" t="s">
        <v>42</v>
      </c>
      <c r="N29" s="109"/>
      <c r="O29" s="109"/>
      <c r="P29" s="109"/>
      <c r="Q29" s="109"/>
      <c r="R29" s="109"/>
      <c r="S29" s="109"/>
      <c r="T29" s="109"/>
      <c r="U29" s="49"/>
    </row>
    <row r="30" spans="1:22" ht="36" customHeight="1" x14ac:dyDescent="0.2">
      <c r="A30" s="25"/>
      <c r="B30" s="26" t="str">
        <f>Control_10 Open_time</f>
        <v/>
      </c>
      <c r="C30" s="26" t="str">
        <f>Control_10 Close_time</f>
        <v/>
      </c>
      <c r="D30" s="33"/>
      <c r="E30" s="28" t="str">
        <f>IF(ISBLANK(Control_10 Establishment_1),"",Control_10 Establishment_1)</f>
        <v/>
      </c>
      <c r="F30" s="85" t="str">
        <f>IF(ISBLANK('Control Entry'!I24),"",'Control Entry'!I24)</f>
        <v/>
      </c>
      <c r="G30" s="86"/>
      <c r="H30" s="24" t="s">
        <v>29</v>
      </c>
      <c r="M30" s="16"/>
      <c r="N30" s="18"/>
      <c r="O30" s="18"/>
      <c r="P30" s="19"/>
      <c r="Q30" s="16"/>
      <c r="R30" s="18"/>
      <c r="S30" s="18"/>
      <c r="T30" s="19"/>
    </row>
    <row r="31" spans="1:22" ht="36" customHeight="1" x14ac:dyDescent="0.2">
      <c r="A31" s="34" t="str">
        <f>IF(ISBLANK(Distance Control_10),"",Control_10 Distance)</f>
        <v/>
      </c>
      <c r="B31" s="35" t="str">
        <f>Control_10 Open_time</f>
        <v/>
      </c>
      <c r="C31" s="35" t="str">
        <f>Control_10 Close_time</f>
        <v/>
      </c>
      <c r="D31" s="36" t="str">
        <f>IF(ISBLANK(Locale Control_10),"",Locale Control_10)</f>
        <v>SECRET</v>
      </c>
      <c r="E31" s="28" t="str">
        <f>IF(ISBLANK(Control_10 Establishment_2),"",Control_10 Establishment_2)</f>
        <v/>
      </c>
      <c r="F31" s="85" t="str">
        <f>IF(ISBLANK('Control Entry'!J24),"",'Control Entry'!J24)</f>
        <v/>
      </c>
      <c r="G31" s="86"/>
      <c r="H31" s="24" t="s">
        <v>29</v>
      </c>
      <c r="M31" s="17"/>
      <c r="P31" s="20"/>
      <c r="Q31" s="17"/>
      <c r="T31" s="20"/>
    </row>
    <row r="32" spans="1:22" ht="36" customHeight="1" thickBot="1" x14ac:dyDescent="0.25">
      <c r="A32" s="29"/>
      <c r="B32" s="30" t="str">
        <f>Control_10 Open_time</f>
        <v/>
      </c>
      <c r="C32" s="30" t="str">
        <f>Control_10 Close_time</f>
        <v/>
      </c>
      <c r="D32" s="31"/>
      <c r="E32" s="32" t="str">
        <f>IF(ISBLANK(Control_10 Establishment_3),"",Control_10 Establishment_3)</f>
        <v/>
      </c>
      <c r="F32" s="90" t="str">
        <f>IF(ISBLANK('Control Entry'!K24),"",'Control Entry'!K24)</f>
        <v/>
      </c>
      <c r="G32" s="89"/>
      <c r="H32" s="24" t="s">
        <v>29</v>
      </c>
      <c r="M32" s="122" t="s">
        <v>82</v>
      </c>
      <c r="N32" s="123"/>
      <c r="O32" s="123"/>
      <c r="P32" s="124"/>
      <c r="Q32" s="125" t="d">
        <f>'Control Entry'!B3</f>
        <v>2022-11-09</v>
      </c>
      <c r="R32" s="126"/>
      <c r="S32" s="126"/>
      <c r="T32" s="127"/>
    </row>
    <row r="33" spans="1:22" ht="36" customHeight="1" x14ac:dyDescent="0.2">
      <c r="A33" s="116" t="s">
        <v>43</v>
      </c>
      <c r="B33" s="116"/>
      <c r="C33" s="116"/>
      <c r="D33" s="116"/>
      <c r="E33" s="116"/>
      <c r="F33" s="116"/>
      <c r="G33" s="116"/>
      <c r="H33" s="37"/>
      <c r="I33" s="37"/>
      <c r="M33" s="111" t="s">
        <v>86</v>
      </c>
      <c r="N33" s="112"/>
      <c r="O33" s="112"/>
      <c r="P33" s="112"/>
      <c r="Q33" s="113" t="d">
        <f>'Control Entry'!B4</f>
        <v>2023-06-18</v>
      </c>
      <c r="R33" s="114"/>
      <c r="S33" s="114"/>
      <c r="T33" s="114"/>
      <c r="V33" s="44"/>
    </row>
    <row r="34" spans="1:22" ht="36" customHeight="1" x14ac:dyDescent="0.2">
      <c r="A34"/>
      <c r="O34" s="15"/>
      <c r="P34" s="15"/>
      <c r="Q34" s="15"/>
      <c r="R34" s="42"/>
    </row>
    <row r="35" spans="1:22" ht="36" customHeight="1" x14ac:dyDescent="0.2">
      <c r="A35"/>
      <c r="N35" s="109"/>
      <c r="O35" s="109"/>
      <c r="P35" s="109"/>
      <c r="Q35" s="109"/>
      <c r="R35" s="109"/>
      <c r="S35" s="109"/>
      <c r="T35" s="109"/>
      <c r="U35" s="109"/>
    </row>
    <row r="36" spans="1:22" ht="36" customHeight="1" x14ac:dyDescent="0.15">
      <c r="A36"/>
    </row>
    <row r="37" spans="1:22" ht="36" customHeight="1" x14ac:dyDescent="0.15">
      <c r="A37"/>
    </row>
    <row r="38" spans="1:22" ht="36" customHeight="1" x14ac:dyDescent="0.2">
      <c r="A38"/>
      <c r="N38" s="15"/>
    </row>
    <row r="39" spans="1:22" ht="36" customHeight="1" x14ac:dyDescent="0.15">
      <c r="A39"/>
    </row>
    <row r="40" spans="1:22" ht="36" customHeight="1" x14ac:dyDescent="0.15">
      <c r="A40"/>
    </row>
  </sheetData>
  <sheetProtection algorithmName="SHA-512" hashValue="iDQb38Z5WZp87lXMQAT4xTXeXKPICpVt+wSBVo/dofQxJAYMrgvpXFZDzKlfo5JR1/olCdCIytlMSqpHKz79Wg==" saltValue="3TGUHDVIfOEKM0XlLUm4zg==" spinCount="100000" sheet="1" objects="1" scenarios="1" formatCells="0" selectLockedCells="1"/>
  <mergeCells count="41">
    <mergeCell ref="N5:O5"/>
    <mergeCell ref="K27:L27"/>
    <mergeCell ref="J25:N25"/>
    <mergeCell ref="O3:R3"/>
    <mergeCell ref="S20:U20"/>
    <mergeCell ref="L15:U15"/>
    <mergeCell ref="L6:U6"/>
    <mergeCell ref="S24:U24"/>
    <mergeCell ref="J24:N24"/>
    <mergeCell ref="L9:U9"/>
    <mergeCell ref="L10:U10"/>
    <mergeCell ref="L16:U16"/>
    <mergeCell ref="L22:N22"/>
    <mergeCell ref="S22:U22"/>
    <mergeCell ref="L13:N13"/>
    <mergeCell ref="S11:U11"/>
    <mergeCell ref="A1:G1"/>
    <mergeCell ref="A33:G33"/>
    <mergeCell ref="M4:T4"/>
    <mergeCell ref="P25:Q25"/>
    <mergeCell ref="S25:T25"/>
    <mergeCell ref="S12:U12"/>
    <mergeCell ref="R13:U13"/>
    <mergeCell ref="R5:U5"/>
    <mergeCell ref="K2:U2"/>
    <mergeCell ref="L8:Q8"/>
    <mergeCell ref="M32:P32"/>
    <mergeCell ref="Q32:T32"/>
    <mergeCell ref="T8:U8"/>
    <mergeCell ref="L20:N20"/>
    <mergeCell ref="L11:N11"/>
    <mergeCell ref="L12:N12"/>
    <mergeCell ref="U25:V25"/>
    <mergeCell ref="N35:U35"/>
    <mergeCell ref="M29:T29"/>
    <mergeCell ref="N27:O27"/>
    <mergeCell ref="P27:Q27"/>
    <mergeCell ref="S27:T27"/>
    <mergeCell ref="U27:V27"/>
    <mergeCell ref="M33:P33"/>
    <mergeCell ref="Q33:T33"/>
  </mergeCells>
  <phoneticPr fontId="16" type="noConversion"/>
  <pageMargins left="0.2" right="0.2" top="0.2" bottom="0.2" header="0.51" footer="0.51"/>
  <pageSetup scale="45" orientation="landscape" horizontalDpi="4294967292" verticalDpi="4294967292"/>
  <ignoredErrors>
    <ignoredError sqref="L20" unlockedFormula="1"/>
  </ignoredErrors>
  <drawing r:id="rId1"/>
  <extLst>
    <ext xmlns="http://schemas.openxmlformats.org/spreadsheetml/2006/main" xmlns:mx="http://schemas.microsoft.com/office/mac/excel/2008/main" uri="{64002731-A6B0-56B0-2670-7721B7C09600}">
      <mx:PLV Mode="0" OnePage="0" WScale="100"/>
    </ext>
  </extLst>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V40"/>
  <sheetViews>
    <sheetView showGridLines="0" zoomScale="92" zoomScaleNormal="92" zoomScalePageLayoutView="92" workbookViewId="0">
      <selection activeCell="L8" sqref="L8:Q8"/>
    </sheetView>
  </sheetViews>
  <sheetFormatPr baseColWidth="10" defaultColWidth="8.83203125" defaultRowHeight="13" x14ac:dyDescent="0.15"/>
  <cols>
    <col min="1" max="1" width="8.5" style="1" customWidth="1"/>
    <col min="2" max="3" width="11.6640625" customWidth="1"/>
    <col min="4" max="4" width="18" customWidth="1"/>
    <col min="5" max="5" width="23.83203125" customWidth="1"/>
    <col min="6" max="6" width="42" customWidth="1"/>
    <col min="7" max="7" width="13.5" customWidth="1"/>
    <col min="8" max="8" width="8" customWidth="1"/>
    <col min="9" max="9" width="12" customWidth="1"/>
    <col min="12" max="14" width="9" customWidth="1"/>
    <col min="18" max="18" width="8.83203125" customWidth="1"/>
    <col min="19" max="19" width="9" customWidth="1"/>
  </cols>
  <sheetData>
    <row r="1" spans="1:22" ht="21" thickBot="1" x14ac:dyDescent="0.2">
      <c r="A1" s="115" t="s">
        <v>74</v>
      </c>
      <c r="B1" s="115"/>
      <c r="C1" s="115"/>
      <c r="D1" s="115"/>
      <c r="E1" s="115"/>
      <c r="F1" s="115"/>
      <c r="G1" s="115"/>
      <c r="H1" s="24" t="s">
        <v>29</v>
      </c>
    </row>
    <row r="2" spans="1:22" ht="33.75" customHeight="1" thickBot="1" x14ac:dyDescent="0.25">
      <c r="A2" s="65" t="s">
        <v>30</v>
      </c>
      <c r="B2" s="9" t="s">
        <v>3</v>
      </c>
      <c r="C2" s="9" t="s">
        <v>4</v>
      </c>
      <c r="D2" s="9" t="s">
        <v>25</v>
      </c>
      <c r="E2" s="9" t="s">
        <v>31</v>
      </c>
      <c r="F2" s="9" t="s">
        <v>59</v>
      </c>
      <c r="G2" s="65" t="s">
        <v>32</v>
      </c>
      <c r="H2" s="24" t="s">
        <v>29</v>
      </c>
      <c r="K2" s="114" t="s">
        <v>55</v>
      </c>
      <c r="L2" s="114"/>
      <c r="M2" s="114"/>
      <c r="N2" s="114"/>
      <c r="O2" s="114"/>
      <c r="P2" s="114"/>
      <c r="Q2" s="114"/>
      <c r="R2" s="114"/>
      <c r="S2" s="114"/>
      <c r="T2" s="114"/>
      <c r="U2" s="114"/>
    </row>
    <row r="3" spans="1:22" ht="36" customHeight="1" x14ac:dyDescent="0.45">
      <c r="A3" s="25"/>
      <c r="B3" s="26" t="d">
        <f>'Control Entry'!N28</f>
        <v>2023-06-24T06:59:59.99999979045242400</v>
      </c>
      <c r="C3" s="26" t="d">
        <f>'Control Entry'!O28</f>
        <v>2023-06-24T07:59:59.99999958090484125</v>
      </c>
      <c r="D3" s="27"/>
      <c r="E3" s="28" t="str">
        <f>IF(ISBLANK('Control Entry'!F28),"",'Control Entry'!F28)</f>
        <v>Galloping Goose Regional Park</v>
      </c>
      <c r="F3" s="85" t="str">
        <f>IF(ISBLANK('Control Entry'!I28),"",'Control Entry'!I28)</f>
        <v>Bicycle art in front of bench</v>
      </c>
      <c r="G3" s="86"/>
      <c r="H3" s="24" t="s">
        <v>29</v>
      </c>
      <c r="K3" s="14"/>
      <c r="O3" s="132" t="s">
        <v>73</v>
      </c>
      <c r="P3" s="132"/>
      <c r="Q3" s="132"/>
      <c r="R3" s="132"/>
      <c r="S3" s="75" t="str">
        <f>IF('Control Entry'!D28=0,"","#2")</f>
        <v/>
      </c>
      <c r="U3" s="38"/>
    </row>
    <row r="4" spans="1:22" ht="36" customHeight="1" x14ac:dyDescent="0.2">
      <c r="A4" s="34">
        <f>IF(ISBLANK('Control Entry'!D28),"",'Control Entry'!D28)</f>
        <v>0</v>
      </c>
      <c r="B4" s="35" t="d">
        <f>'Control Entry'!N28</f>
        <v>2023-06-24T06:59:59.99999979045242400</v>
      </c>
      <c r="C4" s="35" t="d">
        <f>'Control Entry'!O28</f>
        <v>2023-06-24T07:59:59.99999958090484125</v>
      </c>
      <c r="D4" s="36" t="str">
        <f>IF(ISBLANK('Control Entry'!E28),"",'Control Entry'!E28)</f>
        <v>VIEW ROYAL</v>
      </c>
      <c r="E4" s="28" t="str">
        <f>IF(ISBLANK('Control Entry'!G28),"",'Control Entry'!G28)</f>
        <v>Atkins Rd</v>
      </c>
      <c r="F4" s="85" t="str">
        <f>IF(ISBLANK('Control Entry'!J28),"",'Control Entry'!J28)</f>
        <v>What size?</v>
      </c>
      <c r="G4" s="86"/>
      <c r="H4" s="24" t="s">
        <v>29</v>
      </c>
      <c r="K4" s="14"/>
      <c r="M4" s="117" t="str">
        <f>IF(ISBLANK(brevet),"",brevet&amp;" km Randonnée")</f>
        <v>200 km Randonnée</v>
      </c>
      <c r="N4" s="117"/>
      <c r="O4" s="117"/>
      <c r="P4" s="117"/>
      <c r="Q4" s="117"/>
      <c r="R4" s="117"/>
      <c r="S4" s="117"/>
      <c r="T4" s="117"/>
      <c r="U4" s="39"/>
    </row>
    <row r="5" spans="1:22" ht="36" customHeight="1" thickBot="1" x14ac:dyDescent="0.25">
      <c r="A5" s="29"/>
      <c r="B5" s="30" t="d">
        <f>'Control Entry'!N28</f>
        <v>2023-06-24T06:59:59.99999979045242400</v>
      </c>
      <c r="C5" s="30" t="d">
        <f>'Control Entry'!O28</f>
        <v>2023-06-24T07:59:59.99999958090484125</v>
      </c>
      <c r="D5" s="31"/>
      <c r="E5" s="32" t="str">
        <f>IF(ISBLANK('Control Entry'!H28),"",'Control Entry'!H28)</f>
        <v/>
      </c>
      <c r="F5" s="90" t="str">
        <f>IF(ISBLANK('Control Entry'!K28),"",'Control Entry'!K28)</f>
        <v>Small        Lifesize        Big</v>
      </c>
      <c r="G5" s="89"/>
      <c r="H5" s="24" t="s">
        <v>29</v>
      </c>
      <c r="K5" s="14"/>
      <c r="M5" s="15"/>
      <c r="N5" s="108" t="s">
        <v>47</v>
      </c>
      <c r="O5" s="108"/>
      <c r="P5" s="52">
        <f>IF(ISBLANK(Brevet_Number),"",Brevet_Number)</f>
        <v>5273</v>
      </c>
      <c r="Q5" s="53"/>
      <c r="R5" s="120" t="d">
        <f>IF(ISBLANK('Control Entry'!$B10),"",'Control Entry'!$B10)</f>
        <v>2023-06-24</v>
      </c>
      <c r="S5" s="120"/>
      <c r="T5" s="120"/>
      <c r="U5" s="120"/>
      <c r="V5" s="40"/>
    </row>
    <row r="6" spans="1:22" ht="36" customHeight="1" x14ac:dyDescent="0.2">
      <c r="A6" s="25"/>
      <c r="B6" s="26" t="d">
        <f>'Control Entry'!N29</f>
        <v>2023-06-24T07:37:59.9999996786937150</v>
      </c>
      <c r="C6" s="26" t="d">
        <f>'Control Entry'!O29</f>
        <v>2023-06-24T09:04:59.9999997206032275</v>
      </c>
      <c r="D6" s="33"/>
      <c r="E6" s="28" t="str">
        <f>IF(ISBLANK('Control Entry'!F29),"",'Control Entry'!F29)</f>
        <v>Mailboxes</v>
      </c>
      <c r="F6" s="85" t="str">
        <f>IF(ISBLANK('Control Entry'!I29),"",'Control Entry'!I29)</f>
        <v>Mailbox tower 1 (number in top left)</v>
      </c>
      <c r="G6" s="86"/>
      <c r="H6" s="24" t="s">
        <v>29</v>
      </c>
      <c r="K6" s="14"/>
      <c r="L6" s="135" t="str">
        <f>IF(ISBLANK(Brevet_Description),"",Brevet_Description)</f>
        <v>Hands Across the Water 2023</v>
      </c>
      <c r="M6" s="135"/>
      <c r="N6" s="135"/>
      <c r="O6" s="135"/>
      <c r="P6" s="135"/>
      <c r="Q6" s="135"/>
      <c r="R6" s="135"/>
      <c r="S6" s="135"/>
      <c r="T6" s="135"/>
      <c r="U6" s="135"/>
    </row>
    <row r="7" spans="1:22" ht="36" customHeight="1" x14ac:dyDescent="0.2">
      <c r="A7" s="34">
        <f>IF(ISBLANK('Control Entry'!D29),"",'Control Entry'!D29)</f>
        <v>21.5</v>
      </c>
      <c r="B7" s="35" t="d">
        <f>'Control Entry'!N29</f>
        <v>2023-06-24T07:37:59.9999996786937150</v>
      </c>
      <c r="C7" s="35" t="d">
        <f>'Control Entry'!O29</f>
        <v>2023-06-24T09:04:59.9999997206032275</v>
      </c>
      <c r="D7" s="36" t="str">
        <f>IF(ISBLANK('Control Entry'!E29),"",'Control Entry'!E29)</f>
        <v>MECHOSIN</v>
      </c>
      <c r="E7" s="28" t="str">
        <f>IF(ISBLANK('Control Entry'!G29),"",'Control Entry'!G29)</f>
        <v>Liberty Drive at Deer Park Trail</v>
      </c>
      <c r="F7" s="85" t="str">
        <f>IF(ISBLANK('Control Entry'!J29),"",'Control Entry'!J29)</f>
        <v>Columns of mailboxes in tower</v>
      </c>
      <c r="G7" s="86"/>
      <c r="H7" s="24" t="s">
        <v>29</v>
      </c>
    </row>
    <row r="8" spans="1:22" ht="36" customHeight="1" thickBot="1" x14ac:dyDescent="0.25">
      <c r="A8" s="29"/>
      <c r="B8" s="30" t="d">
        <f>'Control Entry'!N29</f>
        <v>2023-06-24T07:37:59.9999996786937150</v>
      </c>
      <c r="C8" s="30" t="d">
        <f>'Control Entry'!O29</f>
        <v>2023-06-24T09:04:59.9999997206032275</v>
      </c>
      <c r="D8" s="31"/>
      <c r="E8" s="32" t="str">
        <f>IF(ISBLANK('Control Entry'!H29),"",'Control Entry'!H29)</f>
        <v/>
      </c>
      <c r="F8" s="90" t="str">
        <f>IF(ISBLANK('Control Entry'!K29),"",'Control Entry'!K29)</f>
        <v>Circle answer:   1    2    3    4</v>
      </c>
      <c r="G8" s="89"/>
      <c r="H8" s="24" t="s">
        <v>29</v>
      </c>
      <c r="J8" s="15" t="s">
        <v>34</v>
      </c>
      <c r="L8" s="121"/>
      <c r="M8" s="121"/>
      <c r="N8" s="121"/>
      <c r="O8" s="121"/>
      <c r="P8" s="121"/>
      <c r="Q8" s="121"/>
      <c r="S8" s="41" t="s">
        <v>46</v>
      </c>
      <c r="T8" s="128"/>
      <c r="U8" s="128"/>
    </row>
    <row r="9" spans="1:22" ht="36" customHeight="1" thickBot="1" x14ac:dyDescent="0.3">
      <c r="A9" s="25"/>
      <c r="B9" s="26" t="d">
        <f>'Control Entry'!N30</f>
        <v>2023-06-24T08:07:59.99999988824129100</v>
      </c>
      <c r="C9" s="26" t="d">
        <f>'Control Entry'!O30</f>
        <v>2023-06-24T09:55:59.99999963678419575</v>
      </c>
      <c r="D9" s="33"/>
      <c r="E9" s="28" t="str">
        <f>IF(ISBLANK('Control Entry'!F30),"",'Control Entry'!F30)</f>
        <v>Totem Pole</v>
      </c>
      <c r="F9" s="85" t="str">
        <f>IF(ISBLANK('Control Entry'!I30),"",'Control Entry'!I30)</f>
        <v>Plaque in front of totem pole</v>
      </c>
      <c r="G9" s="86"/>
      <c r="H9" s="24" t="s">
        <v>29</v>
      </c>
      <c r="J9" s="15" t="s">
        <v>35</v>
      </c>
      <c r="K9" s="15"/>
      <c r="L9" s="137" t="s">
        <v>54</v>
      </c>
      <c r="M9" s="137"/>
      <c r="N9" s="137"/>
      <c r="O9" s="137"/>
      <c r="P9" s="137"/>
      <c r="Q9" s="137"/>
      <c r="R9" s="137"/>
      <c r="S9" s="137"/>
      <c r="T9" s="137"/>
      <c r="U9" s="137"/>
    </row>
    <row r="10" spans="1:22" ht="36" customHeight="1" thickBot="1" x14ac:dyDescent="0.3">
      <c r="A10" s="34">
        <f>IF(ISBLANK('Control Entry'!D30),"",'Control Entry'!D30)</f>
        <v>38.700000000000003</v>
      </c>
      <c r="B10" s="35" t="d">
        <f>'Control Entry'!N30</f>
        <v>2023-06-24T08:07:59.99999988824129100</v>
      </c>
      <c r="C10" s="35" t="d">
        <f>'Control Entry'!O30</f>
        <v>2023-06-24T09:55:59.99999963678419575</v>
      </c>
      <c r="D10" s="36" t="str">
        <f>IF(ISBLANK('Control Entry'!E30),"",'Control Entry'!E30)</f>
        <v>COLWOOD</v>
      </c>
      <c r="E10" s="28" t="str">
        <f>IF(ISBLANK('Control Entry'!G30),"",'Control Entry'!G30)</f>
        <v>West Campus Rd at University Dr</v>
      </c>
      <c r="F10" s="85" t="str">
        <f>IF(ISBLANK('Control Entry'!J30),"",'Control Entry'!J30)</f>
        <v>Date at bottom of plaque</v>
      </c>
      <c r="G10" s="86"/>
      <c r="H10" s="24" t="s">
        <v>29</v>
      </c>
      <c r="J10" s="15"/>
      <c r="K10" s="15"/>
      <c r="L10" s="130"/>
      <c r="M10" s="130"/>
      <c r="N10" s="130"/>
      <c r="O10" s="130"/>
      <c r="P10" s="130"/>
      <c r="Q10" s="130"/>
      <c r="R10" s="130"/>
      <c r="S10" s="130"/>
      <c r="T10" s="130"/>
      <c r="U10" s="130"/>
    </row>
    <row r="11" spans="1:22" ht="36" customHeight="1" thickBot="1" x14ac:dyDescent="0.3">
      <c r="A11" s="29"/>
      <c r="B11" s="30" t="d">
        <f>'Control Entry'!N30</f>
        <v>2023-06-24T08:07:59.99999988824129100</v>
      </c>
      <c r="C11" s="30" t="d">
        <f>'Control Entry'!O30</f>
        <v>2023-06-24T09:55:59.99999963678419575</v>
      </c>
      <c r="D11" s="31"/>
      <c r="E11" s="32" t="str">
        <f>IF(ISBLANK('Control Entry'!H30),"",'Control Entry'!H30)</f>
        <v/>
      </c>
      <c r="F11" s="90" t="str">
        <f>IF(ISBLANK('Control Entry'!K30),"",'Control Entry'!K30)</f>
        <v>September ______________</v>
      </c>
      <c r="G11" s="89"/>
      <c r="H11" s="24" t="s">
        <v>29</v>
      </c>
      <c r="J11" s="15" t="s">
        <v>36</v>
      </c>
      <c r="K11" s="15"/>
      <c r="L11" s="130"/>
      <c r="M11" s="130"/>
      <c r="N11" s="130"/>
      <c r="O11" s="15"/>
      <c r="P11" s="15" t="s">
        <v>37</v>
      </c>
      <c r="Q11" s="15"/>
      <c r="R11" s="15"/>
      <c r="S11" s="118"/>
      <c r="T11" s="118"/>
      <c r="U11" s="118"/>
    </row>
    <row r="12" spans="1:22" ht="36" customHeight="1" thickBot="1" x14ac:dyDescent="0.3">
      <c r="A12" s="25"/>
      <c r="B12" s="26" t="d">
        <f>'Control Entry'!N31</f>
        <v>2023-06-24T08:29:59.99999979045242400</v>
      </c>
      <c r="C12" s="26" t="d">
        <f>'Control Entry'!O31</f>
        <v>2023-06-24T10:32:59.9999999580904875</v>
      </c>
      <c r="D12" s="33"/>
      <c r="E12" s="28" t="str">
        <f>IF(ISBLANK('Control Entry'!F31),"",'Control Entry'!F31)</f>
        <v>Saxe Point Park</v>
      </c>
      <c r="F12" s="85" t="str">
        <f>IF(ISBLANK('Control Entry'!I31),"",'Control Entry'!I31)</f>
        <v>Covered welcome sign by washrooms</v>
      </c>
      <c r="G12" s="86"/>
      <c r="H12" s="24" t="s">
        <v>29</v>
      </c>
      <c r="J12" s="15" t="s">
        <v>38</v>
      </c>
      <c r="K12" s="15"/>
      <c r="L12" s="130"/>
      <c r="M12" s="130"/>
      <c r="N12" s="130"/>
      <c r="O12" s="15"/>
      <c r="P12" s="15" t="s">
        <v>39</v>
      </c>
      <c r="Q12" s="15"/>
      <c r="R12" s="15"/>
      <c r="S12" s="118"/>
      <c r="T12" s="118"/>
      <c r="U12" s="118"/>
    </row>
    <row r="13" spans="1:22" ht="36" customHeight="1" thickBot="1" x14ac:dyDescent="0.3">
      <c r="A13" s="34">
        <f>IF(ISBLANK('Control Entry'!D31),"",'Control Entry'!D31)</f>
        <v>51.099999999999994</v>
      </c>
      <c r="B13" s="35" t="d">
        <f>'Control Entry'!N31</f>
        <v>2023-06-24T08:29:59.99999979045242400</v>
      </c>
      <c r="C13" s="35" t="d">
        <f>'Control Entry'!O31</f>
        <v>2023-06-24T10:32:59.9999999580904875</v>
      </c>
      <c r="D13" s="36" t="str">
        <f>IF(ISBLANK('Control Entry'!E31),"",'Control Entry'!E31)</f>
        <v>ESQUIMALT</v>
      </c>
      <c r="E13" s="28" t="str">
        <f>IF(ISBLANK('Control Entry'!G31),"",'Control Entry'!G31)</f>
        <v>Fraser St</v>
      </c>
      <c r="F13" s="85" t="str">
        <f>IF(ISBLANK('Control Entry'!J31),"",'Control Entry'!J31)</f>
        <v>TRAIL ETIQUETTE, first on list (top left)</v>
      </c>
      <c r="G13" s="86"/>
      <c r="H13" s="24" t="s">
        <v>29</v>
      </c>
      <c r="J13" s="15" t="s">
        <v>40</v>
      </c>
      <c r="L13" s="140"/>
      <c r="M13" s="140"/>
      <c r="N13" s="140"/>
      <c r="P13" s="15" t="s">
        <v>41</v>
      </c>
      <c r="Q13" s="15"/>
      <c r="R13" s="119"/>
      <c r="S13" s="119"/>
      <c r="T13" s="119"/>
      <c r="U13" s="119"/>
    </row>
    <row r="14" spans="1:22" ht="36" customHeight="1" thickBot="1" x14ac:dyDescent="0.25">
      <c r="A14" s="29"/>
      <c r="B14" s="30" t="d">
        <f>'Control Entry'!N31</f>
        <v>2023-06-24T08:29:59.99999979045242400</v>
      </c>
      <c r="C14" s="30" t="d">
        <f>'Control Entry'!O31</f>
        <v>2023-06-24T10:32:59.9999999580904875</v>
      </c>
      <c r="D14" s="31"/>
      <c r="E14" s="32" t="str">
        <f>IF(ISBLANK('Control Entry'!H31),"",'Control Entry'!H31)</f>
        <v/>
      </c>
      <c r="F14" s="90" t="str">
        <f>IF(ISBLANK('Control Entry'!K31),"",'Control Entry'!K31)</f>
        <v>NO ________________ ALLOWED</v>
      </c>
      <c r="G14" s="89"/>
      <c r="H14" s="24" t="s">
        <v>29</v>
      </c>
    </row>
    <row r="15" spans="1:22" ht="36" customHeight="1" x14ac:dyDescent="0.2">
      <c r="A15" s="25"/>
      <c r="B15" s="26" t="d">
        <f>'Control Entry'!N32</f>
        <v>2023-06-24T09:31:59.99999997206032275</v>
      </c>
      <c r="C15" s="26" t="d">
        <f>'Control Entry'!O32</f>
        <v>2023-06-24T12:43:59.99999980442225925</v>
      </c>
      <c r="D15" s="33"/>
      <c r="E15" s="28" t="str">
        <f>IF(ISBLANK('Control Entry'!F32),"",'Control Entry'!F32)</f>
        <v>Beach access</v>
      </c>
      <c r="F15" s="85" t="str">
        <f>IF(ISBLANK('Control Entry'!I32),"",'Control Entry'!I32)</f>
        <v>Beach Access Sign</v>
      </c>
      <c r="G15" s="86"/>
      <c r="H15" s="24" t="s">
        <v>29</v>
      </c>
      <c r="J15" s="15"/>
      <c r="L15" s="134" t="s">
        <v>58</v>
      </c>
      <c r="M15" s="134"/>
      <c r="N15" s="134"/>
      <c r="O15" s="134"/>
      <c r="P15" s="134"/>
      <c r="Q15" s="134"/>
      <c r="R15" s="134"/>
      <c r="S15" s="134"/>
      <c r="T15" s="134"/>
      <c r="U15" s="134"/>
    </row>
    <row r="16" spans="1:22" ht="36" customHeight="1" thickBot="1" x14ac:dyDescent="0.25">
      <c r="A16" s="34">
        <f>IF(ISBLANK('Control Entry'!D32),"",'Control Entry'!D32)</f>
        <v>85.999999999999986</v>
      </c>
      <c r="B16" s="35" t="d">
        <f>'Control Entry'!N32</f>
        <v>2023-06-24T09:31:59.99999997206032275</v>
      </c>
      <c r="C16" s="35" t="d">
        <f>'Control Entry'!O32</f>
        <v>2023-06-24T12:43:59.99999980442225925</v>
      </c>
      <c r="D16" s="36" t="str">
        <f>IF(ISBLANK('Control Entry'!E32),"",'Control Entry'!E32)</f>
        <v>SAANICH</v>
      </c>
      <c r="E16" s="28" t="str">
        <f>IF(ISBLANK('Control Entry'!G32),"",'Control Entry'!G32)</f>
        <v>Leyns Rd at Balmacarra Rd</v>
      </c>
      <c r="F16" s="85" t="str">
        <f>IF(ISBLANK('Control Entry'!J32),"",'Control Entry'!J32)</f>
        <v>Top left symbol</v>
      </c>
      <c r="G16" s="86"/>
      <c r="H16" s="24" t="s">
        <v>29</v>
      </c>
      <c r="L16" s="138"/>
      <c r="M16" s="138"/>
      <c r="N16" s="138"/>
      <c r="O16" s="138"/>
      <c r="P16" s="138"/>
      <c r="Q16" s="138"/>
      <c r="R16" s="138"/>
      <c r="S16" s="138"/>
      <c r="T16" s="138"/>
      <c r="U16" s="138"/>
    </row>
    <row r="17" spans="1:22" ht="36" customHeight="1" thickBot="1" x14ac:dyDescent="0.25">
      <c r="A17" s="29"/>
      <c r="B17" s="30" t="d">
        <f>'Control Entry'!N32</f>
        <v>2023-06-24T09:31:59.99999997206032275</v>
      </c>
      <c r="C17" s="30" t="d">
        <f>'Control Entry'!O32</f>
        <v>2023-06-24T12:43:59.99999980442225925</v>
      </c>
      <c r="D17" s="31"/>
      <c r="E17" s="32" t="str">
        <f>IF(ISBLANK('Control Entry'!H32),"",'Control Entry'!H32)</f>
        <v/>
      </c>
      <c r="F17" s="90" t="str">
        <f>IF(ISBLANK('Control Entry'!K32),"",'Control Entry'!K32)</f>
        <v>NO ________________</v>
      </c>
      <c r="G17" s="89"/>
      <c r="H17" s="24" t="s">
        <v>29</v>
      </c>
    </row>
    <row r="18" spans="1:22" ht="36" customHeight="1" x14ac:dyDescent="0.2">
      <c r="A18" s="25"/>
      <c r="B18" s="26" t="d">
        <f>'Control Entry'!N33</f>
        <v>2023-06-24T10:03:59.99999994412064550</v>
      </c>
      <c r="C18" s="26" t="d">
        <f>'Control Entry'!O33</f>
        <v>2023-06-24T13:56:00.00000005587935450</v>
      </c>
      <c r="D18" s="33"/>
      <c r="E18" s="28" t="str">
        <f>IF(ISBLANK('Control Entry'!F33),"",'Control Entry'!F33)</f>
        <v>Beacon Hill Park</v>
      </c>
      <c r="F18" s="85" t="str">
        <f>IF(ISBLANK('Control Entry'!I33),"",'Control Entry'!I33)</f>
        <v>Plaque on stone by picnic shelter</v>
      </c>
      <c r="G18" s="86"/>
      <c r="H18" s="24" t="s">
        <v>29</v>
      </c>
    </row>
    <row r="19" spans="1:22" ht="36" customHeight="1" x14ac:dyDescent="0.2">
      <c r="A19" s="34">
        <f>IF(ISBLANK('Control Entry'!D33),"",'Control Entry'!D33)</f>
        <v>104.10000000000001</v>
      </c>
      <c r="B19" s="35" t="d">
        <f>'Control Entry'!N33</f>
        <v>2023-06-24T10:03:59.99999994412064550</v>
      </c>
      <c r="C19" s="35" t="d">
        <f>'Control Entry'!O33</f>
        <v>2023-06-24T13:56:00.00000005587935450</v>
      </c>
      <c r="D19" s="36" t="str">
        <f>IF(ISBLANK('Control Entry'!E33),"",'Control Entry'!E33)</f>
        <v>VICTORIA</v>
      </c>
      <c r="E19" s="28" t="str">
        <f>IF(ISBLANK('Control Entry'!G33),"",'Control Entry'!G33)</f>
        <v>Circle Drive</v>
      </c>
      <c r="F19" s="85" t="str">
        <f>IF(ISBLANK('Control Entry'!J33),"",'Control Entry'!J33)</f>
        <v>Date at bottom of plaque</v>
      </c>
      <c r="G19" s="86"/>
      <c r="H19" s="24" t="s">
        <v>29</v>
      </c>
    </row>
    <row r="20" spans="1:22" ht="36" customHeight="1" thickBot="1" x14ac:dyDescent="0.25">
      <c r="A20" s="29"/>
      <c r="B20" s="30" t="d">
        <f>'Control Entry'!N33</f>
        <v>2023-06-24T10:03:59.99999994412064550</v>
      </c>
      <c r="C20" s="30" t="d">
        <f>'Control Entry'!O33</f>
        <v>2023-06-24T13:56:00.00000005587935450</v>
      </c>
      <c r="D20" s="31"/>
      <c r="E20" s="32" t="str">
        <f>IF(ISBLANK('Control Entry'!H33),"",'Control Entry'!H33)</f>
        <v>30m before Beacon Hill Loop</v>
      </c>
      <c r="F20" s="90" t="str">
        <f>IF(ISBLANK('Control Entry'!K33),"",'Control Entry'!K33)</f>
        <v>April ________, 1990</v>
      </c>
      <c r="G20" s="89"/>
      <c r="H20" s="24" t="s">
        <v>29</v>
      </c>
      <c r="J20" s="50" t="s">
        <v>44</v>
      </c>
      <c r="K20" s="50"/>
      <c r="L20" s="141" t="d">
        <f>IF(ISBLANK('Control Entry'!B12),"",'Control Entry'!B12)</f>
        <v>2023-06-24</v>
      </c>
      <c r="M20" s="141"/>
      <c r="N20" s="141"/>
      <c r="P20" s="15" t="s">
        <v>0</v>
      </c>
      <c r="Q20" s="15"/>
      <c r="S20" s="133" t="d">
        <f>IF(ISBLANK('Control Entry'!B13),"",'Control Entry'!B13)</f>
        <v>07:00:00.0000000000015975</v>
      </c>
      <c r="T20" s="133"/>
      <c r="U20" s="133"/>
    </row>
    <row r="21" spans="1:22" ht="36" customHeight="1" x14ac:dyDescent="0.2">
      <c r="A21" s="25"/>
      <c r="B21" s="26" t="d">
        <f>'Control Entry'!N34</f>
        <v>2023-06-24T10:33:59.99999952502548675</v>
      </c>
      <c r="C21" s="26" t="d">
        <f>'Control Entry'!O34</f>
        <v>2023-06-24T15:05:59.99999991618096825</v>
      </c>
      <c r="D21" s="33"/>
      <c r="E21" s="28" t="str">
        <f>IF(ISBLANK('Control Entry'!F34),"",'Control Entry'!F34)</f>
        <v>Mount Douglas Park</v>
      </c>
      <c r="F21" s="85" t="str">
        <f>IF(ISBLANK('Control Entry'!I34),"",'Control Entry'!I34)</f>
        <v>Welcome sign to right of washrooms</v>
      </c>
      <c r="G21" s="86"/>
      <c r="H21" s="24" t="s">
        <v>29</v>
      </c>
      <c r="J21" s="135" t="s">
        <v>90</v>
      </c>
      <c r="K21" s="135"/>
      <c r="L21" s="135"/>
      <c r="M21" s="135"/>
      <c r="N21" s="135"/>
      <c r="O21" s="135"/>
      <c r="P21" s="135"/>
      <c r="Q21" s="135"/>
      <c r="R21" s="135"/>
      <c r="S21" s="135"/>
      <c r="T21" s="135"/>
      <c r="U21" s="135"/>
    </row>
    <row r="22" spans="1:22" ht="36" customHeight="1" thickBot="1" x14ac:dyDescent="0.25">
      <c r="A22" s="34">
        <f>IF(ISBLANK('Control Entry'!D34),"",'Control Entry'!D34)</f>
        <v>121.39999999999999</v>
      </c>
      <c r="B22" s="35" t="d">
        <f>'Control Entry'!N34</f>
        <v>2023-06-24T10:33:59.99999952502548675</v>
      </c>
      <c r="C22" s="35" t="d">
        <f>'Control Entry'!O34</f>
        <v>2023-06-24T15:05:59.99999991618096825</v>
      </c>
      <c r="D22" s="36" t="str">
        <f>IF(ISBLANK('Control Entry'!E34),"",'Control Entry'!E34)</f>
        <v>SAANICH</v>
      </c>
      <c r="E22" s="28" t="str">
        <f>IF(ISBLANK('Control Entry'!G34),"",'Control Entry'!G34)</f>
        <v>4501 Cordova Bay Rd</v>
      </c>
      <c r="F22" s="85" t="str">
        <f>IF(ISBLANK('Control Entry'!J34),"",'Control Entry'!J34)</f>
        <v>Habitat Zone on bottom right</v>
      </c>
      <c r="G22" s="86"/>
      <c r="H22" s="24" t="s">
        <v>29</v>
      </c>
      <c r="J22" s="50" t="s">
        <v>45</v>
      </c>
      <c r="K22" s="50"/>
      <c r="L22" s="139"/>
      <c r="M22" s="139"/>
      <c r="N22" s="139"/>
      <c r="P22" s="15" t="s">
        <v>1</v>
      </c>
      <c r="Q22" s="15"/>
      <c r="S22" s="136"/>
      <c r="T22" s="136"/>
      <c r="U22" s="136"/>
    </row>
    <row r="23" spans="1:22" ht="36" customHeight="1" thickBot="1" x14ac:dyDescent="0.25">
      <c r="A23" s="29"/>
      <c r="B23" s="30" t="d">
        <f>'Control Entry'!N34</f>
        <v>2023-06-24T10:33:59.99999952502548675</v>
      </c>
      <c r="C23" s="30" t="d">
        <f>'Control Entry'!O34</f>
        <v>2023-06-24T15:05:59.99999991618096825</v>
      </c>
      <c r="D23" s="31"/>
      <c r="E23" s="32" t="str">
        <f>IF(ISBLANK('Control Entry'!H34),"",'Control Entry'!H34)</f>
        <v/>
      </c>
      <c r="F23" s="90" t="str">
        <f>IF(ISBLANK('Control Entry'!K34),"",'Control Entry'!K34)</f>
        <v>______________   _______ Rock Outcrop</v>
      </c>
      <c r="G23" s="89"/>
      <c r="H23" s="24" t="s">
        <v>29</v>
      </c>
      <c r="J23" s="50"/>
      <c r="K23" s="50"/>
      <c r="L23" s="44"/>
      <c r="M23" s="44"/>
      <c r="N23" s="44"/>
      <c r="P23" s="15"/>
      <c r="Q23" s="15"/>
    </row>
    <row r="24" spans="1:22" ht="36" customHeight="1" thickBot="1" x14ac:dyDescent="0.25">
      <c r="A24" s="25"/>
      <c r="B24" s="26" t="d">
        <f>'Control Entry'!N35</f>
        <v>2023-06-24T11:28:59.99999959487468325</v>
      </c>
      <c r="C24" s="26" t="d">
        <f>'Control Entry'!O35</f>
        <v>2023-06-24T17:09:59.99999965075403775</v>
      </c>
      <c r="D24" s="33"/>
      <c r="E24" s="28" t="str">
        <f>IF(ISBLANK('Control Entry'!F35),"",'Control Entry'!F35)</f>
        <v>Stonehouse Pub</v>
      </c>
      <c r="F24" s="85" t="str">
        <f>IF(ISBLANK('Control Entry'!I35),"",'Control Entry'!I35)</f>
        <v/>
      </c>
      <c r="G24" s="86"/>
      <c r="H24" s="24" t="s">
        <v>29</v>
      </c>
      <c r="J24" s="136"/>
      <c r="K24" s="136"/>
      <c r="L24" s="136"/>
      <c r="M24" s="136"/>
      <c r="N24" s="136"/>
      <c r="P24" s="15" t="s">
        <v>2</v>
      </c>
      <c r="Q24" s="15"/>
      <c r="S24" s="136"/>
      <c r="T24" s="136"/>
      <c r="U24" s="136"/>
    </row>
    <row r="25" spans="1:22" ht="36" customHeight="1" x14ac:dyDescent="0.2">
      <c r="A25" s="34">
        <f>IF(ISBLANK('Control Entry'!D35),"",'Control Entry'!D35)</f>
        <v>152.60000000000002</v>
      </c>
      <c r="B25" s="35" t="d">
        <f>'Control Entry'!N35</f>
        <v>2023-06-24T11:28:59.99999959487468325</v>
      </c>
      <c r="C25" s="35" t="d">
        <f>'Control Entry'!O35</f>
        <v>2023-06-24T17:09:59.99999965075403775</v>
      </c>
      <c r="D25" s="36" t="str">
        <f>IF(ISBLANK('Control Entry'!E35),"",'Control Entry'!E35)</f>
        <v>NORTH SAANICH</v>
      </c>
      <c r="E25" s="28" t="str">
        <f>IF(ISBLANK('Control Entry'!G35),"",'Control Entry'!G35)</f>
        <v>2215 Canoe Cove Rd</v>
      </c>
      <c r="F25" s="85" t="str">
        <f>IF(ISBLANK('Control Entry'!J35),"",'Control Entry'!J35)</f>
        <v/>
      </c>
      <c r="G25" s="86"/>
      <c r="H25" s="24" t="s">
        <v>29</v>
      </c>
      <c r="J25" s="131" t="s">
        <v>17</v>
      </c>
      <c r="K25" s="131"/>
      <c r="L25" s="131"/>
      <c r="M25" s="131"/>
      <c r="N25" s="131"/>
      <c r="O25" s="46"/>
      <c r="P25" s="110"/>
      <c r="Q25" s="110"/>
      <c r="R25" s="46"/>
      <c r="S25" s="108"/>
      <c r="T25" s="108"/>
      <c r="U25" s="108"/>
      <c r="V25" s="108"/>
    </row>
    <row r="26" spans="1:22" ht="36" customHeight="1" thickBot="1" x14ac:dyDescent="0.25">
      <c r="A26" s="29"/>
      <c r="B26" s="30" t="d">
        <f>'Control Entry'!N35</f>
        <v>2023-06-24T11:28:59.99999959487468325</v>
      </c>
      <c r="C26" s="30" t="d">
        <f>'Control Entry'!O35</f>
        <v>2023-06-24T17:09:59.99999965075403775</v>
      </c>
      <c r="D26" s="31"/>
      <c r="E26" s="32" t="str">
        <f>IF(ISBLANK('Control Entry'!H35),"",'Control Entry'!H35)</f>
        <v/>
      </c>
      <c r="F26" s="90" t="str">
        <f>IF(ISBLANK('Control Entry'!K35),"",'Control Entry'!K35)</f>
        <v/>
      </c>
      <c r="G26" s="89"/>
      <c r="H26" s="24" t="s">
        <v>29</v>
      </c>
    </row>
    <row r="27" spans="1:22" ht="36" customHeight="1" x14ac:dyDescent="0.2">
      <c r="A27" s="25"/>
      <c r="B27" s="26" t="d">
        <f>'Control Entry'!N36</f>
        <v>2023-06-24T12:58:00.00000002793967725</v>
      </c>
      <c r="C27" s="26" t="d">
        <f>'Control Entry'!O36</f>
        <v>2023-06-24T20:29:59.99999979045242400</v>
      </c>
      <c r="D27" s="33"/>
      <c r="E27" s="28" t="str">
        <f>IF(ISBLANK('Control Entry'!F36),"",'Control Entry'!F36)</f>
        <v>Galloping Goose Regional Park</v>
      </c>
      <c r="F27" s="85" t="str">
        <f>IF(ISBLANK('Control Entry'!I36),"",'Control Entry'!I36)</f>
        <v>Self Sign</v>
      </c>
      <c r="G27" s="86"/>
      <c r="H27" s="24" t="s">
        <v>29</v>
      </c>
      <c r="K27" s="117" t="s">
        <v>56</v>
      </c>
      <c r="L27" s="110"/>
      <c r="M27" s="45" t="s">
        <v>57</v>
      </c>
      <c r="N27" s="110" t="s">
        <v>49</v>
      </c>
      <c r="O27" s="110"/>
      <c r="P27" s="110" t="s">
        <v>50</v>
      </c>
      <c r="Q27" s="110"/>
      <c r="R27" s="46" t="s">
        <v>51</v>
      </c>
      <c r="S27" s="108" t="s">
        <v>52</v>
      </c>
      <c r="T27" s="108"/>
      <c r="U27" s="108" t="s">
        <v>53</v>
      </c>
      <c r="V27" s="108"/>
    </row>
    <row r="28" spans="1:22" ht="36" customHeight="1" x14ac:dyDescent="0.2">
      <c r="A28" s="34">
        <f>IF(ISBLANK('Control Entry'!D36),"",'Control Entry'!D36)</f>
        <v>202.8</v>
      </c>
      <c r="B28" s="35" t="d">
        <f>'Control Entry'!N36</f>
        <v>2023-06-24T12:58:00.00000002793967725</v>
      </c>
      <c r="C28" s="35" t="d">
        <f>'Control Entry'!O36</f>
        <v>2023-06-24T20:29:59.99999979045242400</v>
      </c>
      <c r="D28" s="36" t="str">
        <f>IF(ISBLANK('Control Entry'!E36),"",'Control Entry'!E36)</f>
        <v>VIEW ROYAL</v>
      </c>
      <c r="E28" s="28" t="str">
        <f>IF(ISBLANK('Control Entry'!G36),"",'Control Entry'!G36)</f>
        <v>Atkins Rd</v>
      </c>
      <c r="F28" s="85" t="str">
        <f>IF(ISBLANK('Control Entry'!J36),"",'Control Entry'!J36)</f>
        <v/>
      </c>
      <c r="G28" s="86"/>
      <c r="H28" s="24" t="s">
        <v>29</v>
      </c>
    </row>
    <row r="29" spans="1:22" ht="36" customHeight="1" thickBot="1" x14ac:dyDescent="0.25">
      <c r="A29" s="29"/>
      <c r="B29" s="30" t="d">
        <f>'Control Entry'!N36</f>
        <v>2023-06-24T12:58:00.00000002793967725</v>
      </c>
      <c r="C29" s="30" t="d">
        <f>'Control Entry'!O36</f>
        <v>2023-06-24T20:29:59.99999979045242400</v>
      </c>
      <c r="D29" s="31"/>
      <c r="E29" s="32" t="str">
        <f>IF(ISBLANK('Control Entry'!H36),"",'Control Entry'!H36)</f>
        <v/>
      </c>
      <c r="F29" s="90" t="str">
        <f>IF(ISBLANK('Control Entry'!K36),"",'Control Entry'!K36)</f>
        <v/>
      </c>
      <c r="G29" s="89"/>
      <c r="H29" s="24" t="s">
        <v>29</v>
      </c>
      <c r="M29" s="109" t="s">
        <v>42</v>
      </c>
      <c r="N29" s="109"/>
      <c r="O29" s="109"/>
      <c r="P29" s="109"/>
      <c r="Q29" s="109"/>
      <c r="R29" s="109"/>
      <c r="S29" s="109"/>
      <c r="T29" s="109"/>
      <c r="U29" s="49"/>
    </row>
    <row r="30" spans="1:22" ht="36" customHeight="1" x14ac:dyDescent="0.2">
      <c r="A30" s="25"/>
      <c r="B30" s="26" t="str">
        <f>'Control Entry'!N37</f>
        <v/>
      </c>
      <c r="C30" s="26" t="str">
        <f>'Control Entry'!O37</f>
        <v/>
      </c>
      <c r="D30" s="33"/>
      <c r="E30" s="28" t="str">
        <f>IF(ISBLANK('Control Entry'!F37),"",'Control Entry'!F37)</f>
        <v/>
      </c>
      <c r="F30" s="85" t="str">
        <f>IF(ISBLANK('Control Entry'!I37),"",'Control Entry'!I37)</f>
        <v/>
      </c>
      <c r="G30" s="86"/>
      <c r="H30" s="24" t="s">
        <v>29</v>
      </c>
      <c r="M30" s="16"/>
      <c r="N30" s="18"/>
      <c r="O30" s="18"/>
      <c r="P30" s="19"/>
      <c r="Q30" s="16"/>
      <c r="R30" s="18"/>
      <c r="S30" s="18"/>
      <c r="T30" s="19"/>
    </row>
    <row r="31" spans="1:22" ht="36" customHeight="1" x14ac:dyDescent="0.2">
      <c r="A31" s="34" t="str">
        <f>IF(ISBLANK('Control Entry'!D37),"",'Control Entry'!D37)</f>
        <v/>
      </c>
      <c r="B31" s="35" t="str">
        <f>'Control Entry'!N37</f>
        <v/>
      </c>
      <c r="C31" s="35" t="str">
        <f>'Control Entry'!O37</f>
        <v/>
      </c>
      <c r="D31" s="36" t="str">
        <f>IF(ISBLANK('Control Entry'!E37),"",'Control Entry'!E37)</f>
        <v>SECRET</v>
      </c>
      <c r="E31" s="28" t="str">
        <f>IF(ISBLANK('Control Entry'!G37),"",'Control Entry'!G37)</f>
        <v/>
      </c>
      <c r="F31" s="85" t="str">
        <f>IF(ISBLANK('Control Entry'!J37),"",'Control Entry'!J37)</f>
        <v/>
      </c>
      <c r="G31" s="86"/>
      <c r="H31" s="24" t="s">
        <v>29</v>
      </c>
      <c r="M31" s="17"/>
      <c r="P31" s="20"/>
      <c r="Q31" s="17"/>
      <c r="T31" s="20"/>
    </row>
    <row r="32" spans="1:22" ht="36" customHeight="1" thickBot="1" x14ac:dyDescent="0.25">
      <c r="A32" s="29"/>
      <c r="B32" s="30" t="str">
        <f>'Control Entry'!N37</f>
        <v/>
      </c>
      <c r="C32" s="30" t="str">
        <f>'Control Entry'!O37</f>
        <v/>
      </c>
      <c r="D32" s="31"/>
      <c r="E32" s="32" t="str">
        <f>IF(ISBLANK('Control Entry'!H37),"",'Control Entry'!H37)</f>
        <v/>
      </c>
      <c r="F32" s="90" t="str">
        <f>IF(ISBLANK('Control Entry'!K37),"",'Control Entry'!K37)</f>
        <v/>
      </c>
      <c r="G32" s="89"/>
      <c r="H32" s="24" t="s">
        <v>29</v>
      </c>
      <c r="M32" s="122" t="s">
        <v>82</v>
      </c>
      <c r="N32" s="123"/>
      <c r="O32" s="123"/>
      <c r="P32" s="124"/>
      <c r="Q32" s="125" t="d">
        <f>'Control Entry'!B3</f>
        <v>2022-11-09</v>
      </c>
      <c r="R32" s="126"/>
      <c r="S32" s="126"/>
      <c r="T32" s="127"/>
    </row>
    <row r="33" spans="1:22" ht="36" customHeight="1" x14ac:dyDescent="0.2">
      <c r="A33" s="116" t="s">
        <v>43</v>
      </c>
      <c r="B33" s="116"/>
      <c r="C33" s="116"/>
      <c r="D33" s="116"/>
      <c r="E33" s="116"/>
      <c r="F33" s="116"/>
      <c r="G33" s="116"/>
      <c r="H33" s="37"/>
      <c r="I33" s="37"/>
      <c r="M33" s="111" t="s">
        <v>86</v>
      </c>
      <c r="N33" s="112"/>
      <c r="O33" s="112"/>
      <c r="P33" s="112"/>
      <c r="Q33" s="113" t="d">
        <f>'Control Entry'!B4</f>
        <v>2023-06-18</v>
      </c>
      <c r="R33" s="114"/>
      <c r="S33" s="114"/>
      <c r="T33" s="114"/>
      <c r="V33" s="44"/>
    </row>
    <row r="34" spans="1:22" ht="36" customHeight="1" x14ac:dyDescent="0.2">
      <c r="A34"/>
      <c r="O34" s="15"/>
      <c r="P34" s="15"/>
      <c r="Q34" s="15"/>
      <c r="R34" s="42"/>
    </row>
    <row r="35" spans="1:22" ht="36" customHeight="1" x14ac:dyDescent="0.2">
      <c r="A35"/>
      <c r="N35" s="109"/>
      <c r="O35" s="109"/>
      <c r="P35" s="109"/>
      <c r="Q35" s="109"/>
      <c r="R35" s="109"/>
      <c r="S35" s="109"/>
      <c r="T35" s="109"/>
      <c r="U35" s="109"/>
    </row>
    <row r="36" spans="1:22" ht="36" customHeight="1" x14ac:dyDescent="0.15">
      <c r="A36"/>
    </row>
    <row r="37" spans="1:22" ht="36" customHeight="1" x14ac:dyDescent="0.15">
      <c r="A37"/>
    </row>
    <row r="38" spans="1:22" ht="36" customHeight="1" x14ac:dyDescent="0.2">
      <c r="A38"/>
      <c r="N38" s="15"/>
    </row>
    <row r="39" spans="1:22" ht="36" customHeight="1" x14ac:dyDescent="0.15">
      <c r="A39"/>
    </row>
    <row r="40" spans="1:22" ht="36" customHeight="1" x14ac:dyDescent="0.15">
      <c r="A40"/>
    </row>
  </sheetData>
  <sheetProtection algorithmName="SHA-512" hashValue="DiqJ+JOYBhoyZ1m99XU4D8NDihYKDATVeEm7KPe0KaI0+RIl/s0HliAQDBep4bratR5dvcZSaZLG/PV3ddwAYA==" saltValue="BtrAYkICphSvoTgltO5kCQ==" spinCount="100000" sheet="1" objects="1" scenarios="1" formatCells="0" selectLockedCells="1"/>
  <mergeCells count="42">
    <mergeCell ref="L16:U16"/>
    <mergeCell ref="L22:N22"/>
    <mergeCell ref="S22:U22"/>
    <mergeCell ref="L11:N11"/>
    <mergeCell ref="S11:U11"/>
    <mergeCell ref="L12:N12"/>
    <mergeCell ref="S12:U12"/>
    <mergeCell ref="L13:N13"/>
    <mergeCell ref="R13:U13"/>
    <mergeCell ref="J21:U21"/>
    <mergeCell ref="U27:V27"/>
    <mergeCell ref="M33:P33"/>
    <mergeCell ref="J24:N24"/>
    <mergeCell ref="A1:G1"/>
    <mergeCell ref="K2:U2"/>
    <mergeCell ref="M4:T4"/>
    <mergeCell ref="N5:O5"/>
    <mergeCell ref="R5:U5"/>
    <mergeCell ref="O3:R3"/>
    <mergeCell ref="S24:U24"/>
    <mergeCell ref="Q33:T33"/>
    <mergeCell ref="L20:N20"/>
    <mergeCell ref="L6:U6"/>
    <mergeCell ref="T8:U8"/>
    <mergeCell ref="L9:U9"/>
    <mergeCell ref="L10:U10"/>
    <mergeCell ref="M32:P32"/>
    <mergeCell ref="Q32:T32"/>
    <mergeCell ref="A33:G33"/>
    <mergeCell ref="N35:U35"/>
    <mergeCell ref="L8:Q8"/>
    <mergeCell ref="M29:T29"/>
    <mergeCell ref="L15:U15"/>
    <mergeCell ref="S20:U20"/>
    <mergeCell ref="J25:N25"/>
    <mergeCell ref="P25:Q25"/>
    <mergeCell ref="S25:T25"/>
    <mergeCell ref="U25:V25"/>
    <mergeCell ref="K27:L27"/>
    <mergeCell ref="N27:O27"/>
    <mergeCell ref="P27:Q27"/>
    <mergeCell ref="S27:T27"/>
  </mergeCells>
  <phoneticPr fontId="16" type="noConversion"/>
  <conditionalFormatting sqref="J22:N22">
    <cfRule type="expression" dxfId="14" priority="2">
      <formula>$S$3="#2"</formula>
    </cfRule>
  </conditionalFormatting>
  <conditionalFormatting sqref="J21:U21">
    <cfRule type="expression" dxfId="13" priority="1">
      <formula>$S$3&lt;&gt;"#2"</formula>
    </cfRule>
  </conditionalFormatting>
  <conditionalFormatting sqref="K27:V27">
    <cfRule type="expression" dxfId="12" priority="3">
      <formula>$S$3="#2"</formula>
    </cfRule>
  </conditionalFormatting>
  <conditionalFormatting sqref="P22:U24">
    <cfRule type="expression" dxfId="11" priority="4">
      <formula>$S$3="#2"</formula>
    </cfRule>
  </conditionalFormatting>
  <printOptions horizontalCentered="1" verticalCentered="1"/>
  <pageMargins left="0.2" right="0.2" top="0.2" bottom="0.2" header="0.51" footer="0.51"/>
  <pageSetup scale="45" orientation="landscape" horizontalDpi="4294967292" verticalDpi="4294967292"/>
  <drawing r:id="rId1"/>
  <extLst>
    <ext xmlns="http://schemas.openxmlformats.org/spreadsheetml/2006/main" xmlns:mx="http://schemas.microsoft.com/office/mac/excel/2008/main" uri="{64002731-A6B0-56B0-2670-7721B7C09600}">
      <mx:PLV Mode="0" OnePage="0" WScale="100"/>
    </ext>
  </extLs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4409A-CD2B-D847-B15D-2D9B75969139}">
  <sheetPr>
    <pageSetUpPr fitToPage="1"/>
  </sheetPr>
  <dimension ref="A1:V40"/>
  <sheetViews>
    <sheetView showGridLines="0" zoomScale="92" zoomScaleNormal="92" zoomScalePageLayoutView="92" workbookViewId="0">
      <selection activeCell="F3" sqref="F3"/>
    </sheetView>
  </sheetViews>
  <sheetFormatPr baseColWidth="10" defaultColWidth="8.83203125" defaultRowHeight="13" x14ac:dyDescent="0.15"/>
  <cols>
    <col min="1" max="1" width="8.5" style="1" customWidth="1"/>
    <col min="2" max="3" width="11.6640625" customWidth="1"/>
    <col min="4" max="4" width="18" customWidth="1"/>
    <col min="5" max="5" width="23.83203125" customWidth="1"/>
    <col min="6" max="6" width="42" customWidth="1"/>
    <col min="7" max="7" width="13.5" customWidth="1"/>
    <col min="8" max="8" width="8" customWidth="1"/>
    <col min="9" max="9" width="12" customWidth="1"/>
    <col min="12" max="14" width="9" customWidth="1"/>
    <col min="18" max="18" width="8.83203125" customWidth="1"/>
    <col min="19" max="19" width="9" customWidth="1"/>
  </cols>
  <sheetData>
    <row r="1" spans="1:22" ht="21" thickBot="1" x14ac:dyDescent="0.2">
      <c r="A1" s="115" t="s">
        <v>74</v>
      </c>
      <c r="B1" s="115"/>
      <c r="C1" s="115"/>
      <c r="D1" s="115"/>
      <c r="E1" s="115"/>
      <c r="F1" s="115"/>
      <c r="G1" s="115"/>
      <c r="H1" s="24" t="s">
        <v>29</v>
      </c>
    </row>
    <row r="2" spans="1:22" ht="33.75" customHeight="1" thickBot="1" x14ac:dyDescent="0.25">
      <c r="A2" s="65" t="s">
        <v>30</v>
      </c>
      <c r="B2" s="9" t="s">
        <v>3</v>
      </c>
      <c r="C2" s="9" t="s">
        <v>4</v>
      </c>
      <c r="D2" s="9" t="s">
        <v>25</v>
      </c>
      <c r="E2" s="9" t="s">
        <v>31</v>
      </c>
      <c r="F2" s="9" t="s">
        <v>59</v>
      </c>
      <c r="G2" s="65" t="s">
        <v>32</v>
      </c>
      <c r="H2" s="24" t="s">
        <v>29</v>
      </c>
      <c r="K2" s="114" t="s">
        <v>55</v>
      </c>
      <c r="L2" s="114"/>
      <c r="M2" s="114"/>
      <c r="N2" s="114"/>
      <c r="O2" s="114"/>
      <c r="P2" s="114"/>
      <c r="Q2" s="114"/>
      <c r="R2" s="114"/>
      <c r="S2" s="114"/>
      <c r="T2" s="114"/>
      <c r="U2" s="114"/>
    </row>
    <row r="3" spans="1:22" ht="36" customHeight="1" x14ac:dyDescent="0.45">
      <c r="A3" s="25"/>
      <c r="B3" s="26" t="str">
        <f>'Control Entry'!N41</f>
        <v/>
      </c>
      <c r="C3" s="26" t="str">
        <f>'Control Entry'!O41</f>
        <v/>
      </c>
      <c r="D3" s="27"/>
      <c r="E3" s="28" t="str">
        <f>IF(ISBLANK('Control Entry'!F41),"",'Control Entry'!F41)</f>
        <v/>
      </c>
      <c r="F3" s="85" t="str">
        <f>IF(ISBLANK('Control Entry'!I41),"",'Control Entry'!I41)</f>
        <v/>
      </c>
      <c r="G3" s="86"/>
      <c r="H3" s="24" t="s">
        <v>29</v>
      </c>
      <c r="K3" s="14"/>
      <c r="O3" s="132" t="s">
        <v>73</v>
      </c>
      <c r="P3" s="132"/>
      <c r="Q3" s="132"/>
      <c r="R3" s="132"/>
      <c r="S3" s="75" t="str">
        <f>IF('Control Entry'!D41&lt;&gt;0,"#3",IF(AND('Control Entry'!D41=0,'Control Entry'!D54&lt;&gt;0),"#1",""))</f>
        <v/>
      </c>
      <c r="T3" s="76"/>
      <c r="U3" s="38"/>
    </row>
    <row r="4" spans="1:22" ht="36" customHeight="1" x14ac:dyDescent="0.2">
      <c r="A4" s="34" t="str">
        <f>IF(ISBLANK('Control Entry'!D41),"",'Control Entry'!D41)</f>
        <v/>
      </c>
      <c r="B4" s="35" t="str">
        <f>'Control Entry'!N41</f>
        <v/>
      </c>
      <c r="C4" s="35" t="str">
        <f>'Control Entry'!O41</f>
        <v/>
      </c>
      <c r="D4" s="36" t="str">
        <f>IF(ISBLANK('Control Entry'!E41),"",'Control Entry'!E41)</f>
        <v/>
      </c>
      <c r="E4" s="28" t="str">
        <f>IF(ISBLANK('Control Entry'!G41),"",'Control Entry'!G41)</f>
        <v/>
      </c>
      <c r="F4" s="85" t="str">
        <f>IF(ISBLANK('Control Entry'!J41),"",'Control Entry'!J41)</f>
        <v/>
      </c>
      <c r="G4" s="86"/>
      <c r="H4" s="24" t="s">
        <v>29</v>
      </c>
      <c r="K4" s="14"/>
      <c r="M4" s="117" t="str">
        <f>IF(ISBLANK(brevet),"",brevet&amp;" km Randonnée")</f>
        <v>200 km Randonnée</v>
      </c>
      <c r="N4" s="117"/>
      <c r="O4" s="117"/>
      <c r="P4" s="117"/>
      <c r="Q4" s="117"/>
      <c r="R4" s="117"/>
      <c r="S4" s="117"/>
      <c r="T4" s="117"/>
      <c r="U4" s="39"/>
    </row>
    <row r="5" spans="1:22" ht="36" customHeight="1" thickBot="1" x14ac:dyDescent="0.25">
      <c r="A5" s="29"/>
      <c r="B5" s="30" t="str">
        <f>'Control Entry'!N41</f>
        <v/>
      </c>
      <c r="C5" s="30" t="str">
        <f>'Control Entry'!O41</f>
        <v/>
      </c>
      <c r="D5" s="31"/>
      <c r="E5" s="32" t="str">
        <f>IF(ISBLANK('Control Entry'!H41),"",'Control Entry'!H41)</f>
        <v/>
      </c>
      <c r="F5" s="90" t="str">
        <f>IF(ISBLANK('Control Entry'!K41),"",'Control Entry'!K41)</f>
        <v/>
      </c>
      <c r="G5" s="89"/>
      <c r="H5" s="24" t="s">
        <v>29</v>
      </c>
      <c r="K5" s="14"/>
      <c r="M5" s="15"/>
      <c r="N5" s="108" t="s">
        <v>47</v>
      </c>
      <c r="O5" s="108"/>
      <c r="P5" s="52">
        <f>IF(ISBLANK(Brevet_Number),"",Brevet_Number)</f>
        <v>5273</v>
      </c>
      <c r="Q5" s="53"/>
      <c r="R5" s="120" t="d">
        <f>IF(ISBLANK('Control Entry'!$B10),"",'Control Entry'!$B10)</f>
        <v>2023-06-24</v>
      </c>
      <c r="S5" s="120"/>
      <c r="T5" s="120"/>
      <c r="U5" s="120"/>
      <c r="V5" s="40"/>
    </row>
    <row r="6" spans="1:22" ht="36" customHeight="1" x14ac:dyDescent="0.2">
      <c r="A6" s="25"/>
      <c r="B6" s="26" t="str">
        <f>'Control Entry'!N42</f>
        <v/>
      </c>
      <c r="C6" s="26" t="str">
        <f>'Control Entry'!O42</f>
        <v/>
      </c>
      <c r="D6" s="33"/>
      <c r="E6" s="28" t="str">
        <f>IF(ISBLANK('Control Entry'!F42),"",'Control Entry'!F42)</f>
        <v/>
      </c>
      <c r="F6" s="85" t="str">
        <f>IF(ISBLANK('Control Entry'!I42),"",'Control Entry'!I42)</f>
        <v>Sign between washroom doors</v>
      </c>
      <c r="G6" s="86"/>
      <c r="H6" s="24" t="s">
        <v>29</v>
      </c>
      <c r="K6" s="14"/>
      <c r="L6" s="135" t="str">
        <f>IF(ISBLANK(Brevet_Description),"",Brevet_Description)</f>
        <v>Hands Across the Water 2023</v>
      </c>
      <c r="M6" s="135"/>
      <c r="N6" s="135"/>
      <c r="O6" s="135"/>
      <c r="P6" s="135"/>
      <c r="Q6" s="135"/>
      <c r="R6" s="135"/>
      <c r="S6" s="135"/>
      <c r="T6" s="135"/>
      <c r="U6" s="135"/>
    </row>
    <row r="7" spans="1:22" ht="36" customHeight="1" x14ac:dyDescent="0.2">
      <c r="A7" s="34" t="str">
        <f>IF(ISBLANK('Control Entry'!D42),"",'Control Entry'!D42)</f>
        <v/>
      </c>
      <c r="B7" s="35" t="str">
        <f>'Control Entry'!N42</f>
        <v/>
      </c>
      <c r="C7" s="35" t="str">
        <f>'Control Entry'!O42</f>
        <v/>
      </c>
      <c r="D7" s="36" t="str">
        <f>IF(ISBLANK('Control Entry'!E42),"",'Control Entry'!E42)</f>
        <v/>
      </c>
      <c r="E7" s="28" t="str">
        <f>IF(ISBLANK('Control Entry'!G42),"",'Control Entry'!G42)</f>
        <v/>
      </c>
      <c r="F7" s="85" t="str">
        <f>IF(ISBLANK('Control Entry'!J42),"",'Control Entry'!J42)</f>
        <v>URGENT ISSUES: Call</v>
      </c>
      <c r="G7" s="86"/>
      <c r="H7" s="24" t="s">
        <v>29</v>
      </c>
    </row>
    <row r="8" spans="1:22" ht="36" customHeight="1" thickBot="1" x14ac:dyDescent="0.25">
      <c r="A8" s="29"/>
      <c r="B8" s="30" t="str">
        <f>'Control Entry'!N42</f>
        <v/>
      </c>
      <c r="C8" s="30" t="str">
        <f>'Control Entry'!O42</f>
        <v/>
      </c>
      <c r="D8" s="31"/>
      <c r="E8" s="32" t="str">
        <f>IF(ISBLANK('Control Entry'!H42),"",'Control Entry'!H42)</f>
        <v/>
      </c>
      <c r="F8" s="90" t="str">
        <f>IF(ISBLANK('Control Entry'!K42),"",'Control Entry'!K42)</f>
        <v>250-_________ - ____________</v>
      </c>
      <c r="G8" s="89"/>
      <c r="H8" s="24" t="s">
        <v>29</v>
      </c>
      <c r="J8" s="15" t="s">
        <v>34</v>
      </c>
      <c r="L8" s="121"/>
      <c r="M8" s="121"/>
      <c r="N8" s="121"/>
      <c r="O8" s="121"/>
      <c r="P8" s="121"/>
      <c r="Q8" s="121"/>
      <c r="S8" s="41" t="s">
        <v>46</v>
      </c>
      <c r="T8" s="128"/>
      <c r="U8" s="128"/>
    </row>
    <row r="9" spans="1:22" ht="36" customHeight="1" thickBot="1" x14ac:dyDescent="0.3">
      <c r="A9" s="25"/>
      <c r="B9" s="26" t="str">
        <f>'Control Entry'!N43</f>
        <v/>
      </c>
      <c r="C9" s="26" t="str">
        <f>'Control Entry'!O43</f>
        <v/>
      </c>
      <c r="D9" s="33"/>
      <c r="E9" s="28" t="str">
        <f>IF(ISBLANK('Control Entry'!F43),"",'Control Entry'!F43)</f>
        <v/>
      </c>
      <c r="F9" s="85" t="str">
        <f>IF(ISBLANK('Control Entry'!I43),"",'Control Entry'!I43)</f>
        <v>Mailbox tower 1 (number in top left)</v>
      </c>
      <c r="G9" s="86"/>
      <c r="H9" s="24" t="s">
        <v>29</v>
      </c>
      <c r="J9" s="15" t="s">
        <v>35</v>
      </c>
      <c r="K9" s="15"/>
      <c r="L9" s="137" t="s">
        <v>54</v>
      </c>
      <c r="M9" s="137"/>
      <c r="N9" s="137"/>
      <c r="O9" s="137"/>
      <c r="P9" s="137"/>
      <c r="Q9" s="137"/>
      <c r="R9" s="137"/>
      <c r="S9" s="137"/>
      <c r="T9" s="137"/>
      <c r="U9" s="137"/>
    </row>
    <row r="10" spans="1:22" ht="36" customHeight="1" thickBot="1" x14ac:dyDescent="0.3">
      <c r="A10" s="34" t="str">
        <f>IF(ISBLANK('Control Entry'!D43),"",'Control Entry'!D43)</f>
        <v/>
      </c>
      <c r="B10" s="35" t="str">
        <f>'Control Entry'!N43</f>
        <v/>
      </c>
      <c r="C10" s="35" t="str">
        <f>'Control Entry'!O43</f>
        <v/>
      </c>
      <c r="D10" s="36" t="str">
        <f>IF(ISBLANK('Control Entry'!E43),"",'Control Entry'!E43)</f>
        <v/>
      </c>
      <c r="E10" s="28" t="str">
        <f>IF(ISBLANK('Control Entry'!G43),"",'Control Entry'!G43)</f>
        <v/>
      </c>
      <c r="F10" s="85" t="str">
        <f>IF(ISBLANK('Control Entry'!J43),"",'Control Entry'!J43)</f>
        <v>Columns of mailboxes in tower</v>
      </c>
      <c r="G10" s="86"/>
      <c r="H10" s="24" t="s">
        <v>29</v>
      </c>
      <c r="J10" s="15"/>
      <c r="K10" s="15"/>
      <c r="L10" s="130"/>
      <c r="M10" s="130"/>
      <c r="N10" s="130"/>
      <c r="O10" s="130"/>
      <c r="P10" s="130"/>
      <c r="Q10" s="130"/>
      <c r="R10" s="130"/>
      <c r="S10" s="130"/>
      <c r="T10" s="130"/>
      <c r="U10" s="130"/>
    </row>
    <row r="11" spans="1:22" ht="36" customHeight="1" thickBot="1" x14ac:dyDescent="0.3">
      <c r="A11" s="29"/>
      <c r="B11" s="30" t="str">
        <f>'Control Entry'!N43</f>
        <v/>
      </c>
      <c r="C11" s="30" t="str">
        <f>'Control Entry'!O43</f>
        <v/>
      </c>
      <c r="D11" s="31"/>
      <c r="E11" s="32" t="str">
        <f>IF(ISBLANK('Control Entry'!H43),"",'Control Entry'!H43)</f>
        <v/>
      </c>
      <c r="F11" s="90" t="str">
        <f>IF(ISBLANK('Control Entry'!K43),"",'Control Entry'!K43)</f>
        <v>Circle answer:   1    2    3    4</v>
      </c>
      <c r="G11" s="89"/>
      <c r="H11" s="24" t="s">
        <v>29</v>
      </c>
      <c r="J11" s="15" t="s">
        <v>36</v>
      </c>
      <c r="K11" s="15"/>
      <c r="L11" s="130"/>
      <c r="M11" s="130"/>
      <c r="N11" s="130"/>
      <c r="O11" s="15"/>
      <c r="P11" s="15" t="s">
        <v>37</v>
      </c>
      <c r="Q11" s="15"/>
      <c r="R11" s="15"/>
      <c r="S11" s="118"/>
      <c r="T11" s="118"/>
      <c r="U11" s="118"/>
    </row>
    <row r="12" spans="1:22" ht="36" customHeight="1" thickBot="1" x14ac:dyDescent="0.3">
      <c r="A12" s="25"/>
      <c r="B12" s="26" t="str">
        <f>'Control Entry'!N44</f>
        <v/>
      </c>
      <c r="C12" s="26" t="str">
        <f>'Control Entry'!O44</f>
        <v/>
      </c>
      <c r="D12" s="33"/>
      <c r="E12" s="28" t="str">
        <f>IF(ISBLANK('Control Entry'!F44),"",'Control Entry'!F44)</f>
        <v/>
      </c>
      <c r="F12" s="85" t="str">
        <f>IF(ISBLANK('Control Entry'!I44),"",'Control Entry'!I44)</f>
        <v>Plaque in front of totem pole</v>
      </c>
      <c r="G12" s="86"/>
      <c r="H12" s="24" t="s">
        <v>29</v>
      </c>
      <c r="J12" s="15" t="s">
        <v>38</v>
      </c>
      <c r="K12" s="15"/>
      <c r="L12" s="130"/>
      <c r="M12" s="130"/>
      <c r="N12" s="130"/>
      <c r="O12" s="15"/>
      <c r="P12" s="15" t="s">
        <v>39</v>
      </c>
      <c r="Q12" s="15"/>
      <c r="R12" s="15"/>
      <c r="S12" s="118"/>
      <c r="T12" s="118"/>
      <c r="U12" s="118"/>
    </row>
    <row r="13" spans="1:22" ht="36" customHeight="1" thickBot="1" x14ac:dyDescent="0.3">
      <c r="A13" s="34" t="str">
        <f>IF(ISBLANK('Control Entry'!D44),"",'Control Entry'!D44)</f>
        <v/>
      </c>
      <c r="B13" s="35" t="str">
        <f>'Control Entry'!N44</f>
        <v/>
      </c>
      <c r="C13" s="35" t="str">
        <f>'Control Entry'!O44</f>
        <v/>
      </c>
      <c r="D13" s="36" t="str">
        <f>IF(ISBLANK('Control Entry'!E44),"",'Control Entry'!E44)</f>
        <v/>
      </c>
      <c r="E13" s="28" t="str">
        <f>IF(ISBLANK('Control Entry'!G44),"",'Control Entry'!G44)</f>
        <v/>
      </c>
      <c r="F13" s="85" t="str">
        <f>IF(ISBLANK('Control Entry'!J44),"",'Control Entry'!J44)</f>
        <v>Date at bottom of plaque</v>
      </c>
      <c r="G13" s="86"/>
      <c r="H13" s="24" t="s">
        <v>29</v>
      </c>
      <c r="J13" s="15" t="s">
        <v>40</v>
      </c>
      <c r="L13" s="140"/>
      <c r="M13" s="140"/>
      <c r="N13" s="140"/>
      <c r="P13" s="15" t="s">
        <v>41</v>
      </c>
      <c r="Q13" s="15"/>
      <c r="R13" s="119"/>
      <c r="S13" s="119"/>
      <c r="T13" s="119"/>
      <c r="U13" s="119"/>
    </row>
    <row r="14" spans="1:22" ht="36" customHeight="1" thickBot="1" x14ac:dyDescent="0.25">
      <c r="A14" s="29"/>
      <c r="B14" s="30" t="str">
        <f>'Control Entry'!N44</f>
        <v/>
      </c>
      <c r="C14" s="30" t="str">
        <f>'Control Entry'!O44</f>
        <v/>
      </c>
      <c r="D14" s="31"/>
      <c r="E14" s="32" t="str">
        <f>IF(ISBLANK('Control Entry'!H44),"",'Control Entry'!H44)</f>
        <v/>
      </c>
      <c r="F14" s="90" t="str">
        <f>IF(ISBLANK('Control Entry'!K44),"",'Control Entry'!K44)</f>
        <v>September ______________</v>
      </c>
      <c r="G14" s="89"/>
      <c r="H14" s="24" t="s">
        <v>29</v>
      </c>
    </row>
    <row r="15" spans="1:22" ht="36" customHeight="1" x14ac:dyDescent="0.2">
      <c r="A15" s="25"/>
      <c r="B15" s="26" t="str">
        <f>'Control Entry'!N45</f>
        <v/>
      </c>
      <c r="C15" s="26" t="str">
        <f>'Control Entry'!O45</f>
        <v/>
      </c>
      <c r="D15" s="33"/>
      <c r="E15" s="28" t="str">
        <f>IF(ISBLANK('Control Entry'!F45),"",'Control Entry'!F45)</f>
        <v/>
      </c>
      <c r="F15" s="85" t="str">
        <f>IF(ISBLANK('Control Entry'!I45),"",'Control Entry'!I45)</f>
        <v>Covered welcome sign by washrooms</v>
      </c>
      <c r="G15" s="86"/>
      <c r="H15" s="24" t="s">
        <v>29</v>
      </c>
      <c r="J15" s="15"/>
      <c r="L15" s="134" t="s">
        <v>58</v>
      </c>
      <c r="M15" s="134"/>
      <c r="N15" s="134"/>
      <c r="O15" s="134"/>
      <c r="P15" s="134"/>
      <c r="Q15" s="134"/>
      <c r="R15" s="134"/>
      <c r="S15" s="134"/>
      <c r="T15" s="134"/>
      <c r="U15" s="134"/>
    </row>
    <row r="16" spans="1:22" ht="36" customHeight="1" thickBot="1" x14ac:dyDescent="0.25">
      <c r="A16" s="34" t="str">
        <f>IF(ISBLANK('Control Entry'!D45),"",'Control Entry'!D45)</f>
        <v/>
      </c>
      <c r="B16" s="35" t="str">
        <f>'Control Entry'!N45</f>
        <v/>
      </c>
      <c r="C16" s="35" t="str">
        <f>'Control Entry'!O45</f>
        <v/>
      </c>
      <c r="D16" s="36" t="str">
        <f>IF(ISBLANK('Control Entry'!E45),"",'Control Entry'!E45)</f>
        <v/>
      </c>
      <c r="E16" s="28" t="str">
        <f>IF(ISBLANK('Control Entry'!G45),"",'Control Entry'!G45)</f>
        <v/>
      </c>
      <c r="F16" s="85" t="str">
        <f>IF(ISBLANK('Control Entry'!J45),"",'Control Entry'!J45)</f>
        <v>TRAIL ETIQUETTE, first on list (top left)</v>
      </c>
      <c r="G16" s="86"/>
      <c r="H16" s="24" t="s">
        <v>29</v>
      </c>
      <c r="L16" s="142"/>
      <c r="M16" s="142"/>
      <c r="N16" s="142"/>
      <c r="O16" s="142"/>
      <c r="P16" s="142"/>
      <c r="Q16" s="142"/>
      <c r="R16" s="142"/>
      <c r="S16" s="142"/>
      <c r="T16" s="142"/>
      <c r="U16" s="142"/>
    </row>
    <row r="17" spans="1:22" ht="36" customHeight="1" thickBot="1" x14ac:dyDescent="0.25">
      <c r="A17" s="29"/>
      <c r="B17" s="30" t="str">
        <f>'Control Entry'!N45</f>
        <v/>
      </c>
      <c r="C17" s="30" t="str">
        <f>'Control Entry'!O45</f>
        <v/>
      </c>
      <c r="D17" s="31"/>
      <c r="E17" s="32" t="str">
        <f>IF(ISBLANK('Control Entry'!H45),"",'Control Entry'!H45)</f>
        <v/>
      </c>
      <c r="F17" s="90" t="str">
        <f>IF(ISBLANK('Control Entry'!K45),"",'Control Entry'!K45)</f>
        <v>NO ________________ ALLOWED</v>
      </c>
      <c r="G17" s="89"/>
      <c r="H17" s="24" t="s">
        <v>29</v>
      </c>
    </row>
    <row r="18" spans="1:22" ht="36" customHeight="1" x14ac:dyDescent="0.2">
      <c r="A18" s="25"/>
      <c r="B18" s="26" t="str">
        <f>'Control Entry'!N46</f>
        <v/>
      </c>
      <c r="C18" s="26" t="str">
        <f>'Control Entry'!O46</f>
        <v/>
      </c>
      <c r="D18" s="33"/>
      <c r="E18" s="28" t="str">
        <f>IF(ISBLANK('Control Entry'!F46),"",'Control Entry'!F46)</f>
        <v/>
      </c>
      <c r="F18" s="85" t="str">
        <f>IF(ISBLANK('Control Entry'!I46),"",'Control Entry'!I46)</f>
        <v>Beach Access Sign</v>
      </c>
      <c r="G18" s="86"/>
      <c r="H18" s="24" t="s">
        <v>29</v>
      </c>
    </row>
    <row r="19" spans="1:22" ht="36" customHeight="1" x14ac:dyDescent="0.2">
      <c r="A19" s="34" t="str">
        <f>IF(ISBLANK('Control Entry'!D46),"",'Control Entry'!D46)</f>
        <v/>
      </c>
      <c r="B19" s="35" t="str">
        <f>'Control Entry'!N46</f>
        <v/>
      </c>
      <c r="C19" s="35" t="str">
        <f>'Control Entry'!O46</f>
        <v/>
      </c>
      <c r="D19" s="36" t="str">
        <f>IF(ISBLANK('Control Entry'!E46),"",'Control Entry'!E46)</f>
        <v/>
      </c>
      <c r="E19" s="28" t="str">
        <f>IF(ISBLANK('Control Entry'!G46),"",'Control Entry'!G46)</f>
        <v/>
      </c>
      <c r="F19" s="85" t="str">
        <f>IF(ISBLANK('Control Entry'!J46),"",'Control Entry'!J46)</f>
        <v>Top left symbol</v>
      </c>
      <c r="G19" s="86"/>
      <c r="H19" s="24" t="s">
        <v>29</v>
      </c>
    </row>
    <row r="20" spans="1:22" ht="36" customHeight="1" thickBot="1" x14ac:dyDescent="0.25">
      <c r="A20" s="29"/>
      <c r="B20" s="30" t="str">
        <f>'Control Entry'!N46</f>
        <v/>
      </c>
      <c r="C20" s="30" t="str">
        <f>'Control Entry'!O46</f>
        <v/>
      </c>
      <c r="D20" s="31"/>
      <c r="E20" s="32" t="str">
        <f>IF(ISBLANK('Control Entry'!H46),"",'Control Entry'!H46)</f>
        <v/>
      </c>
      <c r="F20" s="90" t="str">
        <f>IF(ISBLANK('Control Entry'!K46),"",'Control Entry'!K46)</f>
        <v>NO ________________</v>
      </c>
      <c r="G20" s="89"/>
      <c r="H20" s="24" t="s">
        <v>29</v>
      </c>
      <c r="J20" s="50" t="s">
        <v>44</v>
      </c>
      <c r="K20" s="50"/>
      <c r="L20" s="129" t="d">
        <f>IF(ISBLANK('Control Entry'!B12),"",'Control Entry'!B12)</f>
        <v>2023-06-24</v>
      </c>
      <c r="M20" s="129"/>
      <c r="N20" s="129"/>
      <c r="P20" s="15" t="s">
        <v>0</v>
      </c>
      <c r="Q20" s="15"/>
      <c r="S20" s="133" t="d">
        <f>IF(ISBLANK('Control Entry'!B13),"",'Control Entry'!B13)</f>
        <v>07:00:00.0000000000015975</v>
      </c>
      <c r="T20" s="133"/>
      <c r="U20" s="133"/>
    </row>
    <row r="21" spans="1:22" ht="36" customHeight="1" x14ac:dyDescent="0.2">
      <c r="A21" s="25"/>
      <c r="B21" s="26" t="str">
        <f>'Control Entry'!N47</f>
        <v/>
      </c>
      <c r="C21" s="26" t="str">
        <f>'Control Entry'!O47</f>
        <v/>
      </c>
      <c r="D21" s="33"/>
      <c r="E21" s="28" t="str">
        <f>IF(ISBLANK('Control Entry'!F47),"",'Control Entry'!F47)</f>
        <v/>
      </c>
      <c r="F21" s="85" t="str">
        <f>IF(ISBLANK('Control Entry'!I47),"",'Control Entry'!I47)</f>
        <v>Plaque on stone by picnic shelter</v>
      </c>
      <c r="G21" s="86"/>
      <c r="H21" s="24" t="s">
        <v>29</v>
      </c>
      <c r="J21" s="135" t="s">
        <v>90</v>
      </c>
      <c r="K21" s="135"/>
      <c r="L21" s="135"/>
      <c r="M21" s="135"/>
      <c r="N21" s="135"/>
      <c r="O21" s="135"/>
      <c r="P21" s="135"/>
      <c r="Q21" s="135"/>
      <c r="R21" s="135"/>
      <c r="S21" s="135"/>
      <c r="T21" s="135"/>
      <c r="U21" s="135"/>
    </row>
    <row r="22" spans="1:22" ht="36" customHeight="1" thickBot="1" x14ac:dyDescent="0.25">
      <c r="A22" s="34" t="str">
        <f>IF(ISBLANK('Control Entry'!D47),"",'Control Entry'!D47)</f>
        <v/>
      </c>
      <c r="B22" s="35" t="str">
        <f>'Control Entry'!N47</f>
        <v/>
      </c>
      <c r="C22" s="35" t="str">
        <f>'Control Entry'!O47</f>
        <v/>
      </c>
      <c r="D22" s="36" t="str">
        <f>IF(ISBLANK('Control Entry'!E47),"",'Control Entry'!E47)</f>
        <v/>
      </c>
      <c r="E22" s="28" t="str">
        <f>IF(ISBLANK('Control Entry'!G47),"",'Control Entry'!G47)</f>
        <v/>
      </c>
      <c r="F22" s="85" t="str">
        <f>IF(ISBLANK('Control Entry'!J47),"",'Control Entry'!J47)</f>
        <v>Date at bottom of plaque</v>
      </c>
      <c r="G22" s="86"/>
      <c r="H22" s="24" t="s">
        <v>29</v>
      </c>
      <c r="J22" s="50" t="s">
        <v>45</v>
      </c>
      <c r="K22" s="50"/>
      <c r="L22" s="91"/>
      <c r="M22" s="91"/>
      <c r="N22" s="91"/>
      <c r="P22" s="15" t="s">
        <v>1</v>
      </c>
      <c r="Q22" s="15"/>
      <c r="S22" s="136"/>
      <c r="T22" s="136"/>
      <c r="U22" s="136"/>
    </row>
    <row r="23" spans="1:22" ht="36" customHeight="1" thickBot="1" x14ac:dyDescent="0.25">
      <c r="A23" s="29"/>
      <c r="B23" s="30" t="str">
        <f>'Control Entry'!N47</f>
        <v/>
      </c>
      <c r="C23" s="30" t="str">
        <f>'Control Entry'!O47</f>
        <v/>
      </c>
      <c r="D23" s="31"/>
      <c r="E23" s="32" t="str">
        <f>IF(ISBLANK('Control Entry'!H47),"",'Control Entry'!H47)</f>
        <v/>
      </c>
      <c r="F23" s="90" t="str">
        <f>IF(ISBLANK('Control Entry'!K47),"",'Control Entry'!K47)</f>
        <v>April ________, 1990</v>
      </c>
      <c r="G23" s="89"/>
      <c r="H23" s="24" t="s">
        <v>29</v>
      </c>
      <c r="J23" s="50"/>
      <c r="K23" s="50"/>
      <c r="L23" s="44"/>
      <c r="M23" s="44"/>
      <c r="N23" s="44"/>
      <c r="P23" s="15"/>
      <c r="Q23" s="15"/>
    </row>
    <row r="24" spans="1:22" ht="36" customHeight="1" thickBot="1" x14ac:dyDescent="0.25">
      <c r="A24" s="25"/>
      <c r="B24" s="26" t="str">
        <f>'Control Entry'!N48</f>
        <v/>
      </c>
      <c r="C24" s="26" t="str">
        <f>'Control Entry'!O48</f>
        <v/>
      </c>
      <c r="D24" s="33"/>
      <c r="E24" s="28" t="str">
        <f>IF(ISBLANK('Control Entry'!F48),"",'Control Entry'!F48)</f>
        <v/>
      </c>
      <c r="F24" s="85" t="str">
        <f>IF(ISBLANK('Control Entry'!I48),"",'Control Entry'!I48)</f>
        <v>Welcome sign to right of washrooms</v>
      </c>
      <c r="G24" s="86"/>
      <c r="H24" s="24" t="s">
        <v>29</v>
      </c>
      <c r="J24" s="136"/>
      <c r="K24" s="136"/>
      <c r="L24" s="136"/>
      <c r="M24" s="136"/>
      <c r="N24" s="136"/>
      <c r="P24" s="15" t="s">
        <v>2</v>
      </c>
      <c r="Q24" s="15"/>
      <c r="S24" s="136"/>
      <c r="T24" s="136"/>
      <c r="U24" s="136"/>
    </row>
    <row r="25" spans="1:22" ht="36" customHeight="1" x14ac:dyDescent="0.2">
      <c r="A25" s="34" t="str">
        <f>IF(ISBLANK('Control Entry'!D48),"",'Control Entry'!D48)</f>
        <v/>
      </c>
      <c r="B25" s="35" t="str">
        <f>'Control Entry'!N48</f>
        <v/>
      </c>
      <c r="C25" s="35" t="str">
        <f>'Control Entry'!O48</f>
        <v/>
      </c>
      <c r="D25" s="36" t="str">
        <f>IF(ISBLANK('Control Entry'!E48),"",'Control Entry'!E48)</f>
        <v/>
      </c>
      <c r="E25" s="28" t="str">
        <f>IF(ISBLANK('Control Entry'!G48),"",'Control Entry'!G48)</f>
        <v/>
      </c>
      <c r="F25" s="85" t="str">
        <f>IF(ISBLANK('Control Entry'!J48),"",'Control Entry'!J48)</f>
        <v>Habitat Zone on bottom right</v>
      </c>
      <c r="G25" s="86"/>
      <c r="H25" s="24" t="s">
        <v>29</v>
      </c>
      <c r="J25" s="131" t="s">
        <v>17</v>
      </c>
      <c r="K25" s="131"/>
      <c r="L25" s="131"/>
      <c r="M25" s="131"/>
      <c r="N25" s="131"/>
      <c r="O25" s="46"/>
      <c r="P25" s="110"/>
      <c r="Q25" s="110"/>
      <c r="R25" s="46"/>
      <c r="S25" s="108"/>
      <c r="T25" s="108"/>
      <c r="U25" s="108"/>
      <c r="V25" s="108"/>
    </row>
    <row r="26" spans="1:22" ht="36" customHeight="1" thickBot="1" x14ac:dyDescent="0.25">
      <c r="A26" s="29"/>
      <c r="B26" s="30" t="str">
        <f>'Control Entry'!N48</f>
        <v/>
      </c>
      <c r="C26" s="30" t="str">
        <f>'Control Entry'!O48</f>
        <v/>
      </c>
      <c r="D26" s="31"/>
      <c r="E26" s="32" t="str">
        <f>IF(ISBLANK('Control Entry'!H48),"",'Control Entry'!H48)</f>
        <v/>
      </c>
      <c r="F26" s="90" t="str">
        <f>IF(ISBLANK('Control Entry'!K48),"",'Control Entry'!K48)</f>
        <v>______________   _______ Rock Outcrop</v>
      </c>
      <c r="G26" s="89"/>
      <c r="H26" s="24" t="s">
        <v>29</v>
      </c>
    </row>
    <row r="27" spans="1:22" ht="36" customHeight="1" x14ac:dyDescent="0.2">
      <c r="A27" s="25"/>
      <c r="B27" s="26" t="str">
        <f>'Control Entry'!N49</f>
        <v/>
      </c>
      <c r="C27" s="26" t="str">
        <f>'Control Entry'!O49</f>
        <v/>
      </c>
      <c r="D27" s="33"/>
      <c r="E27" s="28" t="str">
        <f>IF(ISBLANK('Control Entry'!F49),"",'Control Entry'!F49)</f>
        <v/>
      </c>
      <c r="F27" s="85" t="str">
        <f>IF(ISBLANK('Control Entry'!I49),"",'Control Entry'!I49)</f>
        <v/>
      </c>
      <c r="G27" s="86"/>
      <c r="H27" s="24" t="s">
        <v>29</v>
      </c>
      <c r="K27" s="117" t="s">
        <v>56</v>
      </c>
      <c r="L27" s="110"/>
      <c r="M27" s="45" t="s">
        <v>57</v>
      </c>
      <c r="N27" s="110" t="s">
        <v>49</v>
      </c>
      <c r="O27" s="110"/>
      <c r="P27" s="110" t="s">
        <v>50</v>
      </c>
      <c r="Q27" s="110"/>
      <c r="R27" s="46" t="s">
        <v>51</v>
      </c>
      <c r="S27" s="108" t="s">
        <v>52</v>
      </c>
      <c r="T27" s="108"/>
      <c r="U27" s="108" t="s">
        <v>53</v>
      </c>
      <c r="V27" s="108"/>
    </row>
    <row r="28" spans="1:22" ht="36" customHeight="1" x14ac:dyDescent="0.2">
      <c r="A28" s="34" t="str">
        <f>IF(ISBLANK('Control Entry'!D49),"",'Control Entry'!D49)</f>
        <v/>
      </c>
      <c r="B28" s="35" t="str">
        <f>'Control Entry'!N49</f>
        <v/>
      </c>
      <c r="C28" s="35" t="str">
        <f>'Control Entry'!O49</f>
        <v/>
      </c>
      <c r="D28" s="36" t="str">
        <f>IF(ISBLANK('Control Entry'!E49),"",'Control Entry'!E49)</f>
        <v/>
      </c>
      <c r="E28" s="28" t="str">
        <f>IF(ISBLANK('Control Entry'!G49),"",'Control Entry'!G49)</f>
        <v/>
      </c>
      <c r="F28" s="85" t="str">
        <f>IF(ISBLANK('Control Entry'!J49),"",'Control Entry'!J49)</f>
        <v/>
      </c>
      <c r="G28" s="86"/>
      <c r="H28" s="24" t="s">
        <v>29</v>
      </c>
    </row>
    <row r="29" spans="1:22" ht="36" customHeight="1" thickBot="1" x14ac:dyDescent="0.25">
      <c r="A29" s="29"/>
      <c r="B29" s="30" t="str">
        <f>'Control Entry'!N49</f>
        <v/>
      </c>
      <c r="C29" s="30" t="str">
        <f>'Control Entry'!O49</f>
        <v/>
      </c>
      <c r="D29" s="31"/>
      <c r="E29" s="32" t="str">
        <f>IF(ISBLANK('Control Entry'!H49),"",'Control Entry'!H49)</f>
        <v/>
      </c>
      <c r="F29" s="90" t="str">
        <f>IF(ISBLANK('Control Entry'!K49),"",'Control Entry'!K49)</f>
        <v/>
      </c>
      <c r="G29" s="89"/>
      <c r="H29" s="24" t="s">
        <v>29</v>
      </c>
      <c r="M29" s="109" t="s">
        <v>42</v>
      </c>
      <c r="N29" s="109"/>
      <c r="O29" s="109"/>
      <c r="P29" s="109"/>
      <c r="Q29" s="109"/>
      <c r="R29" s="109"/>
      <c r="S29" s="109"/>
      <c r="T29" s="109"/>
      <c r="U29" s="49"/>
    </row>
    <row r="30" spans="1:22" ht="36" customHeight="1" x14ac:dyDescent="0.2">
      <c r="A30" s="25"/>
      <c r="B30" s="26" t="str">
        <f>'Control Entry'!N50</f>
        <v/>
      </c>
      <c r="C30" s="26" t="str">
        <f>'Control Entry'!O50</f>
        <v/>
      </c>
      <c r="D30" s="33"/>
      <c r="E30" s="28" t="str">
        <f>IF(ISBLANK('Control Entry'!F50),"",'Control Entry'!F50)</f>
        <v/>
      </c>
      <c r="F30" s="85" t="str">
        <f>IF(ISBLANK('Control Entry'!I50),"",'Control Entry'!I50)</f>
        <v/>
      </c>
      <c r="G30" s="86"/>
      <c r="H30" s="24" t="s">
        <v>29</v>
      </c>
      <c r="M30" s="16"/>
      <c r="N30" s="18"/>
      <c r="O30" s="18"/>
      <c r="P30" s="19"/>
      <c r="Q30" s="16"/>
      <c r="R30" s="18"/>
      <c r="S30" s="18"/>
      <c r="T30" s="19"/>
    </row>
    <row r="31" spans="1:22" ht="36" customHeight="1" x14ac:dyDescent="0.2">
      <c r="A31" s="34" t="str">
        <f>IF(ISBLANK('Control Entry'!D50),"",'Control Entry'!D50)</f>
        <v/>
      </c>
      <c r="B31" s="35" t="str">
        <f>'Control Entry'!N50</f>
        <v/>
      </c>
      <c r="C31" s="35" t="str">
        <f>'Control Entry'!O50</f>
        <v/>
      </c>
      <c r="D31" s="36" t="str">
        <f>IF(ISBLANK('Control Entry'!E50),"",'Control Entry'!E50)</f>
        <v/>
      </c>
      <c r="E31" s="28" t="str">
        <f>IF(ISBLANK('Control Entry'!G50),"",'Control Entry'!G50)</f>
        <v/>
      </c>
      <c r="F31" s="85" t="str">
        <f>IF(ISBLANK('Control Entry'!J50),"",'Control Entry'!J50)</f>
        <v/>
      </c>
      <c r="G31" s="86"/>
      <c r="H31" s="24" t="s">
        <v>29</v>
      </c>
      <c r="M31" s="17"/>
      <c r="P31" s="20"/>
      <c r="Q31" s="17"/>
      <c r="T31" s="20"/>
    </row>
    <row r="32" spans="1:22" ht="36" customHeight="1" thickBot="1" x14ac:dyDescent="0.25">
      <c r="A32" s="29"/>
      <c r="B32" s="30" t="str">
        <f>'Control Entry'!N50</f>
        <v/>
      </c>
      <c r="C32" s="30" t="str">
        <f>'Control Entry'!O50</f>
        <v/>
      </c>
      <c r="D32" s="31"/>
      <c r="E32" s="32" t="str">
        <f>IF(ISBLANK('Control Entry'!H50),"",'Control Entry'!H50)</f>
        <v/>
      </c>
      <c r="F32" s="90" t="str">
        <f>IF(ISBLANK('Control Entry'!K50),"",'Control Entry'!K50)</f>
        <v/>
      </c>
      <c r="G32" s="89"/>
      <c r="H32" s="24" t="s">
        <v>29</v>
      </c>
      <c r="M32" s="122" t="s">
        <v>82</v>
      </c>
      <c r="N32" s="123"/>
      <c r="O32" s="123"/>
      <c r="P32" s="124"/>
      <c r="Q32" s="125" t="d">
        <f>'Control Entry'!B3</f>
        <v>2022-11-09</v>
      </c>
      <c r="R32" s="126"/>
      <c r="S32" s="126"/>
      <c r="T32" s="127"/>
    </row>
    <row r="33" spans="1:22" ht="36" customHeight="1" x14ac:dyDescent="0.2">
      <c r="A33" s="116" t="s">
        <v>43</v>
      </c>
      <c r="B33" s="116"/>
      <c r="C33" s="116"/>
      <c r="D33" s="116"/>
      <c r="E33" s="116"/>
      <c r="F33" s="116"/>
      <c r="G33" s="116"/>
      <c r="H33" s="37"/>
      <c r="I33" s="37"/>
      <c r="M33" s="111" t="s">
        <v>86</v>
      </c>
      <c r="N33" s="112"/>
      <c r="O33" s="112"/>
      <c r="P33" s="112"/>
      <c r="Q33" s="113" t="d">
        <f>'Control Entry'!B4</f>
        <v>2023-06-18</v>
      </c>
      <c r="R33" s="114"/>
      <c r="S33" s="114"/>
      <c r="T33" s="114"/>
      <c r="U33" s="82"/>
      <c r="V33" s="44"/>
    </row>
    <row r="34" spans="1:22" ht="36" customHeight="1" x14ac:dyDescent="0.2">
      <c r="A34"/>
      <c r="O34" s="15"/>
      <c r="P34" s="15"/>
      <c r="Q34" s="15"/>
      <c r="R34" s="42"/>
    </row>
    <row r="35" spans="1:22" ht="36" customHeight="1" x14ac:dyDescent="0.2">
      <c r="A35"/>
      <c r="N35" s="109"/>
      <c r="O35" s="109"/>
      <c r="P35" s="109"/>
      <c r="Q35" s="109"/>
      <c r="R35" s="109"/>
      <c r="S35" s="109"/>
      <c r="T35" s="109"/>
      <c r="U35" s="109"/>
    </row>
    <row r="36" spans="1:22" ht="36" customHeight="1" x14ac:dyDescent="0.15">
      <c r="A36"/>
    </row>
    <row r="37" spans="1:22" ht="36" customHeight="1" x14ac:dyDescent="0.15">
      <c r="A37"/>
    </row>
    <row r="38" spans="1:22" ht="36" customHeight="1" x14ac:dyDescent="0.2">
      <c r="A38"/>
      <c r="N38" s="15"/>
    </row>
    <row r="39" spans="1:22" ht="36" customHeight="1" x14ac:dyDescent="0.15">
      <c r="A39"/>
    </row>
    <row r="40" spans="1:22" ht="36" customHeight="1" x14ac:dyDescent="0.15">
      <c r="A40"/>
    </row>
  </sheetData>
  <sheetProtection algorithmName="SHA-512" hashValue="n04OlOPypxKiXZHfTF7SZ14P8gX/OWk/qktZJUCZqh+6Nv8BjLLr9UXJBNwuWtsY5jnC73Xiuu+JFtcLWZMoiA==" saltValue="FabpdyB7wrMR7nA5d9noMA==" spinCount="100000" sheet="1" objects="1" scenarios="1" formatCells="0" selectLockedCells="1"/>
  <mergeCells count="41">
    <mergeCell ref="S22:U22"/>
    <mergeCell ref="J24:N24"/>
    <mergeCell ref="S24:U24"/>
    <mergeCell ref="S11:U11"/>
    <mergeCell ref="L12:N12"/>
    <mergeCell ref="S12:U12"/>
    <mergeCell ref="L13:N13"/>
    <mergeCell ref="R13:U13"/>
    <mergeCell ref="J21:U21"/>
    <mergeCell ref="M33:P33"/>
    <mergeCell ref="Q33:T33"/>
    <mergeCell ref="L20:N20"/>
    <mergeCell ref="A33:G33"/>
    <mergeCell ref="N35:U35"/>
    <mergeCell ref="U27:V27"/>
    <mergeCell ref="M29:T29"/>
    <mergeCell ref="K27:L27"/>
    <mergeCell ref="N27:O27"/>
    <mergeCell ref="P27:Q27"/>
    <mergeCell ref="S27:T27"/>
    <mergeCell ref="J25:N25"/>
    <mergeCell ref="P25:Q25"/>
    <mergeCell ref="S25:T25"/>
    <mergeCell ref="U25:V25"/>
    <mergeCell ref="M32:P32"/>
    <mergeCell ref="Q32:T32"/>
    <mergeCell ref="A1:G1"/>
    <mergeCell ref="K2:U2"/>
    <mergeCell ref="M4:T4"/>
    <mergeCell ref="N5:O5"/>
    <mergeCell ref="R5:U5"/>
    <mergeCell ref="O3:R3"/>
    <mergeCell ref="L6:U6"/>
    <mergeCell ref="L8:Q8"/>
    <mergeCell ref="T8:U8"/>
    <mergeCell ref="L15:U15"/>
    <mergeCell ref="S20:U20"/>
    <mergeCell ref="L9:U9"/>
    <mergeCell ref="L10:U10"/>
    <mergeCell ref="L11:N11"/>
    <mergeCell ref="L16:U16"/>
  </mergeCells>
  <conditionalFormatting sqref="J22:N22">
    <cfRule type="expression" dxfId="10" priority="3">
      <formula>$S$3="#3"</formula>
    </cfRule>
  </conditionalFormatting>
  <conditionalFormatting sqref="J21:U21">
    <cfRule type="expression" dxfId="9" priority="1">
      <formula>$S$3&lt;&gt;"#3"</formula>
    </cfRule>
  </conditionalFormatting>
  <conditionalFormatting sqref="K27:V27">
    <cfRule type="expression" dxfId="8" priority="2">
      <formula>$S$3="#3"</formula>
    </cfRule>
  </conditionalFormatting>
  <conditionalFormatting sqref="P22:U24">
    <cfRule type="expression" dxfId="7" priority="4">
      <formula>$S$3="#3"</formula>
    </cfRule>
  </conditionalFormatting>
  <printOptions horizontalCentered="1" verticalCentered="1"/>
  <pageMargins left="0.2" right="0.2" top="0.2" bottom="0.2" header="0.51" footer="0.51"/>
  <pageSetup scale="44" orientation="landscape" horizontalDpi="4294967292" verticalDpi="4294967292"/>
  <ignoredErrors>
    <ignoredError sqref="L20" unlockedFormula="1"/>
  </ignoredErrors>
  <drawing r:id="rId1"/>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6F177-8884-5D4F-9CF4-14229878B446}">
  <sheetPr>
    <pageSetUpPr fitToPage="1"/>
  </sheetPr>
  <dimension ref="A1:V40"/>
  <sheetViews>
    <sheetView showGridLines="0" topLeftCell="G1" zoomScale="92" zoomScaleNormal="92" zoomScalePageLayoutView="92" workbookViewId="0">
      <selection activeCell="L8" sqref="L8:Q8"/>
    </sheetView>
  </sheetViews>
  <sheetFormatPr baseColWidth="10" defaultColWidth="8.83203125" defaultRowHeight="13" x14ac:dyDescent="0.15"/>
  <cols>
    <col min="1" max="1" width="8.5" style="1" customWidth="1"/>
    <col min="2" max="3" width="11.6640625" customWidth="1"/>
    <col min="4" max="4" width="18" customWidth="1"/>
    <col min="5" max="5" width="23.83203125" customWidth="1"/>
    <col min="6" max="6" width="42" customWidth="1"/>
    <col min="7" max="7" width="13.5" customWidth="1"/>
    <col min="8" max="8" width="8" customWidth="1"/>
    <col min="9" max="9" width="12" customWidth="1"/>
    <col min="12" max="14" width="9" customWidth="1"/>
    <col min="18" max="18" width="8.83203125" customWidth="1"/>
    <col min="19" max="19" width="9" customWidth="1"/>
  </cols>
  <sheetData>
    <row r="1" spans="1:22" ht="21" thickBot="1" x14ac:dyDescent="0.2">
      <c r="A1" s="115" t="s">
        <v>74</v>
      </c>
      <c r="B1" s="115"/>
      <c r="C1" s="115"/>
      <c r="D1" s="115"/>
      <c r="E1" s="115"/>
      <c r="F1" s="115"/>
      <c r="G1" s="115"/>
      <c r="H1" s="24" t="s">
        <v>29</v>
      </c>
    </row>
    <row r="2" spans="1:22" ht="33.75" customHeight="1" thickBot="1" x14ac:dyDescent="0.25">
      <c r="A2" s="65" t="s">
        <v>30</v>
      </c>
      <c r="B2" s="9" t="s">
        <v>3</v>
      </c>
      <c r="C2" s="9" t="s">
        <v>4</v>
      </c>
      <c r="D2" s="9" t="s">
        <v>25</v>
      </c>
      <c r="E2" s="9" t="s">
        <v>31</v>
      </c>
      <c r="F2" s="9" t="s">
        <v>59</v>
      </c>
      <c r="G2" s="65" t="s">
        <v>32</v>
      </c>
      <c r="H2" s="24" t="s">
        <v>29</v>
      </c>
      <c r="K2" s="114" t="s">
        <v>55</v>
      </c>
      <c r="L2" s="114"/>
      <c r="M2" s="114"/>
      <c r="N2" s="114"/>
      <c r="O2" s="114"/>
      <c r="P2" s="114"/>
      <c r="Q2" s="114"/>
      <c r="R2" s="114"/>
      <c r="S2" s="114"/>
      <c r="T2" s="114"/>
      <c r="U2" s="114"/>
    </row>
    <row r="3" spans="1:22" ht="36" customHeight="1" x14ac:dyDescent="0.45">
      <c r="A3" s="25"/>
      <c r="B3" s="26" t="str">
        <f>'Control Entry'!N54</f>
        <v/>
      </c>
      <c r="C3" s="26" t="str">
        <f>'Control Entry'!O54</f>
        <v/>
      </c>
      <c r="D3" s="27"/>
      <c r="E3" s="28" t="str">
        <f>IF(ISBLANK('Control Entry'!F54),"",'Control Entry'!F54)</f>
        <v/>
      </c>
      <c r="F3" s="85" t="str">
        <f>IF(ISBLANK('Control Entry'!I54),"",'Control Entry'!I54)</f>
        <v/>
      </c>
      <c r="G3" s="86"/>
      <c r="H3" s="24" t="s">
        <v>29</v>
      </c>
      <c r="K3" s="14"/>
      <c r="O3" s="132" t="s">
        <v>73</v>
      </c>
      <c r="P3" s="132"/>
      <c r="Q3" s="132"/>
      <c r="R3" s="132"/>
      <c r="S3" s="75" t="str">
        <f>IF(AND('Control Entry'!D41=0,'Control Entry'!D54&lt;&gt;0),"#2",IF('Control Entry'!D54=0,"","#4"))</f>
        <v/>
      </c>
      <c r="T3" s="76"/>
      <c r="U3" s="38"/>
    </row>
    <row r="4" spans="1:22" ht="36" customHeight="1" x14ac:dyDescent="0.2">
      <c r="A4" s="34" t="str">
        <f>IF(ISBLANK('Control Entry'!D54),"",'Control Entry'!D54)</f>
        <v/>
      </c>
      <c r="B4" s="35" t="str">
        <f>'Control Entry'!N54</f>
        <v/>
      </c>
      <c r="C4" s="35" t="str">
        <f>'Control Entry'!O54</f>
        <v/>
      </c>
      <c r="D4" s="36" t="str">
        <f>IF(ISBLANK('Control Entry'!E54),"",'Control Entry'!E54)</f>
        <v/>
      </c>
      <c r="E4" s="28" t="str">
        <f>IF(ISBLANK('Control Entry'!G54),"",'Control Entry'!G54)</f>
        <v/>
      </c>
      <c r="F4" s="85" t="str">
        <f>IF(ISBLANK('Control Entry'!J54),"",'Control Entry'!J54)</f>
        <v/>
      </c>
      <c r="G4" s="86"/>
      <c r="H4" s="24" t="s">
        <v>29</v>
      </c>
      <c r="K4" s="14"/>
      <c r="M4" s="117" t="str">
        <f>IF(ISBLANK(brevet),"",brevet&amp;" km Randonnée")</f>
        <v>200 km Randonnée</v>
      </c>
      <c r="N4" s="117"/>
      <c r="O4" s="117"/>
      <c r="P4" s="117"/>
      <c r="Q4" s="117"/>
      <c r="R4" s="117"/>
      <c r="S4" s="117"/>
      <c r="T4" s="117"/>
      <c r="U4" s="39"/>
    </row>
    <row r="5" spans="1:22" ht="36" customHeight="1" thickBot="1" x14ac:dyDescent="0.25">
      <c r="A5" s="29"/>
      <c r="B5" s="30" t="str">
        <f>'Control Entry'!N54</f>
        <v/>
      </c>
      <c r="C5" s="30" t="str">
        <f>'Control Entry'!O54</f>
        <v/>
      </c>
      <c r="D5" s="31"/>
      <c r="E5" s="32" t="str">
        <f>IF(ISBLANK('Control Entry'!H54),"",'Control Entry'!H54)</f>
        <v/>
      </c>
      <c r="F5" s="90" t="str">
        <f>IF(ISBLANK('Control Entry'!K54),"",'Control Entry'!K54)</f>
        <v/>
      </c>
      <c r="G5" s="89"/>
      <c r="H5" s="24" t="s">
        <v>29</v>
      </c>
      <c r="K5" s="14"/>
      <c r="M5" s="15"/>
      <c r="N5" s="108" t="s">
        <v>47</v>
      </c>
      <c r="O5" s="108"/>
      <c r="P5" s="52">
        <f>IF(ISBLANK(Brevet_Number),"",Brevet_Number)</f>
        <v>5273</v>
      </c>
      <c r="Q5" s="53"/>
      <c r="R5" s="120" t="d">
        <f>IF(ISBLANK('Control Entry'!$B10),"",'Control Entry'!$B10)</f>
        <v>2023-06-24</v>
      </c>
      <c r="S5" s="120"/>
      <c r="T5" s="120"/>
      <c r="U5" s="120"/>
      <c r="V5" s="40"/>
    </row>
    <row r="6" spans="1:22" ht="36" customHeight="1" x14ac:dyDescent="0.2">
      <c r="A6" s="25"/>
      <c r="B6" s="26" t="str">
        <f>'Control Entry'!N55</f>
        <v/>
      </c>
      <c r="C6" s="26" t="str">
        <f>'Control Entry'!O55</f>
        <v/>
      </c>
      <c r="D6" s="33"/>
      <c r="E6" s="28" t="str">
        <f>IF(ISBLANK('Control Entry'!F55),"",'Control Entry'!F55)</f>
        <v/>
      </c>
      <c r="F6" s="85" t="str">
        <f>IF(ISBLANK('Control Entry'!I55),"",'Control Entry'!I55)</f>
        <v/>
      </c>
      <c r="G6" s="86"/>
      <c r="H6" s="24" t="s">
        <v>29</v>
      </c>
      <c r="K6" s="14"/>
      <c r="L6" s="135" t="str">
        <f>IF(ISBLANK(Brevet_Description),"",Brevet_Description)</f>
        <v>Hands Across the Water 2023</v>
      </c>
      <c r="M6" s="135"/>
      <c r="N6" s="135"/>
      <c r="O6" s="135"/>
      <c r="P6" s="135"/>
      <c r="Q6" s="135"/>
      <c r="R6" s="135"/>
      <c r="S6" s="135"/>
      <c r="T6" s="135"/>
      <c r="U6" s="135"/>
    </row>
    <row r="7" spans="1:22" ht="36" customHeight="1" x14ac:dyDescent="0.2">
      <c r="A7" s="34" t="str">
        <f>IF(ISBLANK('Control Entry'!D55),"",'Control Entry'!D55)</f>
        <v/>
      </c>
      <c r="B7" s="35" t="str">
        <f>'Control Entry'!N55</f>
        <v/>
      </c>
      <c r="C7" s="35" t="str">
        <f>'Control Entry'!O55</f>
        <v/>
      </c>
      <c r="D7" s="36" t="str">
        <f>IF(ISBLANK('Control Entry'!E55),"",'Control Entry'!E55)</f>
        <v/>
      </c>
      <c r="E7" s="28" t="str">
        <f>IF(ISBLANK('Control Entry'!G55),"",'Control Entry'!G55)</f>
        <v/>
      </c>
      <c r="F7" s="85" t="str">
        <f>IF(ISBLANK('Control Entry'!J55),"",'Control Entry'!J55)</f>
        <v/>
      </c>
      <c r="G7" s="86"/>
      <c r="H7" s="24" t="s">
        <v>29</v>
      </c>
    </row>
    <row r="8" spans="1:22" ht="36" customHeight="1" thickBot="1" x14ac:dyDescent="0.25">
      <c r="A8" s="29"/>
      <c r="B8" s="30" t="str">
        <f>'Control Entry'!N55</f>
        <v/>
      </c>
      <c r="C8" s="30" t="str">
        <f>'Control Entry'!O55</f>
        <v/>
      </c>
      <c r="D8" s="31"/>
      <c r="E8" s="32" t="str">
        <f>IF(ISBLANK('Control Entry'!H55),"",'Control Entry'!H55)</f>
        <v/>
      </c>
      <c r="F8" s="90" t="str">
        <f>IF(ISBLANK('Control Entry'!K55),"",'Control Entry'!K55)</f>
        <v/>
      </c>
      <c r="G8" s="89"/>
      <c r="H8" s="24" t="s">
        <v>29</v>
      </c>
      <c r="J8" s="15" t="s">
        <v>34</v>
      </c>
      <c r="L8" s="121"/>
      <c r="M8" s="121"/>
      <c r="N8" s="121"/>
      <c r="O8" s="121"/>
      <c r="P8" s="121"/>
      <c r="Q8" s="121"/>
      <c r="S8" s="41" t="s">
        <v>46</v>
      </c>
      <c r="T8" s="128"/>
      <c r="U8" s="128"/>
    </row>
    <row r="9" spans="1:22" ht="36" customHeight="1" thickBot="1" x14ac:dyDescent="0.3">
      <c r="A9" s="25"/>
      <c r="B9" s="26" t="str">
        <f>'Control Entry'!N56</f>
        <v/>
      </c>
      <c r="C9" s="26" t="str">
        <f>'Control Entry'!O56</f>
        <v/>
      </c>
      <c r="D9" s="33"/>
      <c r="E9" s="28" t="str">
        <f>IF(ISBLANK('Control Entry'!F56),"",'Control Entry'!F56)</f>
        <v/>
      </c>
      <c r="F9" s="85" t="str">
        <f>IF(ISBLANK('Control Entry'!I56),"",'Control Entry'!I56)</f>
        <v/>
      </c>
      <c r="G9" s="86"/>
      <c r="H9" s="24" t="s">
        <v>29</v>
      </c>
      <c r="J9" s="15" t="s">
        <v>35</v>
      </c>
      <c r="K9" s="15"/>
      <c r="L9" s="137" t="s">
        <v>54</v>
      </c>
      <c r="M9" s="137"/>
      <c r="N9" s="137"/>
      <c r="O9" s="137"/>
      <c r="P9" s="137"/>
      <c r="Q9" s="137"/>
      <c r="R9" s="137"/>
      <c r="S9" s="137"/>
      <c r="T9" s="137"/>
      <c r="U9" s="137"/>
    </row>
    <row r="10" spans="1:22" ht="36" customHeight="1" thickBot="1" x14ac:dyDescent="0.3">
      <c r="A10" s="34" t="str">
        <f>IF(ISBLANK('Control Entry'!D56),"",'Control Entry'!D56)</f>
        <v/>
      </c>
      <c r="B10" s="35" t="str">
        <f>'Control Entry'!N56</f>
        <v/>
      </c>
      <c r="C10" s="35" t="str">
        <f>'Control Entry'!O56</f>
        <v/>
      </c>
      <c r="D10" s="36" t="str">
        <f>IF(ISBLANK('Control Entry'!E56),"",'Control Entry'!E56)</f>
        <v/>
      </c>
      <c r="E10" s="28" t="str">
        <f>IF(ISBLANK('Control Entry'!G56),"",'Control Entry'!G56)</f>
        <v/>
      </c>
      <c r="F10" s="85" t="str">
        <f>IF(ISBLANK('Control Entry'!J56),"",'Control Entry'!J56)</f>
        <v/>
      </c>
      <c r="G10" s="86"/>
      <c r="H10" s="24" t="s">
        <v>29</v>
      </c>
      <c r="J10" s="15"/>
      <c r="K10" s="15"/>
      <c r="L10" s="130"/>
      <c r="M10" s="130"/>
      <c r="N10" s="130"/>
      <c r="O10" s="130"/>
      <c r="P10" s="130"/>
      <c r="Q10" s="130"/>
      <c r="R10" s="130"/>
      <c r="S10" s="130"/>
      <c r="T10" s="130"/>
      <c r="U10" s="130"/>
    </row>
    <row r="11" spans="1:22" ht="36" customHeight="1" thickBot="1" x14ac:dyDescent="0.3">
      <c r="A11" s="29"/>
      <c r="B11" s="30" t="str">
        <f>'Control Entry'!N56</f>
        <v/>
      </c>
      <c r="C11" s="30" t="str">
        <f>'Control Entry'!O56</f>
        <v/>
      </c>
      <c r="D11" s="31"/>
      <c r="E11" s="32" t="str">
        <f>IF(ISBLANK('Control Entry'!H56),"",'Control Entry'!H56)</f>
        <v/>
      </c>
      <c r="F11" s="90" t="str">
        <f>IF(ISBLANK('Control Entry'!K56),"",'Control Entry'!K56)</f>
        <v/>
      </c>
      <c r="G11" s="89"/>
      <c r="H11" s="24" t="s">
        <v>29</v>
      </c>
      <c r="J11" s="15" t="s">
        <v>36</v>
      </c>
      <c r="K11" s="15"/>
      <c r="L11" s="130"/>
      <c r="M11" s="130"/>
      <c r="N11" s="130"/>
      <c r="O11" s="15"/>
      <c r="P11" s="15" t="s">
        <v>37</v>
      </c>
      <c r="Q11" s="15"/>
      <c r="R11" s="15"/>
      <c r="S11" s="118"/>
      <c r="T11" s="118"/>
      <c r="U11" s="118"/>
    </row>
    <row r="12" spans="1:22" ht="36" customHeight="1" thickBot="1" x14ac:dyDescent="0.3">
      <c r="A12" s="25"/>
      <c r="B12" s="26" t="str">
        <f>'Control Entry'!N57</f>
        <v/>
      </c>
      <c r="C12" s="26" t="str">
        <f>'Control Entry'!O57</f>
        <v/>
      </c>
      <c r="D12" s="33"/>
      <c r="E12" s="28" t="str">
        <f>IF(ISBLANK('Control Entry'!F57),"",'Control Entry'!F57)</f>
        <v/>
      </c>
      <c r="F12" s="85" t="str">
        <f>IF(ISBLANK('Control Entry'!I57),"",'Control Entry'!I57)</f>
        <v/>
      </c>
      <c r="G12" s="86"/>
      <c r="H12" s="24" t="s">
        <v>29</v>
      </c>
      <c r="J12" s="15" t="s">
        <v>38</v>
      </c>
      <c r="K12" s="15"/>
      <c r="L12" s="130"/>
      <c r="M12" s="130"/>
      <c r="N12" s="130"/>
      <c r="O12" s="15"/>
      <c r="P12" s="15" t="s">
        <v>39</v>
      </c>
      <c r="Q12" s="15"/>
      <c r="R12" s="15"/>
      <c r="S12" s="118"/>
      <c r="T12" s="118"/>
      <c r="U12" s="118"/>
    </row>
    <row r="13" spans="1:22" ht="36" customHeight="1" thickBot="1" x14ac:dyDescent="0.3">
      <c r="A13" s="34" t="str">
        <f>IF(ISBLANK('Control Entry'!D57),"",'Control Entry'!D57)</f>
        <v/>
      </c>
      <c r="B13" s="35" t="str">
        <f>'Control Entry'!N57</f>
        <v/>
      </c>
      <c r="C13" s="35" t="str">
        <f>'Control Entry'!O57</f>
        <v/>
      </c>
      <c r="D13" s="36" t="str">
        <f>IF(ISBLANK('Control Entry'!E57),"",'Control Entry'!E57)</f>
        <v/>
      </c>
      <c r="E13" s="28" t="str">
        <f>IF(ISBLANK('Control Entry'!G57),"",'Control Entry'!G57)</f>
        <v/>
      </c>
      <c r="F13" s="85" t="str">
        <f>IF(ISBLANK('Control Entry'!J57),"",'Control Entry'!J57)</f>
        <v/>
      </c>
      <c r="G13" s="86"/>
      <c r="H13" s="24" t="s">
        <v>29</v>
      </c>
      <c r="J13" s="15" t="s">
        <v>40</v>
      </c>
      <c r="L13" s="140"/>
      <c r="M13" s="140"/>
      <c r="N13" s="140"/>
      <c r="P13" s="15" t="s">
        <v>41</v>
      </c>
      <c r="Q13" s="15"/>
      <c r="R13" s="119"/>
      <c r="S13" s="119"/>
      <c r="T13" s="119"/>
      <c r="U13" s="119"/>
    </row>
    <row r="14" spans="1:22" ht="36" customHeight="1" thickBot="1" x14ac:dyDescent="0.25">
      <c r="A14" s="29"/>
      <c r="B14" s="30" t="str">
        <f>'Control Entry'!N57</f>
        <v/>
      </c>
      <c r="C14" s="30" t="str">
        <f>'Control Entry'!O57</f>
        <v/>
      </c>
      <c r="D14" s="31"/>
      <c r="E14" s="32" t="str">
        <f>IF(ISBLANK('Control Entry'!H57),"",'Control Entry'!H57)</f>
        <v/>
      </c>
      <c r="F14" s="90" t="str">
        <f>IF(ISBLANK('Control Entry'!K57),"",'Control Entry'!K57)</f>
        <v/>
      </c>
      <c r="G14" s="89"/>
      <c r="H14" s="24" t="s">
        <v>29</v>
      </c>
    </row>
    <row r="15" spans="1:22" ht="36" customHeight="1" x14ac:dyDescent="0.2">
      <c r="A15" s="25"/>
      <c r="B15" s="26" t="str">
        <f>'Control Entry'!N58</f>
        <v/>
      </c>
      <c r="C15" s="26" t="str">
        <f>'Control Entry'!O58</f>
        <v/>
      </c>
      <c r="D15" s="33"/>
      <c r="E15" s="28" t="str">
        <f>IF(ISBLANK('Control Entry'!F58),"",'Control Entry'!F58)</f>
        <v/>
      </c>
      <c r="F15" s="85" t="str">
        <f>IF(ISBLANK('Control Entry'!I58),"",'Control Entry'!I58)</f>
        <v/>
      </c>
      <c r="G15" s="86"/>
      <c r="H15" s="24" t="s">
        <v>29</v>
      </c>
      <c r="J15" s="15"/>
      <c r="L15" s="134" t="s">
        <v>58</v>
      </c>
      <c r="M15" s="134"/>
      <c r="N15" s="134"/>
      <c r="O15" s="134"/>
      <c r="P15" s="134"/>
      <c r="Q15" s="134"/>
      <c r="R15" s="134"/>
      <c r="S15" s="134"/>
      <c r="T15" s="134"/>
      <c r="U15" s="134"/>
    </row>
    <row r="16" spans="1:22" ht="36" customHeight="1" thickBot="1" x14ac:dyDescent="0.25">
      <c r="A16" s="34" t="str">
        <f>IF(ISBLANK('Control Entry'!D58),"",'Control Entry'!D58)</f>
        <v/>
      </c>
      <c r="B16" s="35" t="str">
        <f>'Control Entry'!N58</f>
        <v/>
      </c>
      <c r="C16" s="35" t="str">
        <f>'Control Entry'!O58</f>
        <v/>
      </c>
      <c r="D16" s="36" t="str">
        <f>IF(ISBLANK('Control Entry'!E58),"",'Control Entry'!E58)</f>
        <v/>
      </c>
      <c r="E16" s="28" t="str">
        <f>IF(ISBLANK('Control Entry'!G58),"",'Control Entry'!G58)</f>
        <v/>
      </c>
      <c r="F16" s="85" t="str">
        <f>IF(ISBLANK('Control Entry'!J58),"",'Control Entry'!J58)</f>
        <v/>
      </c>
      <c r="G16" s="86"/>
      <c r="H16" s="24" t="s">
        <v>29</v>
      </c>
      <c r="L16" s="142"/>
      <c r="M16" s="142"/>
      <c r="N16" s="142"/>
      <c r="O16" s="142"/>
      <c r="P16" s="142"/>
      <c r="Q16" s="142"/>
      <c r="R16" s="142"/>
      <c r="S16" s="142"/>
      <c r="T16" s="142"/>
      <c r="U16" s="142"/>
    </row>
    <row r="17" spans="1:22" ht="36" customHeight="1" thickBot="1" x14ac:dyDescent="0.25">
      <c r="A17" s="29"/>
      <c r="B17" s="30" t="str">
        <f>'Control Entry'!N58</f>
        <v/>
      </c>
      <c r="C17" s="30" t="str">
        <f>'Control Entry'!O58</f>
        <v/>
      </c>
      <c r="D17" s="31"/>
      <c r="E17" s="32" t="str">
        <f>IF(ISBLANK('Control Entry'!H58),"",'Control Entry'!H58)</f>
        <v/>
      </c>
      <c r="F17" s="90" t="str">
        <f>IF(ISBLANK('Control Entry'!K58),"",'Control Entry'!K58)</f>
        <v/>
      </c>
      <c r="G17" s="89"/>
      <c r="H17" s="24" t="s">
        <v>29</v>
      </c>
    </row>
    <row r="18" spans="1:22" ht="36" customHeight="1" x14ac:dyDescent="0.2">
      <c r="A18" s="25"/>
      <c r="B18" s="26" t="str">
        <f>'Control Entry'!N59</f>
        <v/>
      </c>
      <c r="C18" s="26" t="str">
        <f>'Control Entry'!O59</f>
        <v/>
      </c>
      <c r="D18" s="33"/>
      <c r="E18" s="28" t="str">
        <f>IF(ISBLANK('Control Entry'!F59),"",'Control Entry'!F59)</f>
        <v/>
      </c>
      <c r="F18" s="85" t="str">
        <f>IF(ISBLANK('Control Entry'!I59),"",'Control Entry'!I59)</f>
        <v/>
      </c>
      <c r="G18" s="86"/>
      <c r="H18" s="24" t="s">
        <v>29</v>
      </c>
    </row>
    <row r="19" spans="1:22" ht="36" customHeight="1" x14ac:dyDescent="0.2">
      <c r="A19" s="34" t="str">
        <f>IF(ISBLANK('Control Entry'!D59),"",'Control Entry'!D59)</f>
        <v/>
      </c>
      <c r="B19" s="35" t="str">
        <f>'Control Entry'!N59</f>
        <v/>
      </c>
      <c r="C19" s="35" t="str">
        <f>'Control Entry'!O59</f>
        <v/>
      </c>
      <c r="D19" s="36" t="str">
        <f>IF(ISBLANK('Control Entry'!E59),"",'Control Entry'!E59)</f>
        <v/>
      </c>
      <c r="E19" s="28" t="str">
        <f>IF(ISBLANK('Control Entry'!G59),"",'Control Entry'!G59)</f>
        <v/>
      </c>
      <c r="F19" s="85" t="str">
        <f>IF(ISBLANK('Control Entry'!J59),"",'Control Entry'!J59)</f>
        <v/>
      </c>
      <c r="G19" s="86"/>
      <c r="H19" s="24" t="s">
        <v>29</v>
      </c>
    </row>
    <row r="20" spans="1:22" ht="36" customHeight="1" thickBot="1" x14ac:dyDescent="0.25">
      <c r="A20" s="29"/>
      <c r="B20" s="30" t="str">
        <f>'Control Entry'!N59</f>
        <v/>
      </c>
      <c r="C20" s="30" t="str">
        <f>'Control Entry'!O59</f>
        <v/>
      </c>
      <c r="D20" s="31"/>
      <c r="E20" s="32" t="str">
        <f>IF(ISBLANK('Control Entry'!H59),"",'Control Entry'!H59)</f>
        <v/>
      </c>
      <c r="F20" s="90" t="str">
        <f>IF(ISBLANK('Control Entry'!K59),"",'Control Entry'!K59)</f>
        <v/>
      </c>
      <c r="G20" s="89"/>
      <c r="H20" s="24" t="s">
        <v>29</v>
      </c>
      <c r="J20" s="50" t="s">
        <v>44</v>
      </c>
      <c r="K20" s="50"/>
      <c r="L20" s="129" t="d">
        <f>IF(ISBLANK('Control Entry'!B12),"",'Control Entry'!B12)</f>
        <v>2023-06-24</v>
      </c>
      <c r="M20" s="129"/>
      <c r="N20" s="129"/>
      <c r="P20" s="15" t="s">
        <v>0</v>
      </c>
      <c r="Q20" s="15"/>
      <c r="S20" s="133" t="d">
        <f>IF(ISBLANK('Control Entry'!B13),"",'Control Entry'!B13)</f>
        <v>07:00:00.0000000000015975</v>
      </c>
      <c r="T20" s="133"/>
      <c r="U20" s="133"/>
    </row>
    <row r="21" spans="1:22" ht="36" customHeight="1" x14ac:dyDescent="0.2">
      <c r="A21" s="25"/>
      <c r="B21" s="26" t="str">
        <f>'Control Entry'!N60</f>
        <v/>
      </c>
      <c r="C21" s="26" t="str">
        <f>'Control Entry'!O60</f>
        <v/>
      </c>
      <c r="D21" s="33"/>
      <c r="E21" s="28" t="str">
        <f>IF(ISBLANK('Control Entry'!F60),"",'Control Entry'!F60)</f>
        <v/>
      </c>
      <c r="F21" s="85" t="str">
        <f>IF(ISBLANK('Control Entry'!I60),"",'Control Entry'!I60)</f>
        <v/>
      </c>
      <c r="G21" s="86"/>
      <c r="H21" s="24" t="s">
        <v>29</v>
      </c>
      <c r="J21" s="135" t="s">
        <v>90</v>
      </c>
      <c r="K21" s="135"/>
      <c r="L21" s="135"/>
      <c r="M21" s="135"/>
      <c r="N21" s="135"/>
      <c r="O21" s="135"/>
      <c r="P21" s="135"/>
      <c r="Q21" s="135"/>
      <c r="R21" s="135"/>
      <c r="S21" s="135"/>
      <c r="T21" s="135"/>
      <c r="U21" s="135"/>
    </row>
    <row r="22" spans="1:22" ht="36" customHeight="1" thickBot="1" x14ac:dyDescent="0.25">
      <c r="A22" s="34" t="str">
        <f>IF(ISBLANK('Control Entry'!D60),"",'Control Entry'!D60)</f>
        <v/>
      </c>
      <c r="B22" s="35" t="str">
        <f>'Control Entry'!N60</f>
        <v/>
      </c>
      <c r="C22" s="35" t="str">
        <f>'Control Entry'!O60</f>
        <v/>
      </c>
      <c r="D22" s="36" t="str">
        <f>IF(ISBLANK('Control Entry'!E60),"",'Control Entry'!E60)</f>
        <v/>
      </c>
      <c r="E22" s="28" t="str">
        <f>IF(ISBLANK('Control Entry'!G60),"",'Control Entry'!G60)</f>
        <v/>
      </c>
      <c r="F22" s="85" t="str">
        <f>IF(ISBLANK('Control Entry'!J60),"",'Control Entry'!J60)</f>
        <v/>
      </c>
      <c r="G22" s="86"/>
      <c r="H22" s="24" t="s">
        <v>29</v>
      </c>
      <c r="J22" s="15" t="s">
        <v>45</v>
      </c>
      <c r="K22" s="15"/>
      <c r="M22" s="136"/>
      <c r="N22" s="136"/>
      <c r="O22" s="136"/>
      <c r="P22" s="15" t="s">
        <v>1</v>
      </c>
      <c r="Q22" s="15"/>
      <c r="S22" s="136"/>
      <c r="T22" s="136"/>
      <c r="U22" s="136"/>
    </row>
    <row r="23" spans="1:22" ht="36" customHeight="1" thickBot="1" x14ac:dyDescent="0.25">
      <c r="A23" s="29"/>
      <c r="B23" s="30" t="str">
        <f>'Control Entry'!N60</f>
        <v/>
      </c>
      <c r="C23" s="30" t="str">
        <f>'Control Entry'!O60</f>
        <v/>
      </c>
      <c r="D23" s="31"/>
      <c r="E23" s="32" t="str">
        <f>IF(ISBLANK('Control Entry'!H60),"",'Control Entry'!H60)</f>
        <v/>
      </c>
      <c r="F23" s="90" t="str">
        <f>IF(ISBLANK('Control Entry'!K60),"",'Control Entry'!K60)</f>
        <v/>
      </c>
      <c r="G23" s="89"/>
      <c r="H23" s="24" t="s">
        <v>29</v>
      </c>
      <c r="J23" s="50"/>
      <c r="K23" s="50"/>
      <c r="L23" s="44"/>
      <c r="M23" s="44"/>
      <c r="N23" s="44"/>
      <c r="P23" s="15"/>
      <c r="Q23" s="15"/>
    </row>
    <row r="24" spans="1:22" ht="36" customHeight="1" thickBot="1" x14ac:dyDescent="0.25">
      <c r="A24" s="25"/>
      <c r="B24" s="26" t="str">
        <f>'Control Entry'!N61</f>
        <v/>
      </c>
      <c r="C24" s="26" t="str">
        <f>'Control Entry'!O61</f>
        <v/>
      </c>
      <c r="D24" s="33"/>
      <c r="E24" s="28" t="str">
        <f>IF(ISBLANK('Control Entry'!F61),"",'Control Entry'!F61)</f>
        <v/>
      </c>
      <c r="F24" s="85" t="str">
        <f>IF(ISBLANK('Control Entry'!I61),"",'Control Entry'!I61)</f>
        <v/>
      </c>
      <c r="G24" s="86"/>
      <c r="H24" s="24" t="s">
        <v>29</v>
      </c>
      <c r="J24" s="136"/>
      <c r="K24" s="136"/>
      <c r="L24" s="136"/>
      <c r="M24" s="136"/>
      <c r="N24" s="136"/>
      <c r="P24" s="15" t="s">
        <v>2</v>
      </c>
      <c r="Q24" s="15"/>
      <c r="S24" s="136"/>
      <c r="T24" s="136"/>
      <c r="U24" s="136"/>
    </row>
    <row r="25" spans="1:22" ht="36" customHeight="1" x14ac:dyDescent="0.2">
      <c r="A25" s="34" t="str">
        <f>IF(ISBLANK('Control Entry'!D61),"",'Control Entry'!D61)</f>
        <v/>
      </c>
      <c r="B25" s="35" t="str">
        <f>'Control Entry'!N61</f>
        <v/>
      </c>
      <c r="C25" s="35" t="str">
        <f>'Control Entry'!O61</f>
        <v/>
      </c>
      <c r="D25" s="36" t="str">
        <f>IF(ISBLANK('Control Entry'!E61),"",'Control Entry'!E61)</f>
        <v/>
      </c>
      <c r="E25" s="28" t="str">
        <f>IF(ISBLANK('Control Entry'!G61),"",'Control Entry'!G61)</f>
        <v/>
      </c>
      <c r="F25" s="85" t="str">
        <f>IF(ISBLANK('Control Entry'!J61),"",'Control Entry'!J61)</f>
        <v/>
      </c>
      <c r="G25" s="86"/>
      <c r="H25" s="24" t="s">
        <v>29</v>
      </c>
      <c r="J25" s="131" t="s">
        <v>17</v>
      </c>
      <c r="K25" s="131"/>
      <c r="L25" s="131"/>
      <c r="M25" s="131"/>
      <c r="N25" s="131"/>
      <c r="O25" s="46"/>
      <c r="P25" s="110"/>
      <c r="Q25" s="110"/>
      <c r="R25" s="46"/>
      <c r="S25" s="108"/>
      <c r="T25" s="108"/>
      <c r="U25" s="108"/>
      <c r="V25" s="108"/>
    </row>
    <row r="26" spans="1:22" ht="36" customHeight="1" thickBot="1" x14ac:dyDescent="0.25">
      <c r="A26" s="29"/>
      <c r="B26" s="30" t="str">
        <f>'Control Entry'!N61</f>
        <v/>
      </c>
      <c r="C26" s="30" t="str">
        <f>'Control Entry'!O61</f>
        <v/>
      </c>
      <c r="D26" s="31"/>
      <c r="E26" s="32" t="str">
        <f>IF(ISBLANK('Control Entry'!H61),"",'Control Entry'!H61)</f>
        <v/>
      </c>
      <c r="F26" s="90" t="str">
        <f>IF(ISBLANK('Control Entry'!K61),"",'Control Entry'!K61)</f>
        <v/>
      </c>
      <c r="G26" s="89"/>
      <c r="H26" s="24" t="s">
        <v>29</v>
      </c>
    </row>
    <row r="27" spans="1:22" ht="36" customHeight="1" x14ac:dyDescent="0.2">
      <c r="A27" s="25"/>
      <c r="B27" s="26" t="str">
        <f>'Control Entry'!N62</f>
        <v/>
      </c>
      <c r="C27" s="26" t="str">
        <f>'Control Entry'!O62</f>
        <v/>
      </c>
      <c r="D27" s="33"/>
      <c r="E27" s="28" t="str">
        <f>IF(ISBLANK('Control Entry'!F62),"",'Control Entry'!F62)</f>
        <v/>
      </c>
      <c r="F27" s="85" t="str">
        <f>IF(ISBLANK('Control Entry'!I62),"",'Control Entry'!I62)</f>
        <v/>
      </c>
      <c r="G27" s="86"/>
      <c r="H27" s="24" t="s">
        <v>29</v>
      </c>
      <c r="K27" s="117" t="s">
        <v>56</v>
      </c>
      <c r="L27" s="110"/>
      <c r="M27" s="45" t="s">
        <v>57</v>
      </c>
      <c r="N27" s="110" t="s">
        <v>49</v>
      </c>
      <c r="O27" s="110"/>
      <c r="P27" s="110" t="s">
        <v>50</v>
      </c>
      <c r="Q27" s="110"/>
      <c r="R27" s="46" t="s">
        <v>51</v>
      </c>
      <c r="S27" s="108" t="s">
        <v>52</v>
      </c>
      <c r="T27" s="108"/>
      <c r="U27" s="108" t="s">
        <v>53</v>
      </c>
      <c r="V27" s="108"/>
    </row>
    <row r="28" spans="1:22" ht="36" customHeight="1" x14ac:dyDescent="0.2">
      <c r="A28" s="34" t="str">
        <f>IF(ISBLANK('Control Entry'!D62),"",'Control Entry'!D62)</f>
        <v/>
      </c>
      <c r="B28" s="35" t="str">
        <f>'Control Entry'!N62</f>
        <v/>
      </c>
      <c r="C28" s="35" t="str">
        <f>'Control Entry'!O62</f>
        <v/>
      </c>
      <c r="D28" s="36" t="str">
        <f>IF(ISBLANK('Control Entry'!E62),"",'Control Entry'!E62)</f>
        <v/>
      </c>
      <c r="E28" s="28" t="str">
        <f>IF(ISBLANK('Control Entry'!G62),"",'Control Entry'!G62)</f>
        <v/>
      </c>
      <c r="F28" s="85" t="str">
        <f>IF(ISBLANK('Control Entry'!J62),"",'Control Entry'!J62)</f>
        <v/>
      </c>
      <c r="G28" s="86"/>
      <c r="H28" s="24" t="s">
        <v>29</v>
      </c>
    </row>
    <row r="29" spans="1:22" ht="36" customHeight="1" thickBot="1" x14ac:dyDescent="0.25">
      <c r="A29" s="29"/>
      <c r="B29" s="30" t="str">
        <f>'Control Entry'!N62</f>
        <v/>
      </c>
      <c r="C29" s="30" t="str">
        <f>'Control Entry'!O62</f>
        <v/>
      </c>
      <c r="D29" s="31"/>
      <c r="E29" s="32" t="str">
        <f>IF(ISBLANK('Control Entry'!H62),"",'Control Entry'!H62)</f>
        <v/>
      </c>
      <c r="F29" s="90" t="str">
        <f>IF(ISBLANK('Control Entry'!K62),"",'Control Entry'!K62)</f>
        <v/>
      </c>
      <c r="G29" s="89"/>
      <c r="H29" s="24" t="s">
        <v>29</v>
      </c>
      <c r="M29" s="109" t="s">
        <v>42</v>
      </c>
      <c r="N29" s="109"/>
      <c r="O29" s="109"/>
      <c r="P29" s="109"/>
      <c r="Q29" s="109"/>
      <c r="R29" s="109"/>
      <c r="S29" s="109"/>
      <c r="T29" s="109"/>
      <c r="U29" s="49"/>
    </row>
    <row r="30" spans="1:22" ht="36" customHeight="1" x14ac:dyDescent="0.2">
      <c r="A30" s="25"/>
      <c r="B30" s="26" t="str">
        <f>'Control Entry'!N63</f>
        <v/>
      </c>
      <c r="C30" s="26" t="str">
        <f>'Control Entry'!O63</f>
        <v/>
      </c>
      <c r="D30" s="33"/>
      <c r="E30" s="28" t="str">
        <f>IF(ISBLANK('Control Entry'!F63),"",'Control Entry'!F63)</f>
        <v/>
      </c>
      <c r="F30" s="85" t="str">
        <f>IF(ISBLANK('Control Entry'!I63),"",'Control Entry'!I63)</f>
        <v/>
      </c>
      <c r="G30" s="86"/>
      <c r="H30" s="24" t="s">
        <v>29</v>
      </c>
      <c r="M30" s="16"/>
      <c r="N30" s="18"/>
      <c r="O30" s="18"/>
      <c r="P30" s="19"/>
      <c r="Q30" s="16"/>
      <c r="R30" s="18"/>
      <c r="S30" s="18"/>
      <c r="T30" s="19"/>
    </row>
    <row r="31" spans="1:22" ht="36" customHeight="1" x14ac:dyDescent="0.2">
      <c r="A31" s="34" t="str">
        <f>IF(ISBLANK('Control Entry'!D63),"",'Control Entry'!D63)</f>
        <v/>
      </c>
      <c r="B31" s="35" t="str">
        <f>'Control Entry'!N63</f>
        <v/>
      </c>
      <c r="C31" s="35" t="str">
        <f>'Control Entry'!O63</f>
        <v/>
      </c>
      <c r="D31" s="36" t="str">
        <f>IF(ISBLANK('Control Entry'!E63),"",'Control Entry'!E63)</f>
        <v/>
      </c>
      <c r="E31" s="28" t="str">
        <f>IF(ISBLANK('Control Entry'!G63),"",'Control Entry'!G63)</f>
        <v/>
      </c>
      <c r="F31" s="85" t="str">
        <f>IF(ISBLANK('Control Entry'!J63),"",'Control Entry'!J63)</f>
        <v/>
      </c>
      <c r="G31" s="86"/>
      <c r="H31" s="24" t="s">
        <v>29</v>
      </c>
      <c r="M31" s="17"/>
      <c r="P31" s="20"/>
      <c r="Q31" s="17"/>
      <c r="T31" s="20"/>
    </row>
    <row r="32" spans="1:22" ht="36" customHeight="1" thickBot="1" x14ac:dyDescent="0.25">
      <c r="A32" s="29"/>
      <c r="B32" s="30" t="str">
        <f>'Control Entry'!N63</f>
        <v/>
      </c>
      <c r="C32" s="30" t="str">
        <f>'Control Entry'!O63</f>
        <v/>
      </c>
      <c r="D32" s="31"/>
      <c r="E32" s="32" t="str">
        <f>IF(ISBLANK('Control Entry'!H63),"",'Control Entry'!H63)</f>
        <v/>
      </c>
      <c r="F32" s="90" t="str">
        <f>IF(ISBLANK('Control Entry'!K63),"",'Control Entry'!K63)</f>
        <v/>
      </c>
      <c r="G32" s="89"/>
      <c r="H32" s="24" t="s">
        <v>29</v>
      </c>
      <c r="M32" s="122" t="s">
        <v>82</v>
      </c>
      <c r="N32" s="123"/>
      <c r="O32" s="123"/>
      <c r="P32" s="124"/>
      <c r="Q32" s="125" t="d">
        <f>'Control Entry'!B3</f>
        <v>2022-11-09</v>
      </c>
      <c r="R32" s="126"/>
      <c r="S32" s="126"/>
      <c r="T32" s="127"/>
    </row>
    <row r="33" spans="1:22" ht="36" customHeight="1" x14ac:dyDescent="0.2">
      <c r="A33" s="116" t="s">
        <v>43</v>
      </c>
      <c r="B33" s="116"/>
      <c r="C33" s="116"/>
      <c r="D33" s="116"/>
      <c r="E33" s="116"/>
      <c r="F33" s="116"/>
      <c r="G33" s="116"/>
      <c r="H33" s="37"/>
      <c r="I33" s="37"/>
      <c r="M33" s="111" t="s">
        <v>86</v>
      </c>
      <c r="N33" s="112"/>
      <c r="O33" s="112"/>
      <c r="P33" s="112"/>
      <c r="Q33" s="113" t="d">
        <f>'Control Entry'!B4</f>
        <v>2023-06-18</v>
      </c>
      <c r="R33" s="114"/>
      <c r="S33" s="114"/>
      <c r="T33" s="114"/>
      <c r="U33" s="82"/>
      <c r="V33" s="44"/>
    </row>
    <row r="34" spans="1:22" ht="36" customHeight="1" x14ac:dyDescent="0.2">
      <c r="A34"/>
      <c r="O34" s="15"/>
      <c r="P34" s="15"/>
      <c r="Q34" s="15"/>
      <c r="R34" s="42"/>
    </row>
    <row r="35" spans="1:22" ht="36" customHeight="1" x14ac:dyDescent="0.2">
      <c r="A35"/>
      <c r="N35" s="109"/>
      <c r="O35" s="109"/>
      <c r="P35" s="109"/>
      <c r="Q35" s="109"/>
      <c r="R35" s="109"/>
      <c r="S35" s="109"/>
      <c r="T35" s="109"/>
      <c r="U35" s="109"/>
    </row>
    <row r="36" spans="1:22" ht="36" customHeight="1" x14ac:dyDescent="0.15">
      <c r="A36"/>
    </row>
    <row r="37" spans="1:22" ht="36" customHeight="1" x14ac:dyDescent="0.15">
      <c r="A37"/>
    </row>
    <row r="38" spans="1:22" ht="36" customHeight="1" x14ac:dyDescent="0.2">
      <c r="A38"/>
      <c r="N38" s="15"/>
    </row>
    <row r="39" spans="1:22" ht="36" customHeight="1" x14ac:dyDescent="0.15">
      <c r="A39"/>
    </row>
    <row r="40" spans="1:22" ht="36" customHeight="1" x14ac:dyDescent="0.15">
      <c r="A40"/>
    </row>
  </sheetData>
  <sheetProtection algorithmName="SHA-512" hashValue="m+5DxS5z0jGPz2enrJCRgFwjkf0y6S+KVRFuN1IjzuBtg7DxgRkCvJA9CD6YWcWRfvJNtgkjCl2dSguY7geJVQ==" saltValue="ged3XotTQX8HcL4AYG6aUg==" spinCount="100000" sheet="1" objects="1" scenarios="1" formatCells="0" selectLockedCells="1"/>
  <mergeCells count="42">
    <mergeCell ref="J21:U21"/>
    <mergeCell ref="L11:N11"/>
    <mergeCell ref="S11:U11"/>
    <mergeCell ref="A1:G1"/>
    <mergeCell ref="K2:U2"/>
    <mergeCell ref="O3:R3"/>
    <mergeCell ref="M4:T4"/>
    <mergeCell ref="N5:O5"/>
    <mergeCell ref="R5:U5"/>
    <mergeCell ref="L6:U6"/>
    <mergeCell ref="L8:Q8"/>
    <mergeCell ref="T8:U8"/>
    <mergeCell ref="L9:U9"/>
    <mergeCell ref="L10:U10"/>
    <mergeCell ref="J25:N25"/>
    <mergeCell ref="P25:Q25"/>
    <mergeCell ref="S25:T25"/>
    <mergeCell ref="U25:V25"/>
    <mergeCell ref="L12:N12"/>
    <mergeCell ref="S12:U12"/>
    <mergeCell ref="L13:N13"/>
    <mergeCell ref="R13:U13"/>
    <mergeCell ref="L15:U15"/>
    <mergeCell ref="L16:U16"/>
    <mergeCell ref="L20:N20"/>
    <mergeCell ref="S20:U20"/>
    <mergeCell ref="S22:U22"/>
    <mergeCell ref="J24:N24"/>
    <mergeCell ref="S24:U24"/>
    <mergeCell ref="M22:O22"/>
    <mergeCell ref="A33:G33"/>
    <mergeCell ref="M33:P33"/>
    <mergeCell ref="Q33:T33"/>
    <mergeCell ref="N35:U35"/>
    <mergeCell ref="K27:L27"/>
    <mergeCell ref="N27:O27"/>
    <mergeCell ref="P27:Q27"/>
    <mergeCell ref="S27:T27"/>
    <mergeCell ref="U27:V27"/>
    <mergeCell ref="M29:T29"/>
    <mergeCell ref="M32:P32"/>
    <mergeCell ref="Q32:T32"/>
  </mergeCells>
  <conditionalFormatting sqref="J22:O22">
    <cfRule type="expression" dxfId="6" priority="3">
      <formula>$S$3="#2"</formula>
    </cfRule>
    <cfRule type="expression" dxfId="5" priority="4">
      <formula>$S$3="#4"</formula>
    </cfRule>
  </conditionalFormatting>
  <conditionalFormatting sqref="J21:U21">
    <cfRule type="expression" dxfId="4" priority="2">
      <formula>AND($S$3&lt;&gt;"#2",$S$3&lt;&gt;"#4")</formula>
    </cfRule>
  </conditionalFormatting>
  <conditionalFormatting sqref="K27:V27">
    <cfRule type="expression" dxfId="3" priority="8">
      <formula>$S$3="#4"</formula>
    </cfRule>
    <cfRule type="expression" dxfId="2" priority="7">
      <formula>$S$3="#2"</formula>
    </cfRule>
  </conditionalFormatting>
  <conditionalFormatting sqref="P22:U24">
    <cfRule type="expression" dxfId="1" priority="6">
      <formula>$S$3="#4"</formula>
    </cfRule>
    <cfRule type="expression" dxfId="0" priority="5">
      <formula>$S$3="#2"</formula>
    </cfRule>
  </conditionalFormatting>
  <printOptions horizontalCentered="1" verticalCentered="1"/>
  <pageMargins left="0.2" right="0.2" top="0.2" bottom="0.2" header="0.51" footer="0.51"/>
  <pageSetup scale="44" orientation="landscape" horizontalDpi="4294967292" verticalDpi="4294967292"/>
  <drawing r:id="rId1"/>
</workshee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30</vt:i4>
      </vt:variant>
    </vt:vector>
  </HeadingPairs>
  <TitlesOfParts>
    <vt:vector size="35" baseType="lpstr">
      <vt:lpstr>Control Entry</vt:lpstr>
      <vt:lpstr>Control Card #1</vt:lpstr>
      <vt:lpstr>Control Card #2</vt:lpstr>
      <vt:lpstr>Control Card #3</vt:lpstr>
      <vt:lpstr>Control Card #4</vt:lpstr>
      <vt:lpstr>brevet</vt:lpstr>
      <vt:lpstr>Brevet_Description</vt:lpstr>
      <vt:lpstr>Brevet_Length</vt:lpstr>
      <vt:lpstr>Brevet_Number</vt:lpstr>
      <vt:lpstr>Close</vt:lpstr>
      <vt:lpstr>Close_time</vt:lpstr>
      <vt:lpstr>Control_1</vt:lpstr>
      <vt:lpstr>Control_10</vt:lpstr>
      <vt:lpstr>Control_2</vt:lpstr>
      <vt:lpstr>Control_3</vt:lpstr>
      <vt:lpstr>Control_4</vt:lpstr>
      <vt:lpstr>Control_5</vt:lpstr>
      <vt:lpstr>Control_6</vt:lpstr>
      <vt:lpstr>Control_7</vt:lpstr>
      <vt:lpstr>Control_8</vt:lpstr>
      <vt:lpstr>Control_9</vt:lpstr>
      <vt:lpstr>Distance</vt:lpstr>
      <vt:lpstr>Establishment_1</vt:lpstr>
      <vt:lpstr>Establishment_2</vt:lpstr>
      <vt:lpstr>Establishment_3</vt:lpstr>
      <vt:lpstr>Locale</vt:lpstr>
      <vt:lpstr>Max_time</vt:lpstr>
      <vt:lpstr>Open</vt:lpstr>
      <vt:lpstr>Open_time</vt:lpstr>
      <vt:lpstr>'Control Card #1'!Print_Titles</vt:lpstr>
      <vt:lpstr>'Control Card #2'!Print_Titles</vt:lpstr>
      <vt:lpstr>'Control Card #3'!Print_Titles</vt:lpstr>
      <vt:lpstr>'Control Card #4'!Print_Titles</vt:lpstr>
      <vt:lpstr>Start_date</vt:lpstr>
      <vt:lpstr>Start_time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Stephen Hinde</dc:creator>
  <cp:lastModifiedBy>Stephen Hinde</cp:lastModifiedBy>
  <cp:lastPrinted>2023-06-19T00:31:15Z</cp:lastPrinted>
  <dcterms:created xsi:type="dcterms:W3CDTF">1997-11-12T04:43:39Z</dcterms:created>
  <dcterms:modified xsi:type="dcterms:W3CDTF">2023-06-19T00:31:22Z</dcterms:modified>
</cp:coreProperties>
</file>