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checkCompatibility="1" autoCompressPictures="0"/>
  <bookViews>
    <workbookView xWindow="0" yWindow="0" windowWidth="25600" windowHeight="16060" tabRatio="509" activeTab="1"/>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C5" i="1"/>
  <c r="B6" i="1"/>
  <c r="M20" i="1"/>
  <c r="M21" i="1"/>
  <c r="M22" i="1"/>
  <c r="M23" i="1"/>
  <c r="M19" i="1"/>
  <c r="M18" i="1"/>
  <c r="M17" i="1"/>
  <c r="M16" i="1"/>
  <c r="M15" i="1"/>
  <c r="S20" i="4"/>
  <c r="L20" i="4"/>
  <c r="S20" i="3"/>
  <c r="L20" i="3"/>
  <c r="S20" i="2"/>
  <c r="L20" i="2"/>
  <c r="Q33" i="4"/>
  <c r="Q33" i="3"/>
  <c r="Q33"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c r="S3" i="3"/>
  <c r="S3" i="2"/>
  <c r="A7" i="2"/>
  <c r="F11" i="4"/>
  <c r="F10" i="4"/>
  <c r="F9" i="4"/>
  <c r="E11" i="4"/>
  <c r="E10" i="4"/>
  <c r="E9" i="4"/>
  <c r="D10" i="4"/>
  <c r="A10" i="4"/>
  <c r="F8" i="4"/>
  <c r="F7" i="4"/>
  <c r="F6" i="4"/>
  <c r="E8" i="4"/>
  <c r="E7" i="4"/>
  <c r="E6" i="4"/>
  <c r="D7" i="4"/>
  <c r="A7" i="4"/>
  <c r="F5" i="4"/>
  <c r="F4" i="4"/>
  <c r="F3" i="4"/>
  <c r="E4" i="4"/>
  <c r="E3" i="4"/>
  <c r="D4" i="4"/>
  <c r="A4" i="4"/>
  <c r="O49" i="1"/>
  <c r="L49" i="1"/>
  <c r="N49" i="1"/>
  <c r="L48" i="1"/>
  <c r="L47" i="1"/>
  <c r="L46" i="1"/>
  <c r="L45" i="1"/>
  <c r="L44" i="1"/>
  <c r="L43" i="1"/>
  <c r="L42" i="1"/>
  <c r="L41" i="1"/>
  <c r="L40" i="1"/>
  <c r="F26" i="4"/>
  <c r="F25" i="4"/>
  <c r="F24" i="4"/>
  <c r="L6" i="4"/>
  <c r="R5" i="4"/>
  <c r="P5" i="4"/>
  <c r="E5" i="4"/>
  <c r="B30" i="4"/>
  <c r="B32" i="4"/>
  <c r="B31" i="4"/>
  <c r="C31" i="4"/>
  <c r="C30" i="4"/>
  <c r="C32"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45" i="1"/>
  <c r="O44" i="1"/>
  <c r="O42" i="1"/>
  <c r="O46" i="1"/>
  <c r="O47" i="1"/>
  <c r="O48" i="1"/>
  <c r="N47" i="1"/>
  <c r="N41" i="1"/>
  <c r="N46" i="1"/>
  <c r="N42" i="1"/>
  <c r="N44" i="1"/>
  <c r="N48" i="1"/>
  <c r="N45" i="1"/>
  <c r="N43" i="1"/>
  <c r="O41" i="1"/>
  <c r="N40" i="1"/>
  <c r="O43" i="1"/>
  <c r="O40" i="1"/>
  <c r="M4" i="4"/>
  <c r="O16" i="1"/>
  <c r="M14" i="1"/>
  <c r="O14" i="1"/>
  <c r="C3" i="2"/>
  <c r="N30" i="1"/>
  <c r="B4" i="2"/>
  <c r="O18" i="1"/>
  <c r="C17" i="2"/>
  <c r="N17" i="1"/>
  <c r="B14" i="2"/>
  <c r="O22" i="1"/>
  <c r="C27" i="2"/>
  <c r="N27" i="1"/>
  <c r="N33" i="1"/>
  <c r="O17" i="1"/>
  <c r="N21" i="1"/>
  <c r="B25" i="2"/>
  <c r="O33" i="1"/>
  <c r="B3" i="2"/>
  <c r="O19" i="1"/>
  <c r="O21" i="1"/>
  <c r="C26" i="2"/>
  <c r="O32" i="1"/>
  <c r="B5" i="2"/>
  <c r="N16" i="1"/>
  <c r="B11" i="2"/>
  <c r="N20" i="1"/>
  <c r="B22" i="2"/>
  <c r="N23" i="1"/>
  <c r="B31" i="2"/>
  <c r="N34" i="1"/>
  <c r="O36" i="1"/>
  <c r="N36" i="1"/>
  <c r="O23" i="1"/>
  <c r="C31" i="2"/>
  <c r="N15" i="1"/>
  <c r="B6" i="2"/>
  <c r="N19" i="1"/>
  <c r="B19" i="2"/>
  <c r="O20" i="1"/>
  <c r="C23" i="2"/>
  <c r="N28" i="1"/>
  <c r="N31" i="1"/>
  <c r="O15" i="1"/>
  <c r="N18" i="1"/>
  <c r="B17" i="2"/>
  <c r="N22" i="1"/>
  <c r="B27" i="2"/>
  <c r="N29" i="1"/>
  <c r="N32" i="1"/>
  <c r="N35" i="1"/>
  <c r="O29" i="1"/>
  <c r="O28" i="1"/>
  <c r="M4" i="2"/>
  <c r="O35" i="1"/>
  <c r="O31" i="1"/>
  <c r="O27" i="1"/>
  <c r="O34" i="1"/>
  <c r="O30" i="1"/>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<sst xmlns="http://schemas.openxmlformats.org/spreadsheetml/2006/main" count="322" uniqueCount="112">
  <si>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</si>
  <si>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</si>
  <si>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</si>
  <si>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</si>
  <si>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</si>
  <si>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</si>
  <si>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</si>
  <si>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</si>
  <si>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</si>
  <si>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</si>
  <si>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</si>
  <si>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</si>
  <si>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</si>
  <si>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</si>
  <si>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</si>
  <si>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</si>
  <si>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</si>
  <si>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</si>
  <si>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</si>
  <si>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</si>
  <si>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</si>
  <si>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</si>
  <si>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</si>
  <si>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</si>
  <si>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</si>
  <si>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</si>
  <si>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</si>
  <si>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</si>
  <si>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</si>
  <si>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</si>
  <si>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</si>
  <si>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</si>
  <si>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</si>
  <si>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</si>
  <si>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</si>
  <si>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</si>
  <si>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</si>
  <si>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</si>
  <si>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</si>
  <si>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</si>
  <si>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</si>
  <si>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</si>
  <si>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</si>
  <si>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</si>
  <si>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</si>
  <si>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</si>
  <si>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</si>
  <si>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</si>
  <si>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</si>
  <si>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</si>
  <si>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</si>
  <si>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</si>
  <si>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</si>
  <si>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</si>
  <si>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</si>
  <si>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</si>
  <si>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</si>
  <si>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</si>
  <si>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</si>
  <si>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</si>
  <si>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</si>
  <si>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</si>
  <si>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</si>
  <si>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</si>
  <si>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</si>
  <si>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</si>
  <si>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</si>
  <si>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</si>
  <si>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</si>
  <si>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</si>
  <si>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</si>
  <si>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</si>
  <si>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</si>
  <si>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</si>
  <si>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</si>
  <si>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</si>
  <si>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</si>
  <si>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</si>
  <si>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</si>
  <si>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</si>
  <si>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</si>
  <si>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</si>
  <si>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</si>
  <si>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</si>
  <si>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</si>
  <si>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</si>
  <si>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</si>
  <si>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Burnaby</t>
  </si>
  <si>
    <t>Starbucks</t>
  </si>
  <si>
    <t>6568 Hastings St</t>
  </si>
  <si>
    <t>Abbotsford</t>
  </si>
  <si>
    <t xml:space="preserve">Straiton Rd &amp; </t>
  </si>
  <si>
    <t>Sumas Mountian Rd</t>
  </si>
  <si>
    <t>Word on tag?</t>
  </si>
  <si>
    <t>Back of Stop Sign</t>
  </si>
  <si>
    <t>Birchwood Dairy</t>
  </si>
  <si>
    <t>2nd Ave &amp; B St</t>
  </si>
  <si>
    <t>Langley</t>
  </si>
  <si>
    <t>Allard Crescent &amp;</t>
  </si>
  <si>
    <t>208 St</t>
  </si>
  <si>
    <t>Coquitlam</t>
  </si>
  <si>
    <t>David Ave &amp;</t>
  </si>
  <si>
    <t>Heritage Mountian Blvd</t>
  </si>
  <si>
    <t>Secret Control</t>
  </si>
  <si>
    <t xml:space="preserve">Hop &amp; Vine </t>
  </si>
  <si>
    <t>Taphouse</t>
  </si>
  <si>
    <t>Coffee, Ice Cream &amp; Beer</t>
  </si>
  <si>
    <t>Cross Walk Sign</t>
  </si>
  <si>
    <t>License Plate # ?</t>
  </si>
  <si>
    <t>Vintage Red Truck on display</t>
  </si>
  <si>
    <t>Bert Flinn Park</t>
  </si>
  <si>
    <t>_ _ _ _ _ _ _ _ _ _ _</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</si>
</sst>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60">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0" fontId="0" fillId="0" borderId="25" xfId="0" applyFont="1" applyBorder="1" applyProtection="1">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Border="1" applyAlignment="1" applyProtection="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6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9"/>
  <sheetViews>
    <sheetView showGridLines="0" topLeftCell="A2" zoomScale="135" zoomScaleNormal="135" zoomScalePageLayoutView="135" workbookViewId="0">
      <selection activeCell="B12" sqref="B12"/>
    </sheetView>
  </sheetViews>
  <sheetFormatPr baseColWidth="10" defaultColWidth="8.83203125" defaultRowHeight="12" x14ac:dyDescent="0"/>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c r="A1" s="119" t="s">
        <v>83</v>
      </c>
      <c r="B1" s="119"/>
      <c r="C1" s="119"/>
      <c r="D1" s="119"/>
      <c r="E1" s="119"/>
      <c r="F1" s="119"/>
      <c r="G1" s="119"/>
      <c r="H1" s="119"/>
      <c r="I1" s="105" t="s">
        <v>85</v>
      </c>
      <c r="Q1" s="118" t="s">
        <v>86</v>
      </c>
      <c r="R1" s="118"/>
      <c r="S1" s="118"/>
      <c r="T1" s="118"/>
      <c r="U1" s="118"/>
      <c r="V1" s="118"/>
      <c r="W1" s="118"/>
      <c r="X1" s="118"/>
      <c r="Y1" s="118"/>
      <c r="Z1" s="118"/>
    </row>
    <row r="2" spans="1:26" ht="13" customHeight="1" thickBot="1">
      <c r="H2" s="106"/>
      <c r="I2" s="106"/>
      <c r="Q2" s="118"/>
      <c r="R2" s="118"/>
      <c r="S2" s="118"/>
      <c r="T2" s="118"/>
      <c r="U2" s="118"/>
      <c r="V2" s="118"/>
      <c r="W2" s="118"/>
      <c r="X2" s="118"/>
      <c r="Y2" s="118"/>
      <c r="Z2" s="118"/>
    </row>
    <row r="3" spans="1:26" ht="13" customHeight="1">
      <c r="A3" s="102" t="s">
        <v>82</v>
      </c>
      <c r="B3" s="101">
        <v>44674</v>
      </c>
      <c r="C3" s="104"/>
      <c r="D3" s="104"/>
      <c r="G3" s="104"/>
      <c r="H3" s="106"/>
      <c r="I3" s="106"/>
      <c r="Q3" s="118"/>
      <c r="R3" s="118"/>
      <c r="S3" s="118"/>
      <c r="T3" s="118"/>
      <c r="U3" s="118"/>
      <c r="V3" s="118"/>
      <c r="W3" s="118"/>
      <c r="X3" s="118"/>
      <c r="Y3" s="118"/>
      <c r="Z3" s="118"/>
    </row>
    <row r="4" spans="1:26" ht="13" thickBot="1">
      <c r="H4" s="106"/>
      <c r="I4" s="106"/>
      <c r="Q4" s="118"/>
      <c r="R4" s="118"/>
      <c r="S4" s="118"/>
      <c r="T4" s="118"/>
      <c r="U4" s="118"/>
      <c r="V4" s="118"/>
      <c r="W4" s="118"/>
      <c r="X4" s="118"/>
      <c r="Y4" s="118"/>
      <c r="Z4" s="118"/>
    </row>
    <row r="5" spans="1:26" ht="17">
      <c r="A5" s="11" t="s">
        <v>18</v>
      </c>
      <c r="B5" s="72">
        <v>201.9</v>
      </c>
      <c r="C5">
        <f>IF(Brevet_Length&gt;=1200,Brevet_Length,IF(Brevet_Length&gt;=1000,1000,IF(Brevet_Length&gt;=600,600,IF(Brevet_Length&gt;=400,400,IF(Brevet_Length&gt;=300,300,IF(Brevet_Length&gt;=200,200,100))))))</f>
        <v>200</v>
      </c>
      <c r="J5" s="126" t="s">
        <v>63</v>
      </c>
      <c r="K5" s="126"/>
      <c r="Q5" s="76" t="s">
        <v>64</v>
      </c>
      <c r="R5" s="76"/>
      <c r="S5" s="76"/>
      <c r="T5" s="76"/>
      <c r="U5" s="76"/>
      <c r="V5" s="76"/>
      <c r="W5" s="76"/>
    </row>
    <row r="6" spans="1:26" ht="13" thickBot="1">
      <c r="A6" s="12" t="s">
        <v>19</v>
      </c>
      <c r="B6" s="13">
        <f>IF(brevet=1200,90,IF(brevet=1000,75,IF(brevet=600,40,IF(brevet=400,27,IF(brevet=300,20,IF(brevet=200,13.5,IF(brevet=100,7,0)))))))</f>
        <v>13.5</v>
      </c>
      <c r="Q6" t="s">
        <v>65</v>
      </c>
    </row>
    <row r="7" spans="1:26" ht="18" thickBot="1">
      <c r="A7" s="12" t="s">
        <v>20</v>
      </c>
      <c r="B7" s="120" t="s">
        <v>106</v>
      </c>
      <c r="C7" s="121"/>
      <c r="D7" s="121"/>
      <c r="E7" s="121"/>
      <c r="F7" s="121"/>
      <c r="G7" s="121"/>
      <c r="H7" s="122"/>
      <c r="I7" s="29"/>
      <c r="J7" s="29"/>
      <c r="K7" s="29"/>
      <c r="O7" s="30"/>
      <c r="P7" s="30"/>
      <c r="Q7" s="76" t="s">
        <v>66</v>
      </c>
    </row>
    <row r="8" spans="1:26" ht="17">
      <c r="A8" s="12" t="s">
        <v>21</v>
      </c>
      <c r="B8" s="73">
        <v>5246</v>
      </c>
      <c r="C8" s="26"/>
      <c r="F8" s="27"/>
      <c r="G8" s="27"/>
      <c r="H8" s="27"/>
      <c r="I8" s="27"/>
      <c r="J8" s="27"/>
      <c r="K8" s="27"/>
      <c r="Q8" s="76" t="s">
        <v>67</v>
      </c>
    </row>
    <row r="9" spans="1:26" ht="17">
      <c r="A9" s="50" t="s">
        <v>48</v>
      </c>
      <c r="B9" s="74">
        <v>45087</v>
      </c>
      <c r="Q9" s="76" t="s">
        <v>68</v>
      </c>
    </row>
    <row r="10" spans="1:26" ht="6" customHeight="1">
      <c r="B10" s="107"/>
    </row>
    <row r="11" spans="1:26" ht="18" customHeight="1" thickBot="1">
      <c r="A11" s="99" t="s">
        <v>22</v>
      </c>
      <c r="B11" s="100">
        <v>45087</v>
      </c>
      <c r="Q11" s="76" t="s">
        <v>76</v>
      </c>
    </row>
    <row r="12" spans="1:26" ht="18" thickBot="1">
      <c r="A12" s="10" t="s">
        <v>23</v>
      </c>
      <c r="B12" s="75">
        <v>0.29166666666666669</v>
      </c>
      <c r="D12" s="123" t="s">
        <v>81</v>
      </c>
      <c r="E12" s="124"/>
      <c r="F12" s="124"/>
      <c r="G12" s="124"/>
      <c r="H12" s="124"/>
      <c r="I12" s="127" t="s">
        <v>71</v>
      </c>
      <c r="J12" s="124"/>
      <c r="K12" s="125"/>
      <c r="Q12" s="76" t="s">
        <v>75</v>
      </c>
    </row>
    <row r="13" spans="1:26" ht="13" thickBot="1">
      <c r="D13" s="6" t="s">
        <v>24</v>
      </c>
      <c r="E13" s="7" t="s">
        <v>25</v>
      </c>
      <c r="F13" s="66" t="s">
        <v>26</v>
      </c>
      <c r="G13" s="66" t="s">
        <v>27</v>
      </c>
      <c r="H13" s="67" t="s">
        <v>28</v>
      </c>
      <c r="I13" s="7" t="s">
        <v>60</v>
      </c>
      <c r="J13" s="7" t="s">
        <v>61</v>
      </c>
      <c r="K13" s="8" t="s">
        <v>62</v>
      </c>
      <c r="L13" t="s">
        <v>3</v>
      </c>
      <c r="M13" t="s">
        <v>4</v>
      </c>
      <c r="N13" t="s">
        <v>5</v>
      </c>
      <c r="O13" t="s">
        <v>6</v>
      </c>
      <c r="Q13" s="76" t="s">
        <v>69</v>
      </c>
    </row>
    <row r="14" spans="1:26" ht="17" customHeight="1">
      <c r="C14" s="3" t="s">
        <v>7</v>
      </c>
      <c r="D14" s="28">
        <v>0</v>
      </c>
      <c r="E14" s="89" t="s">
        <v>87</v>
      </c>
      <c r="F14" s="115" t="s">
        <v>88</v>
      </c>
      <c r="G14" s="115" t="s">
        <v>89</v>
      </c>
      <c r="H14" s="80"/>
      <c r="I14" s="84"/>
      <c r="J14" s="84"/>
      <c r="K14" s="85"/>
      <c r="L14" s="4">
        <f>Start_date+Start_time</f>
        <v>45087.291666666664</v>
      </c>
      <c r="M14" s="4">
        <f>L14+"1:00"</f>
        <v>45087.333333333328</v>
      </c>
      <c r="N14" s="5">
        <f>IF(ISBLANK(Distance),"",Open Control_1)</f>
        <v>45087.291666666664</v>
      </c>
      <c r="O14" s="5">
        <f>IF(ISBLANK(Distance),"",Close Control_1)</f>
        <v>45087.333333333328</v>
      </c>
      <c r="Q14" s="76" t="s">
        <v>84</v>
      </c>
    </row>
    <row r="15" spans="1:26" ht="17" customHeight="1">
      <c r="B15" s="91"/>
      <c r="C15" s="3" t="s">
        <v>8</v>
      </c>
      <c r="D15" s="28">
        <v>86.1</v>
      </c>
      <c r="E15" s="89" t="s">
        <v>90</v>
      </c>
      <c r="F15" s="115" t="s">
        <v>91</v>
      </c>
      <c r="G15" s="115" t="s">
        <v>92</v>
      </c>
      <c r="H15" s="116"/>
      <c r="I15" s="84" t="s">
        <v>94</v>
      </c>
      <c r="J15" s="84" t="s">
        <v>93</v>
      </c>
      <c r="K15" s="85" t="s">
        <v>111</v>
      </c>
      <c r="L15">
        <f>IF(ISBLANK(Distance),"",IF(Distance&gt;1000,(Distance-1000)/26+33.0847,(IF(Distance&gt;600,(Distance-600)/28+18.799,(IF(Distance&gt;400,(Distance-400)/30+12.1324,(IF(Distance&gt;200,(Distance-200)/32+5.8824,Distance/34))))))))</f>
        <v>2.5323529411764705</v>
      </c>
      <c r="M15">
        <f t="shared" ref="M15:M23" si="0">IF(ISBLANK(Distance),"",IF(Distance&gt;=brevet,IF(brevet&gt;1200,(brevet-1200)*75/1000+90,Max_time),IF(Distance&gt;1200,(Distance-1200)*75/1000+90,IF(Distance&gt;1000,(Distance-1000)/(1000/75)+75,IF(Distance&gt;600,(Distance-600)/(400/35)+40,IF(Distance&lt;=60,(Distance/20+1),Distance/15))))))</f>
        <v>5.7399999999999993</v>
      </c>
      <c r="N15" s="5">
        <f>IF(ISBLANK(Distance),"",Open_time Control_1+(INT(Open)&amp;":"&amp;IF(ROUND(((Open-INT(Open))*60),0)&lt;10,0,"")&amp;ROUND(((Open-INT(Open))*60),0)))</f>
        <v>45087.397222222222</v>
      </c>
      <c r="O15" s="5">
        <f>IF(ISBLANK(Distance),"",Open_time Control_1+(INT(Close)&amp;":"&amp;IF(ROUND(((Close-INT(Close))*60),0)&lt;10,0,"")&amp;ROUND(((Close-INT(Close))*60),0)))</f>
        <v>45087.530555555553</v>
      </c>
      <c r="Q15" s="76" t="s">
        <v>70</v>
      </c>
    </row>
    <row r="16" spans="1:26" ht="17" customHeight="1">
      <c r="B16" s="91"/>
      <c r="C16" s="3" t="s">
        <v>9</v>
      </c>
      <c r="D16" s="28">
        <v>96.5</v>
      </c>
      <c r="E16" s="89" t="s">
        <v>90</v>
      </c>
      <c r="F16" s="115"/>
      <c r="G16" s="115" t="s">
        <v>95</v>
      </c>
      <c r="H16" s="116"/>
      <c r="I16" s="84" t="s">
        <v>109</v>
      </c>
      <c r="J16" s="84" t="s">
        <v>108</v>
      </c>
      <c r="K16" s="85" t="s">
        <v>111</v>
      </c>
      <c r="L16">
        <f>IF(ISBLANK(Distance),"",IF(Distance&gt;1000,(Distance-1000)/26+33.0847,(IF(Distance&gt;600,(Distance-600)/28+18.799,(IF(Distance&gt;400,(Distance-400)/30+12.1324,(IF(Distance&gt;200,(Distance-200)/32+5.8824,Distance/34))))))))</f>
        <v>2.8382352941176472</v>
      </c>
      <c r="M16">
        <f t="shared" si="0"/>
        <v>6.4333333333333336</v>
      </c>
      <c r="N16" s="5">
        <f>IF(ISBLANK(Distance),"",Open_time Control_1+(INT(Open)&amp;":"&amp;IF(ROUND(((Open-INT(Open))*60),0)&lt;10,0,"")&amp;ROUND(((Open-INT(Open))*60),0)))</f>
        <v>45087.409722222219</v>
      </c>
      <c r="O16" s="5">
        <f>IF(ISBLANK(Distance),"",Open_time Control_1+(INT(Close)&amp;":"&amp;IF(ROUND(((Close-INT(Close))*60),0)&lt;10,0,"")&amp;ROUND(((Close-INT(Close))*60),0)))</f>
        <v>45087.55972222222</v>
      </c>
    </row>
    <row r="17" spans="2:17" ht="17" customHeight="1">
      <c r="B17" s="91"/>
      <c r="C17" s="3" t="s">
        <v>10</v>
      </c>
      <c r="D17" s="28">
        <v>102.6</v>
      </c>
      <c r="E17" s="89" t="s">
        <v>90</v>
      </c>
      <c r="F17" s="115"/>
      <c r="G17" s="115" t="s">
        <v>96</v>
      </c>
      <c r="H17" s="116"/>
      <c r="I17" s="84" t="s">
        <v>94</v>
      </c>
      <c r="J17" s="84" t="s">
        <v>93</v>
      </c>
      <c r="K17" s="85" t="s">
        <v>111</v>
      </c>
      <c r="L17">
        <f t="shared" ref="L17:L23" si="1">IF(ISBLANK(Distance),"",IF(Distance&gt;1000,(Distance-1000)/26+33.0847,(IF(Distance&gt;600,(Distance-600)/28+18.799,(IF(Distance&gt;400,(Distance-400)/30+12.1324,(IF(Distance&gt;200,(Distance-200)/32+5.8824,Distance/34))))))))</f>
        <v>3.0176470588235293</v>
      </c>
      <c r="M17">
        <f t="shared" si="0"/>
        <v>6.84</v>
      </c>
      <c r="N17" s="5">
        <f>IF(ISBLANK(Distance),"",Open_time Control_1+(INT(Open)&amp;":"&amp;IF(ROUND(((Open-INT(Open))*60),0)&lt;10,0,"")&amp;ROUND(((Open-INT(Open))*60),0)))</f>
        <v>45087.417361111111</v>
      </c>
      <c r="O17" s="5">
        <f>IF(ISBLANK(Distance),"",Open_time Control_1+(INT(Close)&amp;":"&amp;IF(ROUND(((Close-INT(Close))*60),0)&lt;10,0,"")&amp;ROUND(((Close-INT(Close))*60),0)))</f>
        <v>45087.576388888883</v>
      </c>
    </row>
    <row r="18" spans="2:17" ht="17" customHeight="1">
      <c r="B18" s="91"/>
      <c r="C18" s="3" t="s">
        <v>11</v>
      </c>
      <c r="D18" s="28">
        <v>156.5</v>
      </c>
      <c r="E18" s="89" t="s">
        <v>97</v>
      </c>
      <c r="F18" s="115" t="s">
        <v>98</v>
      </c>
      <c r="G18" s="115" t="s">
        <v>99</v>
      </c>
      <c r="H18" s="116"/>
      <c r="I18" s="84" t="s">
        <v>94</v>
      </c>
      <c r="J18" s="84" t="s">
        <v>93</v>
      </c>
      <c r="K18" s="86" t="s">
        <v>111</v>
      </c>
      <c r="L18">
        <f t="shared" si="1"/>
        <v>4.6029411764705879</v>
      </c>
      <c r="M18">
        <f t="shared" si="0"/>
        <v>10.433333333333334</v>
      </c>
      <c r="N18" s="5">
        <f>IF(ISBLANK(Distance),"",Open_time Control_1+(INT(Open)&amp;":"&amp;IF(ROUND(((Open-INT(Open))*60),0)&lt;10,0,"")&amp;ROUND(((Open-INT(Open))*60),0)))</f>
        <v>45087.48333333333</v>
      </c>
      <c r="O18" s="5">
        <f>IF(ISBLANK(Distance),"",Open_time Control_1+(INT(Close)&amp;":"&amp;IF(ROUND(((Close-INT(Close))*60),0)&lt;10,0,"")&amp;ROUND(((Close-INT(Close))*60),0)))</f>
        <v>45087.726388888885</v>
      </c>
      <c r="Q18" s="96"/>
    </row>
    <row r="19" spans="2:17" ht="17" customHeight="1">
      <c r="B19" s="91"/>
      <c r="C19" s="3" t="s">
        <v>12</v>
      </c>
      <c r="D19" s="28">
        <v>185</v>
      </c>
      <c r="E19" s="89" t="s">
        <v>100</v>
      </c>
      <c r="F19" s="115" t="s">
        <v>110</v>
      </c>
      <c r="G19" s="115" t="s">
        <v>101</v>
      </c>
      <c r="H19" s="115" t="s">
        <v>102</v>
      </c>
      <c r="I19" s="84" t="s">
        <v>107</v>
      </c>
      <c r="J19" s="84" t="s">
        <v>93</v>
      </c>
      <c r="K19" s="85" t="s">
        <v>111</v>
      </c>
      <c r="L19">
        <f t="shared" si="1"/>
        <v>5.4411764705882355</v>
      </c>
      <c r="M19">
        <f t="shared" si="0"/>
        <v>12.333333333333334</v>
      </c>
      <c r="N19" s="5">
        <f>IF(ISBLANK(Distance),"",Open_time Control_1+(INT(Open)&amp;":"&amp;IF(ROUND(((Open-INT(Open))*60),0)&lt;10,0,"")&amp;ROUND(((Open-INT(Open))*60),0)))</f>
        <v>45087.518055555556</v>
      </c>
      <c r="O19" s="5">
        <f>IF(ISBLANK(Distance),"",Open_time Control_1+(INT(Close)&amp;":"&amp;IF(ROUND(((Close-INT(Close))*60),0)&lt;10,0,"")&amp;ROUND(((Close-INT(Close))*60),0)))</f>
        <v>45087.805555555555</v>
      </c>
    </row>
    <row r="20" spans="2:17" ht="17" customHeight="1">
      <c r="B20" s="91"/>
      <c r="C20" s="3" t="s">
        <v>13</v>
      </c>
      <c r="D20" s="28">
        <v>201.9</v>
      </c>
      <c r="E20" s="89" t="s">
        <v>87</v>
      </c>
      <c r="F20" s="115" t="s">
        <v>104</v>
      </c>
      <c r="G20" s="115" t="s">
        <v>105</v>
      </c>
      <c r="H20" s="80"/>
      <c r="I20" s="84"/>
      <c r="J20" s="84"/>
      <c r="K20" s="85"/>
      <c r="L20">
        <f t="shared" si="1"/>
        <v>5.9417749999999998</v>
      </c>
      <c r="M20">
        <f t="shared" si="0"/>
        <v>13.5</v>
      </c>
      <c r="N20" s="5">
        <f>IF(ISBLANK(Distance),"",Open_time Control_1+(INT(Open)&amp;":"&amp;IF(ROUND(((Open-INT(Open))*60),0)&lt;10,0,"")&amp;ROUND(((Open-INT(Open))*60),0)))</f>
        <v>45087.539583333331</v>
      </c>
      <c r="O20" s="5">
        <f>IF(ISBLANK(Distance),"",Open_time Control_1+(INT(Close)&amp;":"&amp;IF(ROUND(((Close-INT(Close))*60),0)&lt;10,0,"")&amp;ROUND(((Close-INT(Close))*60),0)))</f>
        <v>45087.854166666664</v>
      </c>
    </row>
    <row r="21" spans="2:17" ht="17" customHeight="1">
      <c r="B21" s="91"/>
      <c r="C21" s="3" t="s">
        <v>14</v>
      </c>
      <c r="D21" s="28"/>
      <c r="E21" s="89"/>
      <c r="F21" s="79"/>
      <c r="G21" s="79"/>
      <c r="H21" s="80"/>
      <c r="I21" s="84"/>
      <c r="J21" s="84"/>
      <c r="K21" s="85"/>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c r="B22" s="91"/>
      <c r="C22" s="3" t="s">
        <v>15</v>
      </c>
      <c r="D22" s="28"/>
      <c r="E22" s="89" t="s">
        <v>103</v>
      </c>
      <c r="F22" s="79"/>
      <c r="G22" s="79"/>
      <c r="H22" s="80"/>
      <c r="I22" s="84"/>
      <c r="J22" s="84"/>
      <c r="K22" s="86"/>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c r="B23" s="91"/>
      <c r="C23" s="3" t="s">
        <v>16</v>
      </c>
      <c r="D23" s="54"/>
      <c r="E23" s="117" t="s">
        <v>103</v>
      </c>
      <c r="F23" s="82"/>
      <c r="G23" s="82"/>
      <c r="H23" s="83"/>
      <c r="I23" s="87"/>
      <c r="J23" s="87"/>
      <c r="K23" s="8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c r="D24" s="68"/>
      <c r="E24" s="69"/>
      <c r="F24" s="70"/>
      <c r="G24" s="70"/>
      <c r="H24" s="70"/>
      <c r="I24" s="70"/>
      <c r="J24" s="70"/>
      <c r="K24" s="71"/>
      <c r="N24" s="5"/>
      <c r="O24" s="5"/>
    </row>
    <row r="25" spans="2:17" ht="13" thickBot="1">
      <c r="D25" s="123" t="s">
        <v>77</v>
      </c>
      <c r="E25" s="124"/>
      <c r="F25" s="124"/>
      <c r="G25" s="124"/>
      <c r="H25" s="124"/>
      <c r="I25" s="127" t="s">
        <v>72</v>
      </c>
      <c r="J25" s="124"/>
      <c r="K25" s="125"/>
    </row>
    <row r="26" spans="2:17" ht="13" thickBot="1">
      <c r="D26" s="6" t="s">
        <v>24</v>
      </c>
      <c r="E26" s="7" t="s">
        <v>25</v>
      </c>
      <c r="F26" s="66" t="s">
        <v>26</v>
      </c>
      <c r="G26" s="66" t="s">
        <v>27</v>
      </c>
      <c r="H26" s="67" t="s">
        <v>28</v>
      </c>
      <c r="I26" s="7" t="s">
        <v>60</v>
      </c>
      <c r="J26" s="7" t="s">
        <v>61</v>
      </c>
      <c r="K26" s="8" t="s">
        <v>62</v>
      </c>
      <c r="L26" t="s">
        <v>3</v>
      </c>
      <c r="M26" t="s">
        <v>4</v>
      </c>
      <c r="N26" t="s">
        <v>5</v>
      </c>
      <c r="O26" t="s">
        <v>6</v>
      </c>
    </row>
    <row r="27" spans="2:17" ht="15">
      <c r="D27" s="28"/>
      <c r="E27" s="78"/>
      <c r="F27" s="79"/>
      <c r="G27" s="79"/>
      <c r="H27" s="80"/>
      <c r="I27" s="84"/>
      <c r="J27" s="84"/>
      <c r="K27" s="85"/>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c r="D28" s="28"/>
      <c r="E28" s="78"/>
      <c r="F28" s="79"/>
      <c r="G28" s="79"/>
      <c r="H28" s="80"/>
      <c r="I28" s="84"/>
      <c r="J28" s="84"/>
      <c r="K28" s="86"/>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c r="D29" s="28"/>
      <c r="E29" s="78"/>
      <c r="F29" s="79"/>
      <c r="G29" s="79"/>
      <c r="H29" s="80"/>
      <c r="I29" s="84"/>
      <c r="J29" s="84"/>
      <c r="K29" s="86"/>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c r="D30" s="28"/>
      <c r="E30" s="78"/>
      <c r="F30" s="79"/>
      <c r="G30" s="79"/>
      <c r="H30" s="80"/>
      <c r="I30" s="84"/>
      <c r="J30" s="84"/>
      <c r="K30" s="8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c r="D31" s="28"/>
      <c r="E31" s="78"/>
      <c r="F31" s="79"/>
      <c r="G31" s="79"/>
      <c r="H31" s="80"/>
      <c r="I31" s="84"/>
      <c r="J31" s="84"/>
      <c r="K31" s="8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c r="D32" s="28"/>
      <c r="E32" s="78"/>
      <c r="F32" s="79"/>
      <c r="G32" s="79"/>
      <c r="H32" s="80"/>
      <c r="I32" s="84"/>
      <c r="J32" s="84"/>
      <c r="K32" s="8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c r="D33" s="28"/>
      <c r="E33" s="78"/>
      <c r="F33" s="79"/>
      <c r="G33" s="79"/>
      <c r="H33" s="80"/>
      <c r="I33" s="84"/>
      <c r="J33" s="84"/>
      <c r="K33" s="8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c r="D34" s="28"/>
      <c r="E34" s="78"/>
      <c r="F34" s="79"/>
      <c r="G34" s="79"/>
      <c r="H34" s="80"/>
      <c r="I34" s="84"/>
      <c r="J34" s="84"/>
      <c r="K34" s="8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c r="D35" s="28"/>
      <c r="E35" s="78"/>
      <c r="F35" s="79"/>
      <c r="G35" s="79"/>
      <c r="H35" s="80"/>
      <c r="I35" s="84"/>
      <c r="J35" s="84"/>
      <c r="K35" s="8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c r="D36" s="54"/>
      <c r="E36" s="81"/>
      <c r="F36" s="82"/>
      <c r="G36" s="82"/>
      <c r="H36" s="83"/>
      <c r="I36" s="87"/>
      <c r="J36" s="87"/>
      <c r="K36" s="8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c r="D37" s="68"/>
      <c r="E37" s="69"/>
      <c r="F37" s="70"/>
      <c r="G37" s="70"/>
      <c r="H37" s="70"/>
      <c r="I37" s="70"/>
      <c r="J37" s="70"/>
      <c r="K37" s="71"/>
      <c r="N37" s="5"/>
      <c r="O37" s="5"/>
    </row>
    <row r="38" spans="4:15" ht="13" thickBot="1">
      <c r="D38" s="123" t="s">
        <v>79</v>
      </c>
      <c r="E38" s="124"/>
      <c r="F38" s="124"/>
      <c r="G38" s="124"/>
      <c r="H38" s="124"/>
      <c r="I38" s="123" t="s">
        <v>78</v>
      </c>
      <c r="J38" s="124"/>
      <c r="K38" s="125"/>
    </row>
    <row r="39" spans="4:15" ht="13" thickBot="1">
      <c r="D39" s="6" t="s">
        <v>24</v>
      </c>
      <c r="E39" s="7" t="s">
        <v>25</v>
      </c>
      <c r="F39" s="66" t="s">
        <v>26</v>
      </c>
      <c r="G39" s="66" t="s">
        <v>27</v>
      </c>
      <c r="H39" s="97" t="s">
        <v>28</v>
      </c>
      <c r="I39" s="7" t="s">
        <v>60</v>
      </c>
      <c r="J39" s="7" t="s">
        <v>61</v>
      </c>
      <c r="K39" s="8" t="s">
        <v>62</v>
      </c>
      <c r="L39" t="s">
        <v>3</v>
      </c>
      <c r="M39" t="s">
        <v>4</v>
      </c>
      <c r="N39" t="s">
        <v>5</v>
      </c>
      <c r="O39" t="s">
        <v>6</v>
      </c>
    </row>
    <row r="40" spans="4:15" ht="15">
      <c r="D40" s="28"/>
      <c r="E40" s="78"/>
      <c r="F40" s="79"/>
      <c r="G40" s="79"/>
      <c r="H40" s="98"/>
      <c r="I40" s="84"/>
      <c r="J40" s="84"/>
      <c r="K40" s="85"/>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
      <c r="D41" s="28"/>
      <c r="E41" s="78"/>
      <c r="F41" s="79"/>
      <c r="G41" s="79"/>
      <c r="H41" s="80"/>
      <c r="I41" s="84"/>
      <c r="J41" s="84"/>
      <c r="K41" s="86"/>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
      <c r="D42" s="28"/>
      <c r="E42" s="89"/>
      <c r="F42" s="79"/>
      <c r="G42" s="79"/>
      <c r="H42" s="80"/>
      <c r="I42" s="84"/>
      <c r="J42" s="84"/>
      <c r="K42" s="86"/>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
      <c r="D43" s="28"/>
      <c r="E43" s="78"/>
      <c r="F43" s="79"/>
      <c r="G43" s="79"/>
      <c r="H43" s="80"/>
      <c r="I43" s="84"/>
      <c r="J43" s="84"/>
      <c r="K43" s="8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
      <c r="D44" s="28"/>
      <c r="E44" s="78"/>
      <c r="F44" s="79"/>
      <c r="G44" s="79"/>
      <c r="H44" s="80"/>
      <c r="I44" s="84"/>
      <c r="J44" s="84"/>
      <c r="K44" s="8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
      <c r="D45" s="28"/>
      <c r="E45" s="78"/>
      <c r="F45" s="79"/>
      <c r="G45" s="79"/>
      <c r="H45" s="80"/>
      <c r="I45" s="84"/>
      <c r="J45" s="84"/>
      <c r="K45" s="8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
      <c r="D46" s="28"/>
      <c r="E46" s="78"/>
      <c r="F46" s="79"/>
      <c r="G46" s="79"/>
      <c r="H46" s="80"/>
      <c r="I46" s="84"/>
      <c r="J46" s="84"/>
      <c r="K46" s="8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
      <c r="D47" s="28"/>
      <c r="E47" s="78"/>
      <c r="F47" s="79"/>
      <c r="G47" s="79"/>
      <c r="H47" s="80"/>
      <c r="I47" s="84"/>
      <c r="J47" s="84"/>
      <c r="K47" s="8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
      <c r="D48" s="28"/>
      <c r="E48" s="78"/>
      <c r="F48" s="79"/>
      <c r="G48" s="79"/>
      <c r="H48" s="80"/>
      <c r="I48" s="84"/>
      <c r="J48" s="84"/>
      <c r="K48" s="8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 thickBot="1">
      <c r="D49" s="54"/>
      <c r="E49" s="81"/>
      <c r="F49" s="82"/>
      <c r="G49" s="82"/>
      <c r="H49" s="83"/>
      <c r="I49" s="87"/>
      <c r="J49" s="87"/>
      <c r="K49" s="8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abSelected="1" zoomScale="92" zoomScaleNormal="92" zoomScalePageLayoutView="92" workbookViewId="0">
      <selection activeCell="F18" sqref="F1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36" t="s">
        <v>80</v>
      </c>
      <c r="B1" s="136"/>
      <c r="C1" s="136"/>
      <c r="D1" s="136"/>
      <c r="E1" s="136"/>
      <c r="F1" s="136"/>
      <c r="G1" s="136"/>
      <c r="H1" s="29" t="s">
        <v>29</v>
      </c>
    </row>
    <row r="2" spans="1:22" ht="33.75" customHeight="1" thickBot="1">
      <c r="A2" s="77" t="s">
        <v>30</v>
      </c>
      <c r="B2" s="9" t="s">
        <v>3</v>
      </c>
      <c r="C2" s="9" t="s">
        <v>4</v>
      </c>
      <c r="D2" s="9" t="s">
        <v>25</v>
      </c>
      <c r="E2" s="9" t="s">
        <v>31</v>
      </c>
      <c r="F2" s="9" t="s">
        <v>59</v>
      </c>
      <c r="G2" s="77" t="s">
        <v>32</v>
      </c>
      <c r="H2" s="29" t="s">
        <v>29</v>
      </c>
      <c r="K2" s="134" t="s">
        <v>55</v>
      </c>
      <c r="L2" s="134"/>
      <c r="M2" s="134"/>
      <c r="N2" s="134"/>
      <c r="O2" s="134"/>
      <c r="P2" s="134"/>
      <c r="Q2" s="134"/>
      <c r="R2" s="134"/>
      <c r="S2" s="134"/>
      <c r="T2" s="134"/>
      <c r="U2" s="134"/>
    </row>
    <row r="3" spans="1:22" ht="36" customHeight="1">
      <c r="A3" s="31"/>
      <c r="B3" s="32">
        <f>Control_1 Open_time</f>
        <v>45087.291666666664</v>
      </c>
      <c r="C3" s="32">
        <f>Control_1 Close_time</f>
        <v>45087.333333333328</v>
      </c>
      <c r="D3" s="33"/>
      <c r="E3" s="34" t="str">
        <f>IF(ISBLANK(Control_1 Establishment_1),"",Control_1 Establishment_1)</f>
        <v>Starbucks</v>
      </c>
      <c r="F3" s="108" t="str">
        <f>IF(ISBLANK('Control Entry'!I14),"",'Control Entry'!I14)</f>
        <v/>
      </c>
      <c r="G3" s="109"/>
      <c r="H3" s="29" t="s">
        <v>29</v>
      </c>
      <c r="K3" s="14"/>
      <c r="O3" s="143" t="s">
        <v>33</v>
      </c>
      <c r="P3" s="143"/>
      <c r="Q3" s="143"/>
      <c r="R3" s="143"/>
      <c r="S3" s="94" t="str">
        <f>IF('Control Entry'!D27=0,"","#1")</f>
        <v/>
      </c>
      <c r="U3" s="44"/>
    </row>
    <row r="4" spans="1:22" ht="36" customHeight="1">
      <c r="A4" s="40">
        <f>IF(ISBLANK(Distance Control_1),"",Control_1 Distance)</f>
        <v>0</v>
      </c>
      <c r="B4" s="41">
        <f>Control_1 Open_time</f>
        <v>45087.291666666664</v>
      </c>
      <c r="C4" s="41">
        <f>Control_1 Close_time</f>
        <v>45087.333333333328</v>
      </c>
      <c r="D4" s="42" t="str">
        <f>IF(ISBLANK(Locale Control_1),"",Locale Control_1)</f>
        <v>Burnaby</v>
      </c>
      <c r="E4" s="34" t="str">
        <f>IF(ISBLANK(Control_1 Establishment_2),"",Control_1 Establishment_2)</f>
        <v>6568 Hastings St</v>
      </c>
      <c r="F4" s="110" t="str">
        <f>IF(ISBLANK('Control Entry'!J14),"",'Control Entry'!J14)</f>
        <v/>
      </c>
      <c r="G4" s="109"/>
      <c r="H4" s="29" t="s">
        <v>29</v>
      </c>
      <c r="K4" s="14"/>
      <c r="M4" s="138" t="str">
        <f>IF(ISBLANK(brevet),"",brevet&amp;" km Randonnée")</f>
        <v>200 km Randonnée</v>
      </c>
      <c r="N4" s="138"/>
      <c r="O4" s="138"/>
      <c r="P4" s="138"/>
      <c r="Q4" s="138"/>
      <c r="R4" s="138"/>
      <c r="S4" s="138"/>
      <c r="T4" s="138"/>
      <c r="U4" s="45"/>
    </row>
    <row r="5" spans="1:22" ht="36" customHeight="1" thickBot="1">
      <c r="A5" s="35"/>
      <c r="B5" s="36">
        <f>Control_1 Open_time</f>
        <v>45087.291666666664</v>
      </c>
      <c r="C5" s="36">
        <f>Control_1 Close_time</f>
        <v>45087.333333333328</v>
      </c>
      <c r="D5" s="37"/>
      <c r="E5" s="38" t="str">
        <f>IF(ISBLANK(Control_1 Establishment_3),"",Control_1 Establishment_3)</f>
        <v/>
      </c>
      <c r="F5" s="111" t="str">
        <f>IF(ISBLANK('Control Entry'!K14),"",'Control Entry'!K14)</f>
        <v/>
      </c>
      <c r="G5" s="112"/>
      <c r="H5" s="29" t="s">
        <v>29</v>
      </c>
      <c r="K5" s="14"/>
      <c r="M5" s="15"/>
      <c r="N5" s="141" t="s">
        <v>47</v>
      </c>
      <c r="O5" s="141"/>
      <c r="P5" s="64">
        <f>IF(ISBLANK(Brevet_Number),"",Brevet_Number)</f>
        <v>5246</v>
      </c>
      <c r="Q5" s="65"/>
      <c r="R5" s="133">
        <f>IF(ISBLANK('Control Entry'!$B9),"",'Control Entry'!$B9)</f>
        <v>45087</v>
      </c>
      <c r="S5" s="133"/>
      <c r="T5" s="133"/>
      <c r="U5" s="133"/>
      <c r="V5" s="46"/>
    </row>
    <row r="6" spans="1:22" ht="36" customHeight="1">
      <c r="A6" s="31"/>
      <c r="B6" s="32">
        <f>Control_2 Open_time</f>
        <v>45087.397222222222</v>
      </c>
      <c r="C6" s="32">
        <f>Control_2 Close_time</f>
        <v>45087.530555555553</v>
      </c>
      <c r="D6" s="39"/>
      <c r="E6" s="34" t="str">
        <f>IF(ISBLANK(Control_2 Establishment_1),"",Control_2 Establishment_1)</f>
        <v xml:space="preserve">Straiton Rd &amp; </v>
      </c>
      <c r="F6" s="108" t="str">
        <f>IF(ISBLANK('Control Entry'!I15),"",'Control Entry'!I15)</f>
        <v>Back of Stop Sign</v>
      </c>
      <c r="G6" s="109"/>
      <c r="H6" s="29" t="s">
        <v>29</v>
      </c>
      <c r="K6" s="14"/>
      <c r="L6" s="146" t="str">
        <f>IF(ISBLANK(Brevet_Description),"",Brevet_Description)</f>
        <v>Coffee, Ice Cream &amp; Beer</v>
      </c>
      <c r="M6" s="146"/>
      <c r="N6" s="146"/>
      <c r="O6" s="146"/>
      <c r="P6" s="146"/>
      <c r="Q6" s="146"/>
      <c r="R6" s="146"/>
      <c r="S6" s="146"/>
      <c r="T6" s="146"/>
      <c r="U6" s="146"/>
    </row>
    <row r="7" spans="1:22" ht="36" customHeight="1">
      <c r="A7" s="40">
        <f>IF(ISBLANK(Distance Control_2),"",Control_2 Distance)</f>
        <v>86.1</v>
      </c>
      <c r="B7" s="41">
        <f>Control_2 Open_time</f>
        <v>45087.397222222222</v>
      </c>
      <c r="C7" s="41">
        <f>Control_2 Close_time</f>
        <v>45087.530555555553</v>
      </c>
      <c r="D7" s="42" t="str">
        <f>IF(ISBLANK(Locale Control_2),"",Locale Control_2)</f>
        <v>Abbotsford</v>
      </c>
      <c r="E7" s="56" t="str">
        <f>IF(ISBLANK(Control_2 Establishment_2),"",Control_2 Establishment_2)</f>
        <v>Sumas Mountian Rd</v>
      </c>
      <c r="F7" s="110" t="str">
        <f>IF(ISBLANK('Control Entry'!J15),"",'Control Entry'!J15)</f>
        <v>Word on tag?</v>
      </c>
      <c r="G7" s="109"/>
      <c r="H7" s="29" t="s">
        <v>29</v>
      </c>
      <c r="J7" s="93"/>
      <c r="L7" s="93"/>
    </row>
    <row r="8" spans="1:22" ht="36" customHeight="1" thickBot="1">
      <c r="A8" s="35"/>
      <c r="B8" s="36">
        <f>Control_2 Open_time</f>
        <v>45087.397222222222</v>
      </c>
      <c r="C8" s="36">
        <f>Control_2 Close_time</f>
        <v>45087.530555555553</v>
      </c>
      <c r="D8" s="37"/>
      <c r="E8" s="92" t="str">
        <f>IF(ISBLANK(Control_2 Establishment_3),"",Control_2 Establishment_3)</f>
        <v/>
      </c>
      <c r="F8" s="111" t="str">
        <f>IF(ISBLANK('Control Entry'!K15),"",'Control Entry'!K15)</f>
        <v>_ _ _ _ _ _ _ _ _ _ _</v>
      </c>
      <c r="G8" s="112"/>
      <c r="H8" s="29" t="s">
        <v>29</v>
      </c>
      <c r="J8" s="15" t="s">
        <v>34</v>
      </c>
      <c r="L8" s="135"/>
      <c r="M8" s="135"/>
      <c r="N8" s="135"/>
      <c r="O8" s="135"/>
      <c r="P8" s="135"/>
      <c r="Q8" s="135"/>
      <c r="R8" s="30"/>
      <c r="S8" s="47" t="s">
        <v>46</v>
      </c>
      <c r="T8" s="147"/>
      <c r="U8" s="147"/>
    </row>
    <row r="9" spans="1:22" ht="36" customHeight="1" thickBot="1">
      <c r="A9" s="31"/>
      <c r="B9" s="32">
        <f>Control_3 Open_time</f>
        <v>45087.409722222219</v>
      </c>
      <c r="C9" s="32">
        <f>Control_3 Close_time</f>
        <v>45087.55972222222</v>
      </c>
      <c r="D9" s="39"/>
      <c r="E9" s="34" t="str">
        <f>IF(ISBLANK(Control_3 Establishment_1),"",Control_3 Establishment_1)</f>
        <v/>
      </c>
      <c r="F9" s="108" t="str">
        <f>IF(ISBLANK('Control Entry'!I16),"",'Control Entry'!I16)</f>
        <v>Vintage Red Truck on display</v>
      </c>
      <c r="G9" s="109"/>
      <c r="H9" s="29" t="s">
        <v>29</v>
      </c>
      <c r="J9" s="15" t="s">
        <v>35</v>
      </c>
      <c r="K9" s="15"/>
      <c r="L9" s="129" t="s">
        <v>54</v>
      </c>
      <c r="M9" s="129"/>
      <c r="N9" s="129"/>
      <c r="O9" s="129"/>
      <c r="P9" s="129"/>
      <c r="Q9" s="129"/>
      <c r="R9" s="129"/>
      <c r="S9" s="129"/>
      <c r="T9" s="129"/>
      <c r="U9" s="129"/>
    </row>
    <row r="10" spans="1:22" ht="36" customHeight="1" thickBot="1">
      <c r="A10" s="40">
        <f>IF(ISBLANK(Distance Control_3),"",Control_3 Distance)</f>
        <v>96.5</v>
      </c>
      <c r="B10" s="41">
        <f>Control_3 Open_time</f>
        <v>45087.409722222219</v>
      </c>
      <c r="C10" s="41">
        <f>Control_3 Close_time</f>
        <v>45087.55972222222</v>
      </c>
      <c r="D10" s="42" t="str">
        <f>IF(ISBLANK(Locale Control_3),"",Locale Control_3)</f>
        <v>Abbotsford</v>
      </c>
      <c r="E10" s="56" t="str">
        <f>IF(ISBLANK(Control_3 Establishment_2),"",Control_3 Establishment_2)</f>
        <v>Birchwood Dairy</v>
      </c>
      <c r="F10" s="110" t="str">
        <f>IF(ISBLANK('Control Entry'!J16),"",'Control Entry'!J16)</f>
        <v>License Plate # ?</v>
      </c>
      <c r="G10" s="109"/>
      <c r="H10" s="29" t="s">
        <v>29</v>
      </c>
      <c r="J10" s="15"/>
      <c r="K10" s="15"/>
      <c r="L10" s="130"/>
      <c r="M10" s="130"/>
      <c r="N10" s="130"/>
      <c r="O10" s="130"/>
      <c r="P10" s="130"/>
      <c r="Q10" s="130"/>
      <c r="R10" s="130"/>
      <c r="S10" s="130"/>
      <c r="T10" s="130"/>
      <c r="U10" s="130"/>
    </row>
    <row r="11" spans="1:22" ht="36" customHeight="1" thickBot="1">
      <c r="A11" s="35"/>
      <c r="B11" s="36">
        <f>Control_3 Open_time</f>
        <v>45087.409722222219</v>
      </c>
      <c r="C11" s="36">
        <f>Control_3 Close_time</f>
        <v>45087.55972222222</v>
      </c>
      <c r="D11" s="37"/>
      <c r="E11" s="38" t="str">
        <f>IF(ISBLANK(Control_3 Establishment_3),"",Control_3 Establishment_3)</f>
        <v/>
      </c>
      <c r="F11" s="111" t="str">
        <f>IF(ISBLANK('Control Entry'!K16),"",'Control Entry'!K16)</f>
        <v>_ _ _ _ _ _ _ _ _ _ _</v>
      </c>
      <c r="G11" s="112"/>
      <c r="H11" s="29" t="s">
        <v>29</v>
      </c>
      <c r="J11" s="15" t="s">
        <v>36</v>
      </c>
      <c r="K11" s="15"/>
      <c r="L11" s="130"/>
      <c r="M11" s="130"/>
      <c r="N11" s="130"/>
      <c r="O11" s="18"/>
      <c r="P11" s="18" t="s">
        <v>37</v>
      </c>
      <c r="Q11" s="18"/>
      <c r="R11" s="18"/>
      <c r="S11" s="155"/>
      <c r="T11" s="155"/>
      <c r="U11" s="155"/>
    </row>
    <row r="12" spans="1:22" ht="36" customHeight="1" thickBot="1">
      <c r="A12" s="31"/>
      <c r="B12" s="32">
        <f>Control_4 Open_time</f>
        <v>45087.417361111111</v>
      </c>
      <c r="C12" s="32">
        <f>Control_4 Close_time</f>
        <v>45087.576388888883</v>
      </c>
      <c r="D12" s="39"/>
      <c r="E12" s="34" t="str">
        <f>IF(ISBLANK(Control_4 Establishment_1),"",Control_4 Establishment_1)</f>
        <v/>
      </c>
      <c r="F12" s="108" t="str">
        <f>IF(ISBLANK('Control Entry'!I17),"",'Control Entry'!I17)</f>
        <v>Back of Stop Sign</v>
      </c>
      <c r="G12" s="109"/>
      <c r="H12" s="29" t="s">
        <v>29</v>
      </c>
      <c r="J12" s="15" t="s">
        <v>38</v>
      </c>
      <c r="K12" s="15"/>
      <c r="L12" s="130"/>
      <c r="M12" s="130"/>
      <c r="N12" s="130"/>
      <c r="O12" s="18"/>
      <c r="P12" s="18" t="s">
        <v>39</v>
      </c>
      <c r="Q12" s="18"/>
      <c r="R12" s="18"/>
      <c r="S12" s="155"/>
      <c r="T12" s="155"/>
      <c r="U12" s="155"/>
    </row>
    <row r="13" spans="1:22" ht="36" customHeight="1" thickBot="1">
      <c r="A13" s="40">
        <f>IF(ISBLANK(Distance Control_4),"",Control_4 Distance)</f>
        <v>102.6</v>
      </c>
      <c r="B13" s="41">
        <f>Control_4 Open_time</f>
        <v>45087.417361111111</v>
      </c>
      <c r="C13" s="41">
        <f>Control_4 Close_time</f>
        <v>45087.576388888883</v>
      </c>
      <c r="D13" s="42" t="str">
        <f>IF(ISBLANK(Locale Control_4),"",Locale Control_4)</f>
        <v>Abbotsford</v>
      </c>
      <c r="E13" s="34" t="str">
        <f>IF(ISBLANK(Control_4 Establishment_2),"",Control_4 Establishment_2)</f>
        <v>2nd Ave &amp; B St</v>
      </c>
      <c r="F13" s="108" t="str">
        <f>IF(ISBLANK('Control Entry'!J17),"",'Control Entry'!J17)</f>
        <v>Word on tag?</v>
      </c>
      <c r="G13" s="109"/>
      <c r="H13" s="29" t="s">
        <v>29</v>
      </c>
      <c r="J13" s="15" t="s">
        <v>40</v>
      </c>
      <c r="L13" s="154"/>
      <c r="M13" s="154"/>
      <c r="N13" s="154"/>
      <c r="O13" s="19"/>
      <c r="P13" s="18" t="s">
        <v>41</v>
      </c>
      <c r="Q13" s="18"/>
      <c r="R13" s="156"/>
      <c r="S13" s="156"/>
      <c r="T13" s="156"/>
      <c r="U13" s="156"/>
    </row>
    <row r="14" spans="1:22" ht="36" customHeight="1" thickBot="1">
      <c r="A14" s="35"/>
      <c r="B14" s="36">
        <f>Control_4 Open_time</f>
        <v>45087.417361111111</v>
      </c>
      <c r="C14" s="36">
        <f>Control_4 Close_time</f>
        <v>45087.576388888883</v>
      </c>
      <c r="D14" s="37"/>
      <c r="E14" s="38" t="str">
        <f>IF(ISBLANK(Control_4 Establishment_3),"",Control_4 Establishment_3)</f>
        <v/>
      </c>
      <c r="F14" s="111" t="str">
        <f>IF(ISBLANK('Control Entry'!K17),"",'Control Entry'!K17)</f>
        <v>_ _ _ _ _ _ _ _ _ _ _</v>
      </c>
      <c r="G14" s="112"/>
      <c r="H14" s="29" t="s">
        <v>29</v>
      </c>
    </row>
    <row r="15" spans="1:22" ht="36" customHeight="1">
      <c r="A15" s="31"/>
      <c r="B15" s="32">
        <f>Control_5 Open_time</f>
        <v>45087.48333333333</v>
      </c>
      <c r="C15" s="32">
        <f>Control_5 Close_time</f>
        <v>45087.726388888885</v>
      </c>
      <c r="D15" s="39"/>
      <c r="E15" s="34" t="str">
        <f>IF(ISBLANK(Control_5 Establishment_1),"",Control_5 Establishment_1)</f>
        <v>Allard Crescent &amp;</v>
      </c>
      <c r="F15" s="108" t="str">
        <f>IF(ISBLANK('Control Entry'!I18),"",'Control Entry'!I18)</f>
        <v>Back of Stop Sign</v>
      </c>
      <c r="G15" s="109"/>
      <c r="H15" s="29" t="s">
        <v>29</v>
      </c>
      <c r="J15" s="15"/>
      <c r="L15" s="145" t="s">
        <v>58</v>
      </c>
      <c r="M15" s="145"/>
      <c r="N15" s="145"/>
      <c r="O15" s="145"/>
      <c r="P15" s="145"/>
      <c r="Q15" s="145"/>
      <c r="R15" s="145"/>
      <c r="S15" s="145"/>
      <c r="T15" s="145"/>
      <c r="U15" s="145"/>
    </row>
    <row r="16" spans="1:22" ht="36" customHeight="1" thickBot="1">
      <c r="A16" s="40">
        <f>IF(ISBLANK(Distance Control_5),"",Control_5 Distance)</f>
        <v>156.5</v>
      </c>
      <c r="B16" s="41">
        <f>Control_5 Open_time</f>
        <v>45087.48333333333</v>
      </c>
      <c r="C16" s="41">
        <f>Control_5 Close_time</f>
        <v>45087.726388888885</v>
      </c>
      <c r="D16" s="42" t="str">
        <f>IF(ISBLANK(Locale Control_5),"",Locale Control_5)</f>
        <v>Langley</v>
      </c>
      <c r="E16" s="34" t="str">
        <f>IF(ISBLANK(Control_5 Establishment_2),"",Control_5 Establishment_2)</f>
        <v>208 St</v>
      </c>
      <c r="F16" s="108" t="str">
        <f>IF(ISBLANK('Control Entry'!J18),"",'Control Entry'!J18)</f>
        <v>Word on tag?</v>
      </c>
      <c r="G16" s="109"/>
      <c r="H16" s="29" t="s">
        <v>29</v>
      </c>
      <c r="L16" s="131"/>
      <c r="M16" s="131"/>
      <c r="N16" s="131"/>
      <c r="O16" s="131"/>
      <c r="P16" s="131"/>
      <c r="Q16" s="131"/>
      <c r="R16" s="131"/>
      <c r="S16" s="131"/>
      <c r="T16" s="131"/>
      <c r="U16" s="131"/>
    </row>
    <row r="17" spans="1:22" ht="36" customHeight="1" thickBot="1">
      <c r="A17" s="35"/>
      <c r="B17" s="36">
        <f>Control_5 Open_time</f>
        <v>45087.48333333333</v>
      </c>
      <c r="C17" s="36">
        <f>Control_5 Close_time</f>
        <v>45087.726388888885</v>
      </c>
      <c r="D17" s="37"/>
      <c r="E17" s="38" t="str">
        <f>IF(ISBLANK(Control_5 Establishment_3),"",Control_5 Establishment_3)</f>
        <v/>
      </c>
      <c r="F17" s="113" t="str">
        <f>IF(ISBLANK('Control Entry'!K18),"",'Control Entry'!K18)</f>
        <v>_ _ _ _ _ _ _ _ _ _ _</v>
      </c>
      <c r="G17" s="112"/>
      <c r="H17" s="29" t="s">
        <v>29</v>
      </c>
    </row>
    <row r="18" spans="1:22" ht="36" customHeight="1">
      <c r="A18" s="31"/>
      <c r="B18" s="32">
        <f>Control_6 Open_time</f>
        <v>45087.518055555556</v>
      </c>
      <c r="C18" s="32">
        <f>Control_6 Close_time</f>
        <v>45087.805555555555</v>
      </c>
      <c r="D18" s="39"/>
      <c r="E18" s="34" t="str">
        <f>IF(ISBLANK(Control_6 Establishment_1),"",Control_6 Establishment_1)</f>
        <v>Bert Flinn Park</v>
      </c>
      <c r="F18" s="108" t="str">
        <f>IF(ISBLANK('Control Entry'!I19),"",'Control Entry'!I19)</f>
        <v>Cross Walk Sign</v>
      </c>
      <c r="G18" s="109"/>
      <c r="H18" s="29" t="s">
        <v>29</v>
      </c>
    </row>
    <row r="19" spans="1:22" ht="36" customHeight="1">
      <c r="A19" s="40">
        <f>IF(ISBLANK(Distance Control_6),"",Control_6 Distance)</f>
        <v>185</v>
      </c>
      <c r="B19" s="41">
        <f>Control_6 Open_time</f>
        <v>45087.518055555556</v>
      </c>
      <c r="C19" s="41">
        <f>Control_6 Close_time</f>
        <v>45087.805555555555</v>
      </c>
      <c r="D19" s="42" t="str">
        <f>IF(ISBLANK(Locale Control_6),"",Locale Control_6)</f>
        <v>Coquitlam</v>
      </c>
      <c r="E19" s="34" t="str">
        <f>IF(ISBLANK(Control_6 Establishment_2),"",Control_6 Establishment_2)</f>
        <v>David Ave &amp;</v>
      </c>
      <c r="F19" s="108" t="str">
        <f>IF(ISBLANK('Control Entry'!J19),"",'Control Entry'!J19)</f>
        <v>Word on tag?</v>
      </c>
      <c r="G19" s="109"/>
      <c r="H19" s="29" t="s">
        <v>29</v>
      </c>
    </row>
    <row r="20" spans="1:22" ht="36" customHeight="1" thickBot="1">
      <c r="A20" s="35"/>
      <c r="B20" s="36">
        <f>Control_6 Open_time</f>
        <v>45087.518055555556</v>
      </c>
      <c r="C20" s="36">
        <f>Control_6 Close_time</f>
        <v>45087.805555555555</v>
      </c>
      <c r="D20" s="37"/>
      <c r="E20" s="38" t="str">
        <f>IF(ISBLANK(Control_6 Establishment_3),"",Control_6 Establishment_3)</f>
        <v>Heritage Mountian Blvd</v>
      </c>
      <c r="F20" s="113" t="str">
        <f>IF(ISBLANK('Control Entry'!K19),"",'Control Entry'!K19)</f>
        <v>_ _ _ _ _ _ _ _ _ _ _</v>
      </c>
      <c r="G20" s="112"/>
      <c r="H20" s="29" t="s">
        <v>29</v>
      </c>
      <c r="J20" s="62" t="s">
        <v>44</v>
      </c>
      <c r="K20" s="62"/>
      <c r="L20" s="153">
        <f>IF(ISBLANK('Control Entry'!B11),"",'Control Entry'!B11)</f>
        <v>45087</v>
      </c>
      <c r="M20" s="153"/>
      <c r="N20" s="153"/>
      <c r="P20" s="18" t="s">
        <v>0</v>
      </c>
      <c r="Q20" s="18"/>
      <c r="S20" s="144">
        <f>IF(ISBLANK('Control Entry'!B12),"",'Control Entry'!B12)</f>
        <v>0.29166666666666669</v>
      </c>
      <c r="T20" s="144"/>
      <c r="U20" s="144"/>
    </row>
    <row r="21" spans="1:22" ht="36" customHeight="1">
      <c r="A21" s="31"/>
      <c r="B21" s="32">
        <f>Control_7 Open_time</f>
        <v>45087.539583333331</v>
      </c>
      <c r="C21" s="32">
        <f>Control_7 Close_time</f>
        <v>45087.854166666664</v>
      </c>
      <c r="D21" s="39"/>
      <c r="E21" s="34" t="str">
        <f>IF(ISBLANK(Control_7 Establishment_1),"",Control_7 Establishment_1)</f>
        <v xml:space="preserve">Hop &amp; Vine </v>
      </c>
      <c r="F21" s="108" t="str">
        <f>IF(ISBLANK('Control Entry'!I20),"",'Control Entry'!I20)</f>
        <v/>
      </c>
      <c r="G21" s="109"/>
      <c r="H21" s="29" t="s">
        <v>29</v>
      </c>
      <c r="J21" s="62"/>
      <c r="K21" s="62"/>
      <c r="L21" s="60"/>
      <c r="M21" s="60"/>
      <c r="N21" s="60"/>
      <c r="P21" s="18"/>
      <c r="Q21" s="18"/>
      <c r="R21" s="23"/>
      <c r="S21" s="63"/>
      <c r="T21" s="63"/>
      <c r="U21" s="63"/>
      <c r="V21" s="30"/>
    </row>
    <row r="22" spans="1:22" ht="36" customHeight="1" thickBot="1">
      <c r="A22" s="40">
        <f>IF(ISBLANK(Distance Control_7),"",Control_7 Distance)</f>
        <v>201.9</v>
      </c>
      <c r="B22" s="41">
        <f>Control_7 Open_time</f>
        <v>45087.539583333331</v>
      </c>
      <c r="C22" s="41">
        <f>Control_7 Close_time</f>
        <v>45087.854166666664</v>
      </c>
      <c r="D22" s="42" t="str">
        <f>IF(ISBLANK(Locale Control_7),"",Locale Control_7)</f>
        <v>Burnaby</v>
      </c>
      <c r="E22" s="34" t="str">
        <f>IF(ISBLANK(Control_7 Establishment_2),"",Control_7 Establishment_2)</f>
        <v>Taphouse</v>
      </c>
      <c r="F22" s="108" t="str">
        <f>IF(ISBLANK('Control Entry'!J20),"",'Control Entry'!J20)</f>
        <v/>
      </c>
      <c r="G22" s="109"/>
      <c r="H22" s="29" t="s">
        <v>29</v>
      </c>
      <c r="J22" s="61" t="s">
        <v>45</v>
      </c>
      <c r="K22" s="61"/>
      <c r="L22" s="132"/>
      <c r="M22" s="132"/>
      <c r="N22" s="132"/>
      <c r="O22" s="19"/>
      <c r="P22" s="18" t="s">
        <v>1</v>
      </c>
      <c r="Q22" s="18"/>
      <c r="R22" s="19"/>
      <c r="S22" s="128"/>
      <c r="T22" s="128"/>
      <c r="U22" s="128"/>
    </row>
    <row r="23" spans="1:22" ht="36" customHeight="1" thickBot="1">
      <c r="A23" s="35"/>
      <c r="B23" s="36">
        <f>Control_7 Open_time</f>
        <v>45087.539583333331</v>
      </c>
      <c r="C23" s="36">
        <f>Control_7 Close_time</f>
        <v>45087.854166666664</v>
      </c>
      <c r="D23" s="37"/>
      <c r="E23" s="38" t="str">
        <f>IF(ISBLANK(Control_7 Establishment_3),"",Control_7 Establishment_3)</f>
        <v/>
      </c>
      <c r="F23" s="113" t="str">
        <f>IF(ISBLANK('Control Entry'!K20),"",'Control Entry'!K20)</f>
        <v/>
      </c>
      <c r="G23" s="112"/>
      <c r="H23" s="29" t="s">
        <v>29</v>
      </c>
      <c r="J23" s="61"/>
      <c r="K23" s="61"/>
      <c r="L23" s="60"/>
      <c r="M23" s="60"/>
      <c r="N23" s="60"/>
      <c r="O23" s="23"/>
      <c r="P23" s="59"/>
      <c r="Q23" s="59"/>
      <c r="R23" s="23"/>
      <c r="S23" s="23"/>
      <c r="T23" s="23"/>
      <c r="U23" s="23"/>
      <c r="V23" s="30"/>
    </row>
    <row r="24" spans="1:22" ht="36" customHeight="1" thickBot="1">
      <c r="A24" s="31"/>
      <c r="B24" s="32" t="str">
        <f>Control_8 Open_time</f>
        <v/>
      </c>
      <c r="C24" s="32" t="str">
        <f>Control_8 Close_time</f>
        <v/>
      </c>
      <c r="D24" s="39"/>
      <c r="E24" s="34" t="str">
        <f>IF(ISBLANK(Control_8 Establishment_1),"",Control_8 Establishment_1)</f>
        <v/>
      </c>
      <c r="F24" s="108" t="str">
        <f>IF(ISBLANK('Control Entry'!I21),"",'Control Entry'!I21)</f>
        <v/>
      </c>
      <c r="G24" s="109"/>
      <c r="H24" s="29" t="s">
        <v>29</v>
      </c>
      <c r="J24" s="128"/>
      <c r="K24" s="128"/>
      <c r="L24" s="128"/>
      <c r="M24" s="128"/>
      <c r="N24" s="128"/>
      <c r="O24" s="19"/>
      <c r="P24" s="18" t="s">
        <v>2</v>
      </c>
      <c r="Q24" s="18"/>
      <c r="R24" s="19"/>
      <c r="S24" s="128"/>
      <c r="T24" s="128"/>
      <c r="U24" s="128"/>
    </row>
    <row r="25" spans="1:22" ht="36" customHeight="1">
      <c r="A25" s="40" t="str">
        <f>IF(ISBLANK(Distance Control_8),"",Control_8 Distance)</f>
        <v/>
      </c>
      <c r="B25" s="41" t="str">
        <f>Control_8 Open_time</f>
        <v/>
      </c>
      <c r="C25" s="41" t="str">
        <f>Control_8 Close_time</f>
        <v/>
      </c>
      <c r="D25" s="42" t="str">
        <f>IF(ISBLANK(Locale Control_8),"",Locale Control_8)</f>
        <v/>
      </c>
      <c r="E25" s="56" t="str">
        <f>IF(ISBLANK(Control_8 Establishment_2),"",Control_8 Establishment_2)</f>
        <v/>
      </c>
      <c r="F25" s="108" t="str">
        <f>IF(ISBLANK('Control Entry'!J21),"",'Control Entry'!J21)</f>
        <v/>
      </c>
      <c r="G25" s="109"/>
      <c r="H25" s="29" t="s">
        <v>29</v>
      </c>
      <c r="J25" s="142" t="s">
        <v>17</v>
      </c>
      <c r="K25" s="142"/>
      <c r="L25" s="142"/>
      <c r="M25" s="142"/>
      <c r="N25" s="142"/>
      <c r="O25" s="53"/>
      <c r="P25" s="139"/>
      <c r="Q25" s="139"/>
      <c r="R25" s="53"/>
      <c r="S25" s="140"/>
      <c r="T25" s="140"/>
      <c r="U25" s="140"/>
      <c r="V25" s="140"/>
    </row>
    <row r="26" spans="1:22" ht="36" customHeight="1" thickBot="1">
      <c r="A26" s="35"/>
      <c r="B26" s="36" t="str">
        <f>Control_8 Open_time</f>
        <v/>
      </c>
      <c r="C26" s="36" t="str">
        <f>Control_8 Close_time</f>
        <v/>
      </c>
      <c r="D26" s="37"/>
      <c r="E26" s="38" t="str">
        <f>IF(ISBLANK(Control_8 Establishment_3),"",Control_8 Establishment_3)</f>
        <v/>
      </c>
      <c r="F26" s="113" t="str">
        <f>IF(ISBLANK('Control Entry'!K21),"",'Control Entry'!K21)</f>
        <v/>
      </c>
      <c r="G26" s="112"/>
      <c r="H26" s="29" t="s">
        <v>29</v>
      </c>
    </row>
    <row r="27" spans="1:22" ht="36" customHeight="1">
      <c r="A27" s="31"/>
      <c r="B27" s="32" t="str">
        <f>Control_9 Open_time</f>
        <v/>
      </c>
      <c r="C27" s="32" t="str">
        <f>Control_9 Close_time</f>
        <v/>
      </c>
      <c r="D27" s="39"/>
      <c r="E27" s="34" t="str">
        <f>IF(ISBLANK(Control_9 Establishment_1),"",Control_9 Establishment_1)</f>
        <v/>
      </c>
      <c r="F27" s="108" t="str">
        <f>IF(ISBLANK('Control Entry'!I22),"",'Control Entry'!I22)</f>
        <v/>
      </c>
      <c r="G27" s="109"/>
      <c r="H27" s="29" t="s">
        <v>29</v>
      </c>
      <c r="K27" s="138" t="s">
        <v>56</v>
      </c>
      <c r="L27" s="139"/>
      <c r="M27" s="52" t="s">
        <v>57</v>
      </c>
      <c r="N27" s="139" t="s">
        <v>49</v>
      </c>
      <c r="O27" s="139"/>
      <c r="P27" s="139" t="s">
        <v>50</v>
      </c>
      <c r="Q27" s="139"/>
      <c r="R27" s="53" t="s">
        <v>51</v>
      </c>
      <c r="S27" s="140" t="s">
        <v>52</v>
      </c>
      <c r="T27" s="140"/>
      <c r="U27" s="140" t="s">
        <v>53</v>
      </c>
      <c r="V27" s="140"/>
    </row>
    <row r="28" spans="1:22" ht="36" customHeight="1">
      <c r="A28" s="40" t="str">
        <f>IF(ISBLANK(Distance Control_9),"",Control_9 Distance)</f>
        <v/>
      </c>
      <c r="B28" s="41" t="str">
        <f>Control_9 Open_time</f>
        <v/>
      </c>
      <c r="C28" s="41" t="str">
        <f>Control_9 Close_time</f>
        <v/>
      </c>
      <c r="D28" s="42" t="str">
        <f>IF(ISBLANK(Locale Control_9),"",Locale Control_9)</f>
        <v>Secret Control</v>
      </c>
      <c r="E28" s="34" t="str">
        <f>IF(ISBLANK(Control_9 Establishment_2),"",Control_9 Establishment_2)</f>
        <v/>
      </c>
      <c r="F28" s="108" t="str">
        <f>IF(ISBLANK('Control Entry'!J22),"",'Control Entry'!J22)</f>
        <v/>
      </c>
      <c r="G28" s="109"/>
      <c r="H28" s="29" t="s">
        <v>29</v>
      </c>
    </row>
    <row r="29" spans="1:22" ht="36" customHeight="1" thickBot="1">
      <c r="A29" s="35"/>
      <c r="B29" s="36" t="str">
        <f>Control_9 Open_time</f>
        <v/>
      </c>
      <c r="C29" s="36" t="str">
        <f>Control_9 Close_time</f>
        <v/>
      </c>
      <c r="D29" s="37"/>
      <c r="E29" s="38" t="str">
        <f>IF(ISBLANK(Control_9 Establishment_3),"",Control_9 Establishment_3)</f>
        <v/>
      </c>
      <c r="F29" s="113" t="str">
        <f>IF(ISBLANK('Control Entry'!K22),"",'Control Entry'!K22)</f>
        <v/>
      </c>
      <c r="G29" s="112"/>
      <c r="H29" s="29" t="s">
        <v>29</v>
      </c>
      <c r="M29" s="148" t="s">
        <v>42</v>
      </c>
      <c r="N29" s="148"/>
      <c r="O29" s="148"/>
      <c r="P29" s="148"/>
      <c r="Q29" s="148"/>
      <c r="R29" s="148"/>
      <c r="S29" s="148"/>
      <c r="T29" s="148"/>
      <c r="U29" s="57"/>
    </row>
    <row r="30" spans="1:22" ht="36" customHeight="1">
      <c r="A30" s="31"/>
      <c r="B30" s="32" t="str">
        <f>Control_10 Open_time</f>
        <v/>
      </c>
      <c r="C30" s="32" t="str">
        <f>Control_10 Close_time</f>
        <v/>
      </c>
      <c r="D30" s="39"/>
      <c r="E30" s="34" t="str">
        <f>IF(ISBLANK(Control_10 Establishment_1),"",Control_10 Establishment_1)</f>
        <v/>
      </c>
      <c r="F30" s="108" t="str">
        <f>IF(ISBLANK('Control Entry'!I23),"",'Control Entry'!I23)</f>
        <v/>
      </c>
      <c r="G30" s="109"/>
      <c r="H30" s="29" t="s">
        <v>29</v>
      </c>
      <c r="M30" s="16"/>
      <c r="N30" s="21"/>
      <c r="O30" s="21"/>
      <c r="P30" s="22"/>
      <c r="Q30" s="21"/>
      <c r="R30" s="21"/>
      <c r="S30" s="21"/>
      <c r="T30" s="22"/>
      <c r="U30" s="23"/>
    </row>
    <row r="31" spans="1:22" ht="36" customHeight="1">
      <c r="A31" s="40" t="str">
        <f>IF(ISBLANK(Distance Control_10),"",Control_10 Distance)</f>
        <v/>
      </c>
      <c r="B31" s="41" t="str">
        <f>Control_10 Open_time</f>
        <v/>
      </c>
      <c r="C31" s="41" t="str">
        <f>Control_10 Close_time</f>
        <v/>
      </c>
      <c r="D31" s="42" t="str">
        <f>IF(ISBLANK(Locale Control_10),"",Locale Control_10)</f>
        <v>Secret Control</v>
      </c>
      <c r="E31" s="34" t="str">
        <f>IF(ISBLANK(Control_10 Establishment_2),"",Control_10 Establishment_2)</f>
        <v/>
      </c>
      <c r="F31" s="108" t="str">
        <f>IF(ISBLANK('Control Entry'!J23),"",'Control Entry'!J23)</f>
        <v/>
      </c>
      <c r="G31" s="109"/>
      <c r="H31" s="29" t="s">
        <v>29</v>
      </c>
      <c r="M31" s="17"/>
      <c r="N31" s="23"/>
      <c r="O31" s="23"/>
      <c r="P31" s="24"/>
      <c r="Q31" s="23"/>
      <c r="R31" s="23"/>
      <c r="S31" s="23"/>
      <c r="T31" s="24"/>
      <c r="U31" s="23"/>
    </row>
    <row r="32" spans="1:22" ht="36" customHeight="1" thickBot="1">
      <c r="A32" s="35"/>
      <c r="B32" s="36" t="str">
        <f>Control_10 Open_time</f>
        <v/>
      </c>
      <c r="C32" s="36" t="str">
        <f>Control_10 Close_time</f>
        <v/>
      </c>
      <c r="D32" s="37"/>
      <c r="E32" s="38" t="str">
        <f>IF(ISBLANK(Control_10 Establishment_3),"",Control_10 Establishment_3)</f>
        <v/>
      </c>
      <c r="F32" s="113" t="str">
        <f>IF(ISBLANK('Control Entry'!K23),"",'Control Entry'!K23)</f>
        <v/>
      </c>
      <c r="G32" s="112"/>
      <c r="H32" s="29" t="s">
        <v>29</v>
      </c>
      <c r="M32" s="55"/>
      <c r="N32" s="20"/>
      <c r="O32" s="20"/>
      <c r="P32" s="25"/>
      <c r="Q32" s="20"/>
      <c r="R32" s="20"/>
      <c r="S32" s="20"/>
      <c r="T32" s="25"/>
      <c r="U32" s="23"/>
    </row>
    <row r="33" spans="1:22" ht="36" customHeight="1">
      <c r="A33" s="137" t="s">
        <v>43</v>
      </c>
      <c r="B33" s="137"/>
      <c r="C33" s="137"/>
      <c r="D33" s="137"/>
      <c r="E33" s="137"/>
      <c r="F33" s="137"/>
      <c r="G33" s="137"/>
      <c r="H33" s="43"/>
      <c r="I33" s="43"/>
      <c r="M33" s="149" t="s">
        <v>82</v>
      </c>
      <c r="N33" s="150"/>
      <c r="O33" s="150"/>
      <c r="P33" s="150"/>
      <c r="Q33" s="151">
        <f>'Control Entry'!B3</f>
        <v>44674</v>
      </c>
      <c r="R33" s="152"/>
      <c r="S33" s="152"/>
      <c r="T33" s="152"/>
      <c r="U33" s="104"/>
      <c r="V33" s="51"/>
    </row>
    <row r="34" spans="1:22" ht="36" customHeight="1">
      <c r="A34"/>
      <c r="O34" s="49"/>
      <c r="P34" s="49"/>
      <c r="Q34" s="49"/>
      <c r="R34" s="48"/>
    </row>
    <row r="35" spans="1:22" ht="36" customHeight="1">
      <c r="A35"/>
      <c r="N35" s="148"/>
      <c r="O35" s="148"/>
      <c r="P35" s="148"/>
      <c r="Q35" s="148"/>
      <c r="R35" s="148"/>
      <c r="S35" s="148"/>
      <c r="T35" s="148"/>
      <c r="U35" s="14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36" t="s">
        <v>74</v>
      </c>
      <c r="B1" s="136"/>
      <c r="C1" s="136"/>
      <c r="D1" s="136"/>
      <c r="E1" s="136"/>
      <c r="F1" s="136"/>
      <c r="G1" s="136"/>
      <c r="H1" s="29" t="s">
        <v>29</v>
      </c>
    </row>
    <row r="2" spans="1:22" ht="33.75" customHeight="1" thickBot="1">
      <c r="A2" s="77" t="s">
        <v>30</v>
      </c>
      <c r="B2" s="9" t="s">
        <v>3</v>
      </c>
      <c r="C2" s="9" t="s">
        <v>4</v>
      </c>
      <c r="D2" s="9" t="s">
        <v>25</v>
      </c>
      <c r="E2" s="9" t="s">
        <v>31</v>
      </c>
      <c r="F2" s="9" t="s">
        <v>59</v>
      </c>
      <c r="G2" s="77" t="s">
        <v>32</v>
      </c>
      <c r="H2" s="29" t="s">
        <v>29</v>
      </c>
      <c r="K2" s="134" t="s">
        <v>55</v>
      </c>
      <c r="L2" s="134"/>
      <c r="M2" s="134"/>
      <c r="N2" s="134"/>
      <c r="O2" s="134"/>
      <c r="P2" s="134"/>
      <c r="Q2" s="134"/>
      <c r="R2" s="134"/>
      <c r="S2" s="134"/>
      <c r="T2" s="134"/>
      <c r="U2" s="134"/>
    </row>
    <row r="3" spans="1:22" ht="36" customHeight="1">
      <c r="A3" s="31"/>
      <c r="B3" s="32" t="str">
        <f>'Control Entry'!N27</f>
        <v/>
      </c>
      <c r="C3" s="32" t="str">
        <f>'Control Entry'!O27</f>
        <v/>
      </c>
      <c r="D3" s="33"/>
      <c r="E3" s="34" t="str">
        <f>IF(ISBLANK('Control Entry'!F27),"",'Control Entry'!F27)</f>
        <v/>
      </c>
      <c r="F3" s="108" t="str">
        <f>IF(ISBLANK('Control Entry'!I27),"",'Control Entry'!I27)</f>
        <v/>
      </c>
      <c r="G3" s="109"/>
      <c r="H3" s="29" t="s">
        <v>29</v>
      </c>
      <c r="K3" s="14"/>
      <c r="O3" s="143" t="s">
        <v>73</v>
      </c>
      <c r="P3" s="143"/>
      <c r="Q3" s="143"/>
      <c r="R3" s="143"/>
      <c r="S3" s="94" t="str">
        <f>IF('Control Entry'!D27=0,"","#2")</f>
        <v/>
      </c>
      <c r="U3" s="44"/>
    </row>
    <row r="4" spans="1:22" ht="36" customHeight="1">
      <c r="A4" s="40" t="str">
        <f>IF(ISBLANK('Control Entry'!D27),"",'Control Entry'!D27)</f>
        <v/>
      </c>
      <c r="B4" s="41" t="str">
        <f>'Control Entry'!N27</f>
        <v/>
      </c>
      <c r="C4" s="41" t="str">
        <f>'Control Entry'!O27</f>
        <v/>
      </c>
      <c r="D4" s="42" t="str">
        <f>IF(ISBLANK('Control Entry'!E27),"",'Control Entry'!E27)</f>
        <v/>
      </c>
      <c r="E4" s="34" t="str">
        <f>IF(ISBLANK('Control Entry'!G27),"",'Control Entry'!G27)</f>
        <v/>
      </c>
      <c r="F4" s="108" t="str">
        <f>IF(ISBLANK('Control Entry'!J27),"",'Control Entry'!J27)</f>
        <v/>
      </c>
      <c r="G4" s="109"/>
      <c r="H4" s="29" t="s">
        <v>29</v>
      </c>
      <c r="K4" s="14"/>
      <c r="M4" s="138" t="str">
        <f>IF(ISBLANK(brevet),"",brevet&amp;" km Randonnée")</f>
        <v>200 km Randonnée</v>
      </c>
      <c r="N4" s="138"/>
      <c r="O4" s="138"/>
      <c r="P4" s="138"/>
      <c r="Q4" s="138"/>
      <c r="R4" s="138"/>
      <c r="S4" s="138"/>
      <c r="T4" s="138"/>
      <c r="U4" s="45"/>
    </row>
    <row r="5" spans="1:22" ht="36" customHeight="1" thickBot="1">
      <c r="A5" s="35"/>
      <c r="B5" s="36" t="str">
        <f>'Control Entry'!N27</f>
        <v/>
      </c>
      <c r="C5" s="36" t="str">
        <f>'Control Entry'!O27</f>
        <v/>
      </c>
      <c r="D5" s="37"/>
      <c r="E5" s="38" t="str">
        <f>IF(ISBLANK('Control Entry'!H27),"",'Control Entry'!H27)</f>
        <v/>
      </c>
      <c r="F5" s="113" t="str">
        <f>IF(ISBLANK('Control Entry'!K27),"",'Control Entry'!K27)</f>
        <v/>
      </c>
      <c r="G5" s="112"/>
      <c r="H5" s="29" t="s">
        <v>29</v>
      </c>
      <c r="K5" s="14"/>
      <c r="M5" s="15"/>
      <c r="N5" s="141" t="s">
        <v>47</v>
      </c>
      <c r="O5" s="141"/>
      <c r="P5" s="64">
        <f>IF(ISBLANK(Brevet_Number),"",Brevet_Number)</f>
        <v>5246</v>
      </c>
      <c r="Q5" s="65"/>
      <c r="R5" s="133">
        <f>IF(ISBLANK('Control Entry'!$B9),"",'Control Entry'!$B9)</f>
        <v>45087</v>
      </c>
      <c r="S5" s="133"/>
      <c r="T5" s="133"/>
      <c r="U5" s="133"/>
      <c r="V5" s="46"/>
    </row>
    <row r="6" spans="1:22" ht="36" customHeight="1">
      <c r="A6" s="31"/>
      <c r="B6" s="32" t="str">
        <f>'Control Entry'!N28</f>
        <v/>
      </c>
      <c r="C6" s="32" t="str">
        <f>'Control Entry'!O28</f>
        <v/>
      </c>
      <c r="D6" s="39"/>
      <c r="E6" s="34" t="str">
        <f>IF(ISBLANK('Control Entry'!F28),"",'Control Entry'!F28)</f>
        <v/>
      </c>
      <c r="F6" s="108" t="str">
        <f>IF(ISBLANK('Control Entry'!I28),"",'Control Entry'!I28)</f>
        <v/>
      </c>
      <c r="G6" s="109"/>
      <c r="H6" s="29" t="s">
        <v>29</v>
      </c>
      <c r="K6" s="14"/>
      <c r="L6" s="146" t="str">
        <f>IF(ISBLANK(Brevet_Description),"",Brevet_Description)</f>
        <v>Coffee, Ice Cream &amp; Beer</v>
      </c>
      <c r="M6" s="146"/>
      <c r="N6" s="146"/>
      <c r="O6" s="146"/>
      <c r="P6" s="146"/>
      <c r="Q6" s="146"/>
      <c r="R6" s="146"/>
      <c r="S6" s="146"/>
      <c r="T6" s="146"/>
      <c r="U6" s="146"/>
    </row>
    <row r="7" spans="1:22" ht="36" customHeight="1">
      <c r="A7" s="40" t="str">
        <f>IF(ISBLANK('Control Entry'!D28),"",'Control Entry'!D28)</f>
        <v/>
      </c>
      <c r="B7" s="41" t="str">
        <f>'Control Entry'!N28</f>
        <v/>
      </c>
      <c r="C7" s="41" t="str">
        <f>'Control Entry'!O28</f>
        <v/>
      </c>
      <c r="D7" s="42" t="str">
        <f>IF(ISBLANK('Control Entry'!E28),"",'Control Entry'!E28)</f>
        <v/>
      </c>
      <c r="E7" s="34" t="str">
        <f>IF(ISBLANK('Control Entry'!G28),"",'Control Entry'!G28)</f>
        <v/>
      </c>
      <c r="F7" s="108" t="str">
        <f>IF(ISBLANK('Control Entry'!J28),"",'Control Entry'!J28)</f>
        <v/>
      </c>
      <c r="G7" s="109"/>
      <c r="H7" s="29" t="s">
        <v>29</v>
      </c>
    </row>
    <row r="8" spans="1:22" ht="36" customHeight="1" thickBot="1">
      <c r="A8" s="35"/>
      <c r="B8" s="36" t="str">
        <f>'Control Entry'!N28</f>
        <v/>
      </c>
      <c r="C8" s="36" t="str">
        <f>'Control Entry'!O28</f>
        <v/>
      </c>
      <c r="D8" s="37"/>
      <c r="E8" s="38" t="str">
        <f>IF(ISBLANK('Control Entry'!H28),"",'Control Entry'!H28)</f>
        <v/>
      </c>
      <c r="F8" s="113" t="str">
        <f>IF(ISBLANK('Control Entry'!K28),"",'Control Entry'!K28)</f>
        <v/>
      </c>
      <c r="G8" s="112"/>
      <c r="H8" s="29" t="s">
        <v>29</v>
      </c>
      <c r="J8" s="15" t="s">
        <v>34</v>
      </c>
      <c r="L8" s="135"/>
      <c r="M8" s="135"/>
      <c r="N8" s="135"/>
      <c r="O8" s="135"/>
      <c r="P8" s="135"/>
      <c r="Q8" s="135"/>
      <c r="R8" s="30"/>
      <c r="S8" s="47" t="s">
        <v>46</v>
      </c>
      <c r="T8" s="147"/>
      <c r="U8" s="147"/>
    </row>
    <row r="9" spans="1:22" ht="36" customHeight="1" thickBot="1">
      <c r="A9" s="31"/>
      <c r="B9" s="32" t="str">
        <f>'Control Entry'!N29</f>
        <v/>
      </c>
      <c r="C9" s="32" t="str">
        <f>'Control Entry'!O29</f>
        <v/>
      </c>
      <c r="D9" s="39"/>
      <c r="E9" s="34" t="str">
        <f>IF(ISBLANK('Control Entry'!F29),"",'Control Entry'!F29)</f>
        <v/>
      </c>
      <c r="F9" s="108" t="str">
        <f>IF(ISBLANK('Control Entry'!I29),"",'Control Entry'!I29)</f>
        <v/>
      </c>
      <c r="G9" s="109"/>
      <c r="H9" s="29" t="s">
        <v>29</v>
      </c>
      <c r="J9" s="15" t="s">
        <v>35</v>
      </c>
      <c r="K9" s="15"/>
      <c r="L9" s="129" t="s">
        <v>54</v>
      </c>
      <c r="M9" s="129"/>
      <c r="N9" s="129"/>
      <c r="O9" s="129"/>
      <c r="P9" s="129"/>
      <c r="Q9" s="129"/>
      <c r="R9" s="129"/>
      <c r="S9" s="129"/>
      <c r="T9" s="129"/>
      <c r="U9" s="129"/>
    </row>
    <row r="10" spans="1:22" ht="36" customHeight="1" thickBot="1">
      <c r="A10" s="40" t="str">
        <f>IF(ISBLANK('Control Entry'!D29),"",'Control Entry'!D29)</f>
        <v/>
      </c>
      <c r="B10" s="41" t="str">
        <f>'Control Entry'!N29</f>
        <v/>
      </c>
      <c r="C10" s="41" t="str">
        <f>'Control Entry'!O29</f>
        <v/>
      </c>
      <c r="D10" s="42" t="str">
        <f>IF(ISBLANK('Control Entry'!E29),"",'Control Entry'!E29)</f>
        <v/>
      </c>
      <c r="E10" s="34" t="str">
        <f>IF(ISBLANK('Control Entry'!G29),"",'Control Entry'!G29)</f>
        <v/>
      </c>
      <c r="F10" s="108" t="str">
        <f>IF(ISBLANK('Control Entry'!J29),"",'Control Entry'!J29)</f>
        <v/>
      </c>
      <c r="G10" s="109"/>
      <c r="H10" s="29" t="s">
        <v>29</v>
      </c>
      <c r="J10" s="15"/>
      <c r="K10" s="15"/>
      <c r="L10" s="130"/>
      <c r="M10" s="130"/>
      <c r="N10" s="130"/>
      <c r="O10" s="130"/>
      <c r="P10" s="130"/>
      <c r="Q10" s="130"/>
      <c r="R10" s="130"/>
      <c r="S10" s="130"/>
      <c r="T10" s="130"/>
      <c r="U10" s="130"/>
    </row>
    <row r="11" spans="1:22" ht="36" customHeight="1" thickBot="1">
      <c r="A11" s="35"/>
      <c r="B11" s="36" t="str">
        <f>'Control Entry'!N29</f>
        <v/>
      </c>
      <c r="C11" s="36" t="str">
        <f>'Control Entry'!O29</f>
        <v/>
      </c>
      <c r="D11" s="37"/>
      <c r="E11" s="38" t="str">
        <f>IF(ISBLANK('Control Entry'!H29),"",'Control Entry'!H29)</f>
        <v/>
      </c>
      <c r="F11" s="113" t="str">
        <f>IF(ISBLANK('Control Entry'!K29),"",'Control Entry'!K29)</f>
        <v/>
      </c>
      <c r="G11" s="112"/>
      <c r="H11" s="29" t="s">
        <v>29</v>
      </c>
      <c r="J11" s="15" t="s">
        <v>36</v>
      </c>
      <c r="K11" s="15"/>
      <c r="L11" s="130"/>
      <c r="M11" s="130"/>
      <c r="N11" s="130"/>
      <c r="O11" s="18"/>
      <c r="P11" s="18" t="s">
        <v>37</v>
      </c>
      <c r="Q11" s="18"/>
      <c r="R11" s="18"/>
      <c r="S11" s="155"/>
      <c r="T11" s="155"/>
      <c r="U11" s="155"/>
    </row>
    <row r="12" spans="1:22" ht="36" customHeight="1" thickBot="1">
      <c r="A12" s="31"/>
      <c r="B12" s="32" t="str">
        <f>'Control Entry'!N30</f>
        <v/>
      </c>
      <c r="C12" s="32" t="str">
        <f>'Control Entry'!O30</f>
        <v/>
      </c>
      <c r="D12" s="39"/>
      <c r="E12" s="34" t="str">
        <f>IF(ISBLANK('Control Entry'!F30),"",'Control Entry'!F30)</f>
        <v/>
      </c>
      <c r="F12" s="108" t="str">
        <f>IF(ISBLANK('Control Entry'!I30),"",'Control Entry'!I30)</f>
        <v/>
      </c>
      <c r="G12" s="109"/>
      <c r="H12" s="29" t="s">
        <v>29</v>
      </c>
      <c r="J12" s="15" t="s">
        <v>38</v>
      </c>
      <c r="K12" s="15"/>
      <c r="L12" s="130"/>
      <c r="M12" s="130"/>
      <c r="N12" s="130"/>
      <c r="O12" s="18"/>
      <c r="P12" s="18" t="s">
        <v>39</v>
      </c>
      <c r="Q12" s="18"/>
      <c r="R12" s="18"/>
      <c r="S12" s="155"/>
      <c r="T12" s="155"/>
      <c r="U12" s="155"/>
    </row>
    <row r="13" spans="1:22" ht="36" customHeight="1" thickBot="1">
      <c r="A13" s="40" t="str">
        <f>IF(ISBLANK('Control Entry'!D30),"",'Control Entry'!D30)</f>
        <v/>
      </c>
      <c r="B13" s="41" t="str">
        <f>'Control Entry'!N30</f>
        <v/>
      </c>
      <c r="C13" s="41" t="str">
        <f>'Control Entry'!O30</f>
        <v/>
      </c>
      <c r="D13" s="42" t="str">
        <f>IF(ISBLANK('Control Entry'!E30),"",'Control Entry'!E30)</f>
        <v/>
      </c>
      <c r="E13" s="34" t="str">
        <f>IF(ISBLANK('Control Entry'!G30),"",'Control Entry'!G30)</f>
        <v/>
      </c>
      <c r="F13" s="108" t="str">
        <f>IF(ISBLANK('Control Entry'!J30),"",'Control Entry'!J30)</f>
        <v/>
      </c>
      <c r="G13" s="109"/>
      <c r="H13" s="29" t="s">
        <v>29</v>
      </c>
      <c r="J13" s="15" t="s">
        <v>40</v>
      </c>
      <c r="L13" s="154"/>
      <c r="M13" s="154"/>
      <c r="N13" s="154"/>
      <c r="O13" s="19"/>
      <c r="P13" s="18" t="s">
        <v>41</v>
      </c>
      <c r="Q13" s="18"/>
      <c r="R13" s="156"/>
      <c r="S13" s="156"/>
      <c r="T13" s="156"/>
      <c r="U13" s="156"/>
    </row>
    <row r="14" spans="1:22" ht="36" customHeight="1" thickBot="1">
      <c r="A14" s="35"/>
      <c r="B14" s="36" t="str">
        <f>'Control Entry'!N30</f>
        <v/>
      </c>
      <c r="C14" s="36" t="str">
        <f>'Control Entry'!O30</f>
        <v/>
      </c>
      <c r="D14" s="37"/>
      <c r="E14" s="38" t="str">
        <f>IF(ISBLANK('Control Entry'!H30),"",'Control Entry'!H30)</f>
        <v/>
      </c>
      <c r="F14" s="113" t="str">
        <f>IF(ISBLANK('Control Entry'!K30),"",'Control Entry'!K30)</f>
        <v/>
      </c>
      <c r="G14" s="112"/>
      <c r="H14" s="29" t="s">
        <v>29</v>
      </c>
    </row>
    <row r="15" spans="1:22" ht="36" customHeight="1">
      <c r="A15" s="31"/>
      <c r="B15" s="32" t="str">
        <f>'Control Entry'!N31</f>
        <v/>
      </c>
      <c r="C15" s="32" t="str">
        <f>'Control Entry'!O31</f>
        <v/>
      </c>
      <c r="D15" s="39"/>
      <c r="E15" s="34" t="str">
        <f>IF(ISBLANK('Control Entry'!F31),"",'Control Entry'!F31)</f>
        <v/>
      </c>
      <c r="F15" s="108" t="str">
        <f>IF(ISBLANK('Control Entry'!I31),"",'Control Entry'!I31)</f>
        <v/>
      </c>
      <c r="G15" s="109"/>
      <c r="H15" s="29" t="s">
        <v>29</v>
      </c>
      <c r="J15" s="15"/>
      <c r="L15" s="145" t="s">
        <v>58</v>
      </c>
      <c r="M15" s="145"/>
      <c r="N15" s="145"/>
      <c r="O15" s="145"/>
      <c r="P15" s="145"/>
      <c r="Q15" s="145"/>
      <c r="R15" s="145"/>
      <c r="S15" s="145"/>
      <c r="T15" s="145"/>
      <c r="U15" s="145"/>
    </row>
    <row r="16" spans="1:22" ht="36" customHeight="1" thickBot="1">
      <c r="A16" s="40" t="str">
        <f>IF(ISBLANK('Control Entry'!D31),"",'Control Entry'!D31)</f>
        <v/>
      </c>
      <c r="B16" s="41" t="str">
        <f>'Control Entry'!N31</f>
        <v/>
      </c>
      <c r="C16" s="41" t="str">
        <f>'Control Entry'!O31</f>
        <v/>
      </c>
      <c r="D16" s="42" t="str">
        <f>IF(ISBLANK('Control Entry'!E31),"",'Control Entry'!E31)</f>
        <v/>
      </c>
      <c r="E16" s="34" t="str">
        <f>IF(ISBLANK('Control Entry'!G31),"",'Control Entry'!G31)</f>
        <v/>
      </c>
      <c r="F16" s="108" t="str">
        <f>IF(ISBLANK('Control Entry'!J31),"",'Control Entry'!J31)</f>
        <v/>
      </c>
      <c r="G16" s="109"/>
      <c r="H16" s="29" t="s">
        <v>29</v>
      </c>
      <c r="L16" s="131"/>
      <c r="M16" s="131"/>
      <c r="N16" s="131"/>
      <c r="O16" s="131"/>
      <c r="P16" s="131"/>
      <c r="Q16" s="131"/>
      <c r="R16" s="131"/>
      <c r="S16" s="131"/>
      <c r="T16" s="131"/>
      <c r="U16" s="131"/>
    </row>
    <row r="17" spans="1:22" ht="36" customHeight="1" thickBot="1">
      <c r="A17" s="35"/>
      <c r="B17" s="36" t="str">
        <f>'Control Entry'!N31</f>
        <v/>
      </c>
      <c r="C17" s="36" t="str">
        <f>'Control Entry'!O31</f>
        <v/>
      </c>
      <c r="D17" s="37"/>
      <c r="E17" s="38" t="str">
        <f>IF(ISBLANK('Control Entry'!H31),"",'Control Entry'!H31)</f>
        <v/>
      </c>
      <c r="F17" s="113" t="str">
        <f>IF(ISBLANK('Control Entry'!K31),"",'Control Entry'!K31)</f>
        <v/>
      </c>
      <c r="G17" s="112"/>
      <c r="H17" s="29" t="s">
        <v>29</v>
      </c>
    </row>
    <row r="18" spans="1:22" ht="36" customHeight="1">
      <c r="A18" s="31"/>
      <c r="B18" s="32" t="str">
        <f>'Control Entry'!N32</f>
        <v/>
      </c>
      <c r="C18" s="32" t="str">
        <f>'Control Entry'!O32</f>
        <v/>
      </c>
      <c r="D18" s="39"/>
      <c r="E18" s="34" t="str">
        <f>IF(ISBLANK('Control Entry'!F32),"",'Control Entry'!F32)</f>
        <v/>
      </c>
      <c r="F18" s="108" t="str">
        <f>IF(ISBLANK('Control Entry'!I32),"",'Control Entry'!I32)</f>
        <v/>
      </c>
      <c r="G18" s="109"/>
      <c r="H18" s="29" t="s">
        <v>29</v>
      </c>
    </row>
    <row r="19" spans="1:22" ht="36" customHeight="1">
      <c r="A19" s="40" t="str">
        <f>IF(ISBLANK('Control Entry'!D32),"",'Control Entry'!D32)</f>
        <v/>
      </c>
      <c r="B19" s="41" t="str">
        <f>'Control Entry'!N32</f>
        <v/>
      </c>
      <c r="C19" s="41" t="str">
        <f>'Control Entry'!O32</f>
        <v/>
      </c>
      <c r="D19" s="42" t="str">
        <f>IF(ISBLANK('Control Entry'!E32),"",'Control Entry'!E32)</f>
        <v/>
      </c>
      <c r="E19" s="34" t="str">
        <f>IF(ISBLANK('Control Entry'!G32),"",'Control Entry'!G32)</f>
        <v/>
      </c>
      <c r="F19" s="108" t="str">
        <f>IF(ISBLANK('Control Entry'!J32),"",'Control Entry'!J32)</f>
        <v/>
      </c>
      <c r="G19" s="109"/>
      <c r="H19" s="29" t="s">
        <v>29</v>
      </c>
    </row>
    <row r="20" spans="1:22" ht="36" customHeight="1" thickBot="1">
      <c r="A20" s="35"/>
      <c r="B20" s="36" t="str">
        <f>'Control Entry'!N32</f>
        <v/>
      </c>
      <c r="C20" s="36" t="str">
        <f>'Control Entry'!O32</f>
        <v/>
      </c>
      <c r="D20" s="37"/>
      <c r="E20" s="38" t="str">
        <f>IF(ISBLANK('Control Entry'!H32),"",'Control Entry'!H32)</f>
        <v/>
      </c>
      <c r="F20" s="113" t="str">
        <f>IF(ISBLANK('Control Entry'!K32),"",'Control Entry'!K32)</f>
        <v/>
      </c>
      <c r="G20" s="112"/>
      <c r="H20" s="29" t="s">
        <v>29</v>
      </c>
      <c r="J20" s="62" t="s">
        <v>44</v>
      </c>
      <c r="K20" s="62"/>
      <c r="L20" s="157">
        <f>IF(ISBLANK('Control Entry'!B11),"",'Control Entry'!B11)</f>
        <v>45087</v>
      </c>
      <c r="M20" s="157"/>
      <c r="N20" s="157"/>
      <c r="P20" s="18" t="s">
        <v>0</v>
      </c>
      <c r="Q20" s="18"/>
      <c r="S20" s="144">
        <f>IF(ISBLANK('Control Entry'!B12),"",'Control Entry'!B12)</f>
        <v>0.29166666666666669</v>
      </c>
      <c r="T20" s="144"/>
      <c r="U20" s="144"/>
    </row>
    <row r="21" spans="1:22" ht="36" customHeight="1">
      <c r="A21" s="31"/>
      <c r="B21" s="32" t="str">
        <f>'Control Entry'!N33</f>
        <v/>
      </c>
      <c r="C21" s="32" t="str">
        <f>'Control Entry'!O33</f>
        <v/>
      </c>
      <c r="D21" s="39"/>
      <c r="E21" s="34" t="str">
        <f>IF(ISBLANK('Control Entry'!F33),"",'Control Entry'!F33)</f>
        <v/>
      </c>
      <c r="F21" s="108" t="str">
        <f>IF(ISBLANK('Control Entry'!I33),"",'Control Entry'!I33)</f>
        <v/>
      </c>
      <c r="G21" s="109"/>
      <c r="H21" s="29" t="s">
        <v>29</v>
      </c>
      <c r="J21" s="62"/>
      <c r="K21" s="62"/>
      <c r="L21" s="60"/>
      <c r="M21" s="60"/>
      <c r="N21" s="60"/>
      <c r="P21" s="18"/>
      <c r="Q21" s="18"/>
      <c r="R21" s="23"/>
      <c r="S21" s="63"/>
      <c r="T21" s="63"/>
      <c r="U21" s="63"/>
      <c r="V21" s="30"/>
    </row>
    <row r="22" spans="1:22" ht="36" customHeight="1" thickBot="1">
      <c r="A22" s="40" t="str">
        <f>IF(ISBLANK('Control Entry'!D33),"",'Control Entry'!D33)</f>
        <v/>
      </c>
      <c r="B22" s="41" t="str">
        <f>'Control Entry'!N33</f>
        <v/>
      </c>
      <c r="C22" s="41" t="str">
        <f>'Control Entry'!O33</f>
        <v/>
      </c>
      <c r="D22" s="42" t="str">
        <f>IF(ISBLANK('Control Entry'!E33),"",'Control Entry'!E33)</f>
        <v/>
      </c>
      <c r="E22" s="34" t="str">
        <f>IF(ISBLANK('Control Entry'!G33),"",'Control Entry'!G33)</f>
        <v/>
      </c>
      <c r="F22" s="108" t="str">
        <f>IF(ISBLANK('Control Entry'!J33),"",'Control Entry'!J33)</f>
        <v/>
      </c>
      <c r="G22" s="109"/>
      <c r="H22" s="29" t="s">
        <v>29</v>
      </c>
      <c r="J22" s="90" t="s">
        <v>45</v>
      </c>
      <c r="K22" s="90"/>
      <c r="L22" s="132"/>
      <c r="M22" s="132"/>
      <c r="N22" s="132"/>
      <c r="O22" s="19"/>
      <c r="P22" s="18" t="s">
        <v>1</v>
      </c>
      <c r="Q22" s="18"/>
      <c r="R22" s="19"/>
      <c r="S22" s="128"/>
      <c r="T22" s="128"/>
      <c r="U22" s="128"/>
    </row>
    <row r="23" spans="1:22" ht="36" customHeight="1" thickBot="1">
      <c r="A23" s="35"/>
      <c r="B23" s="36" t="str">
        <f>'Control Entry'!N33</f>
        <v/>
      </c>
      <c r="C23" s="36" t="str">
        <f>'Control Entry'!O33</f>
        <v/>
      </c>
      <c r="D23" s="37"/>
      <c r="E23" s="38" t="str">
        <f>IF(ISBLANK('Control Entry'!H33),"",'Control Entry'!H33)</f>
        <v/>
      </c>
      <c r="F23" s="113" t="str">
        <f>IF(ISBLANK('Control Entry'!K33),"",'Control Entry'!K33)</f>
        <v/>
      </c>
      <c r="G23" s="112"/>
      <c r="H23" s="29" t="s">
        <v>29</v>
      </c>
      <c r="J23" s="90"/>
      <c r="K23" s="90"/>
      <c r="L23" s="60"/>
      <c r="M23" s="60"/>
      <c r="N23" s="60"/>
      <c r="O23" s="23"/>
      <c r="P23" s="59"/>
      <c r="Q23" s="59"/>
      <c r="R23" s="23"/>
      <c r="S23" s="23"/>
      <c r="T23" s="23"/>
      <c r="U23" s="23"/>
      <c r="V23" s="30"/>
    </row>
    <row r="24" spans="1:22" ht="36" customHeight="1" thickBot="1">
      <c r="A24" s="31"/>
      <c r="B24" s="32" t="str">
        <f>'Control Entry'!N34</f>
        <v/>
      </c>
      <c r="C24" s="32" t="str">
        <f>'Control Entry'!O34</f>
        <v/>
      </c>
      <c r="D24" s="39"/>
      <c r="E24" s="34" t="str">
        <f>IF(ISBLANK('Control Entry'!F34),"",'Control Entry'!F34)</f>
        <v/>
      </c>
      <c r="F24" s="108" t="str">
        <f>IF(ISBLANK('Control Entry'!I34),"",'Control Entry'!I34)</f>
        <v/>
      </c>
      <c r="G24" s="109"/>
      <c r="H24" s="29" t="s">
        <v>29</v>
      </c>
      <c r="J24" s="128"/>
      <c r="K24" s="128"/>
      <c r="L24" s="128"/>
      <c r="M24" s="128"/>
      <c r="N24" s="128"/>
      <c r="O24" s="19"/>
      <c r="P24" s="18" t="s">
        <v>2</v>
      </c>
      <c r="Q24" s="18"/>
      <c r="R24" s="19"/>
      <c r="S24" s="128"/>
      <c r="T24" s="128"/>
      <c r="U24" s="128"/>
    </row>
    <row r="25" spans="1:22" ht="36" customHeight="1">
      <c r="A25" s="40" t="str">
        <f>IF(ISBLANK('Control Entry'!D34),"",'Control Entry'!D34)</f>
        <v/>
      </c>
      <c r="B25" s="41" t="str">
        <f>'Control Entry'!N34</f>
        <v/>
      </c>
      <c r="C25" s="41" t="str">
        <f>'Control Entry'!O34</f>
        <v/>
      </c>
      <c r="D25" s="42" t="str">
        <f>IF(ISBLANK('Control Entry'!E34),"",'Control Entry'!E34)</f>
        <v/>
      </c>
      <c r="E25" s="34" t="str">
        <f>IF(ISBLANK('Control Entry'!G34),"",'Control Entry'!G34)</f>
        <v/>
      </c>
      <c r="F25" s="108" t="str">
        <f>IF(ISBLANK('Control Entry'!J34),"",'Control Entry'!J34)</f>
        <v/>
      </c>
      <c r="G25" s="109"/>
      <c r="H25" s="29" t="s">
        <v>29</v>
      </c>
      <c r="J25" s="142" t="s">
        <v>17</v>
      </c>
      <c r="K25" s="142"/>
      <c r="L25" s="142"/>
      <c r="M25" s="142"/>
      <c r="N25" s="142"/>
      <c r="O25" s="53"/>
      <c r="P25" s="139"/>
      <c r="Q25" s="139"/>
      <c r="R25" s="53"/>
      <c r="S25" s="140"/>
      <c r="T25" s="140"/>
      <c r="U25" s="140"/>
      <c r="V25" s="140"/>
    </row>
    <row r="26" spans="1:22" ht="36" customHeight="1" thickBot="1">
      <c r="A26" s="35"/>
      <c r="B26" s="36" t="str">
        <f>'Control Entry'!N34</f>
        <v/>
      </c>
      <c r="C26" s="36" t="str">
        <f>'Control Entry'!O34</f>
        <v/>
      </c>
      <c r="D26" s="37"/>
      <c r="E26" s="38" t="str">
        <f>IF(ISBLANK('Control Entry'!H34),"",'Control Entry'!H34)</f>
        <v/>
      </c>
      <c r="F26" s="113" t="str">
        <f>IF(ISBLANK('Control Entry'!K34),"",'Control Entry'!K34)</f>
        <v/>
      </c>
      <c r="G26" s="112"/>
      <c r="H26" s="29" t="s">
        <v>29</v>
      </c>
    </row>
    <row r="27" spans="1:22" ht="36" customHeight="1">
      <c r="A27" s="31"/>
      <c r="B27" s="32" t="str">
        <f>'Control Entry'!N35</f>
        <v/>
      </c>
      <c r="C27" s="32" t="str">
        <f>'Control Entry'!O35</f>
        <v/>
      </c>
      <c r="D27" s="39"/>
      <c r="E27" s="34" t="str">
        <f>IF(ISBLANK('Control Entry'!F35),"",'Control Entry'!F35)</f>
        <v/>
      </c>
      <c r="F27" s="108" t="str">
        <f>IF(ISBLANK('Control Entry'!I35),"",'Control Entry'!I35)</f>
        <v/>
      </c>
      <c r="G27" s="109"/>
      <c r="H27" s="29" t="s">
        <v>29</v>
      </c>
      <c r="K27" s="138" t="s">
        <v>56</v>
      </c>
      <c r="L27" s="139"/>
      <c r="M27" s="52" t="s">
        <v>57</v>
      </c>
      <c r="N27" s="139" t="s">
        <v>49</v>
      </c>
      <c r="O27" s="139"/>
      <c r="P27" s="139" t="s">
        <v>50</v>
      </c>
      <c r="Q27" s="139"/>
      <c r="R27" s="53" t="s">
        <v>51</v>
      </c>
      <c r="S27" s="140" t="s">
        <v>52</v>
      </c>
      <c r="T27" s="140"/>
      <c r="U27" s="140" t="s">
        <v>53</v>
      </c>
      <c r="V27" s="140"/>
    </row>
    <row r="28" spans="1:22" ht="36" customHeight="1">
      <c r="A28" s="40" t="str">
        <f>IF(ISBLANK('Control Entry'!D35),"",'Control Entry'!D35)</f>
        <v/>
      </c>
      <c r="B28" s="41" t="str">
        <f>'Control Entry'!N35</f>
        <v/>
      </c>
      <c r="C28" s="41" t="str">
        <f>'Control Entry'!O35</f>
        <v/>
      </c>
      <c r="D28" s="42" t="str">
        <f>IF(ISBLANK('Control Entry'!E35),"",'Control Entry'!E35)</f>
        <v/>
      </c>
      <c r="E28" s="34" t="str">
        <f>IF(ISBLANK('Control Entry'!G35),"",'Control Entry'!G35)</f>
        <v/>
      </c>
      <c r="F28" s="108" t="str">
        <f>IF(ISBLANK('Control Entry'!J35),"",'Control Entry'!J35)</f>
        <v/>
      </c>
      <c r="G28" s="109"/>
      <c r="H28" s="29" t="s">
        <v>29</v>
      </c>
    </row>
    <row r="29" spans="1:22" ht="36" customHeight="1" thickBot="1">
      <c r="A29" s="35"/>
      <c r="B29" s="36" t="str">
        <f>'Control Entry'!N35</f>
        <v/>
      </c>
      <c r="C29" s="36" t="str">
        <f>'Control Entry'!O35</f>
        <v/>
      </c>
      <c r="D29" s="37"/>
      <c r="E29" s="38" t="str">
        <f>IF(ISBLANK('Control Entry'!H35),"",'Control Entry'!H35)</f>
        <v/>
      </c>
      <c r="F29" s="113" t="str">
        <f>IF(ISBLANK('Control Entry'!K35),"",'Control Entry'!K35)</f>
        <v/>
      </c>
      <c r="G29" s="112"/>
      <c r="H29" s="29" t="s">
        <v>29</v>
      </c>
      <c r="M29" s="148" t="s">
        <v>42</v>
      </c>
      <c r="N29" s="148"/>
      <c r="O29" s="148"/>
      <c r="P29" s="148"/>
      <c r="Q29" s="148"/>
      <c r="R29" s="148"/>
      <c r="S29" s="148"/>
      <c r="T29" s="148"/>
      <c r="U29" s="57"/>
    </row>
    <row r="30" spans="1:22" ht="36" customHeight="1">
      <c r="A30" s="31"/>
      <c r="B30" s="32" t="str">
        <f>'Control Entry'!N36</f>
        <v/>
      </c>
      <c r="C30" s="32" t="str">
        <f>'Control Entry'!O36</f>
        <v/>
      </c>
      <c r="D30" s="39"/>
      <c r="E30" s="34" t="str">
        <f>IF(ISBLANK('Control Entry'!F36),"",'Control Entry'!F36)</f>
        <v/>
      </c>
      <c r="F30" s="108" t="str">
        <f>IF(ISBLANK('Control Entry'!I36),"",'Control Entry'!I36)</f>
        <v/>
      </c>
      <c r="G30" s="109"/>
      <c r="H30" s="29" t="s">
        <v>29</v>
      </c>
      <c r="M30" s="16"/>
      <c r="N30" s="21"/>
      <c r="O30" s="21"/>
      <c r="P30" s="22"/>
      <c r="Q30" s="21"/>
      <c r="R30" s="21"/>
      <c r="S30" s="21"/>
      <c r="T30" s="22"/>
      <c r="U30" s="23"/>
    </row>
    <row r="31" spans="1:22" ht="36" customHeight="1">
      <c r="A31" s="40" t="str">
        <f>IF(ISBLANK('Control Entry'!D36),"",'Control Entry'!D36)</f>
        <v/>
      </c>
      <c r="B31" s="41" t="str">
        <f>'Control Entry'!N36</f>
        <v/>
      </c>
      <c r="C31" s="41" t="str">
        <f>'Control Entry'!O36</f>
        <v/>
      </c>
      <c r="D31" s="42" t="str">
        <f>IF(ISBLANK('Control Entry'!E36),"",'Control Entry'!E36)</f>
        <v/>
      </c>
      <c r="E31" s="34" t="str">
        <f>IF(ISBLANK('Control Entry'!G36),"",'Control Entry'!G36)</f>
        <v/>
      </c>
      <c r="F31" s="108" t="str">
        <f>IF(ISBLANK('Control Entry'!J36),"",'Control Entry'!J36)</f>
        <v/>
      </c>
      <c r="G31" s="109"/>
      <c r="H31" s="29" t="s">
        <v>29</v>
      </c>
      <c r="M31" s="17"/>
      <c r="N31" s="23"/>
      <c r="O31" s="23"/>
      <c r="P31" s="24"/>
      <c r="Q31" s="23"/>
      <c r="R31" s="23"/>
      <c r="S31" s="23"/>
      <c r="T31" s="24"/>
      <c r="U31" s="23"/>
    </row>
    <row r="32" spans="1:22" ht="36" customHeight="1" thickBot="1">
      <c r="A32" s="35"/>
      <c r="B32" s="36" t="str">
        <f>'Control Entry'!N36</f>
        <v/>
      </c>
      <c r="C32" s="36" t="str">
        <f>'Control Entry'!O36</f>
        <v/>
      </c>
      <c r="D32" s="37"/>
      <c r="E32" s="38" t="str">
        <f>IF(ISBLANK('Control Entry'!H36),"",'Control Entry'!H36)</f>
        <v/>
      </c>
      <c r="F32" s="113" t="str">
        <f>IF(ISBLANK('Control Entry'!K36),"",'Control Entry'!K36)</f>
        <v/>
      </c>
      <c r="G32" s="112"/>
      <c r="H32" s="29" t="s">
        <v>29</v>
      </c>
      <c r="M32" s="55"/>
      <c r="N32" s="20"/>
      <c r="O32" s="20"/>
      <c r="P32" s="25"/>
      <c r="Q32" s="20"/>
      <c r="R32" s="20"/>
      <c r="S32" s="20"/>
      <c r="T32" s="25"/>
      <c r="U32" s="23"/>
    </row>
    <row r="33" spans="1:22" ht="36" customHeight="1">
      <c r="A33" s="137" t="s">
        <v>43</v>
      </c>
      <c r="B33" s="137"/>
      <c r="C33" s="137"/>
      <c r="D33" s="137"/>
      <c r="E33" s="137"/>
      <c r="F33" s="137"/>
      <c r="G33" s="137"/>
      <c r="H33" s="43"/>
      <c r="I33" s="43"/>
      <c r="M33" s="149" t="s">
        <v>82</v>
      </c>
      <c r="N33" s="150"/>
      <c r="O33" s="150"/>
      <c r="P33" s="150"/>
      <c r="Q33" s="151">
        <f>'Control Entry'!B3</f>
        <v>44674</v>
      </c>
      <c r="R33" s="152"/>
      <c r="S33" s="152"/>
      <c r="T33" s="152"/>
      <c r="U33" s="104"/>
      <c r="V33" s="60"/>
    </row>
    <row r="34" spans="1:22" ht="36" customHeight="1">
      <c r="A34"/>
      <c r="O34" s="49"/>
      <c r="P34" s="49"/>
      <c r="Q34" s="49"/>
      <c r="R34" s="48"/>
    </row>
    <row r="35" spans="1:22" ht="36" customHeight="1">
      <c r="A35"/>
      <c r="N35" s="148"/>
      <c r="O35" s="148"/>
      <c r="P35" s="148"/>
      <c r="Q35" s="148"/>
      <c r="R35" s="148"/>
      <c r="S35" s="148"/>
      <c r="T35" s="148"/>
      <c r="U35" s="14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1:G1"/>
    <mergeCell ref="K2:U2"/>
    <mergeCell ref="M4:T4"/>
    <mergeCell ref="N5:O5"/>
    <mergeCell ref="R5:U5"/>
    <mergeCell ref="O3:R3"/>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36" t="s">
        <v>74</v>
      </c>
      <c r="B1" s="136"/>
      <c r="C1" s="136"/>
      <c r="D1" s="136"/>
      <c r="E1" s="136"/>
      <c r="F1" s="136"/>
      <c r="G1" s="136"/>
      <c r="H1" s="29" t="s">
        <v>29</v>
      </c>
    </row>
    <row r="2" spans="1:22" ht="33.75" customHeight="1" thickBot="1">
      <c r="A2" s="77" t="s">
        <v>30</v>
      </c>
      <c r="B2" s="9" t="s">
        <v>3</v>
      </c>
      <c r="C2" s="9" t="s">
        <v>4</v>
      </c>
      <c r="D2" s="9" t="s">
        <v>25</v>
      </c>
      <c r="E2" s="9" t="s">
        <v>31</v>
      </c>
      <c r="F2" s="9" t="s">
        <v>59</v>
      </c>
      <c r="G2" s="77" t="s">
        <v>32</v>
      </c>
      <c r="H2" s="29" t="s">
        <v>29</v>
      </c>
      <c r="K2" s="134" t="s">
        <v>55</v>
      </c>
      <c r="L2" s="134"/>
      <c r="M2" s="134"/>
      <c r="N2" s="134"/>
      <c r="O2" s="134"/>
      <c r="P2" s="134"/>
      <c r="Q2" s="134"/>
      <c r="R2" s="134"/>
      <c r="S2" s="134"/>
      <c r="T2" s="134"/>
      <c r="U2" s="134"/>
    </row>
    <row r="3" spans="1:22" ht="36" customHeight="1">
      <c r="A3" s="31"/>
      <c r="B3" s="32" t="str">
        <f>'Control Entry'!N40</f>
        <v/>
      </c>
      <c r="C3" s="32" t="str">
        <f>'Control Entry'!O40</f>
        <v/>
      </c>
      <c r="D3" s="33"/>
      <c r="E3" s="34" t="str">
        <f>IF(ISBLANK('Control Entry'!F40),"",'Control Entry'!F40)</f>
        <v/>
      </c>
      <c r="F3" s="108" t="str">
        <f>IF(ISBLANK('Control Entry'!I40),"",'Control Entry'!I40)</f>
        <v/>
      </c>
      <c r="G3" s="109"/>
      <c r="H3" s="29" t="s">
        <v>29</v>
      </c>
      <c r="K3" s="14"/>
      <c r="O3" s="143" t="s">
        <v>73</v>
      </c>
      <c r="P3" s="143"/>
      <c r="Q3" s="143"/>
      <c r="R3" s="143"/>
      <c r="S3" s="94" t="str">
        <f>IF('Control Entry'!D40=0,"","#3")</f>
        <v/>
      </c>
      <c r="T3" s="95"/>
      <c r="U3" s="44"/>
    </row>
    <row r="4" spans="1:22" ht="36" customHeight="1">
      <c r="A4" s="40" t="str">
        <f>IF(ISBLANK('Control Entry'!D40),"",'Control Entry'!D40)</f>
        <v/>
      </c>
      <c r="B4" s="41" t="str">
        <f>'Control Entry'!N40</f>
        <v/>
      </c>
      <c r="C4" s="41" t="str">
        <f>'Control Entry'!O40</f>
        <v/>
      </c>
      <c r="D4" s="42" t="str">
        <f>IF(ISBLANK('Control Entry'!E40),"",'Control Entry'!E40)</f>
        <v/>
      </c>
      <c r="E4" s="34" t="str">
        <f>IF(ISBLANK('Control Entry'!G40),"",'Control Entry'!G40)</f>
        <v/>
      </c>
      <c r="F4" s="108" t="str">
        <f>IF(ISBLANK('Control Entry'!J40),"",'Control Entry'!J40)</f>
        <v/>
      </c>
      <c r="G4" s="109"/>
      <c r="H4" s="29" t="s">
        <v>29</v>
      </c>
      <c r="K4" s="14"/>
      <c r="M4" s="138" t="str">
        <f>IF(ISBLANK(brevet),"",brevet&amp;" km Randonnée")</f>
        <v>200 km Randonnée</v>
      </c>
      <c r="N4" s="138"/>
      <c r="O4" s="138"/>
      <c r="P4" s="138"/>
      <c r="Q4" s="138"/>
      <c r="R4" s="138"/>
      <c r="S4" s="138"/>
      <c r="T4" s="138"/>
      <c r="U4" s="45"/>
    </row>
    <row r="5" spans="1:22" ht="36" customHeight="1" thickBot="1">
      <c r="A5" s="35"/>
      <c r="B5" s="36" t="str">
        <f>'Control Entry'!N40</f>
        <v/>
      </c>
      <c r="C5" s="36" t="str">
        <f>'Control Entry'!O40</f>
        <v/>
      </c>
      <c r="D5" s="37"/>
      <c r="E5" s="38" t="str">
        <f>IF(ISBLANK('Control Entry'!H27),"",'Control Entry'!H27)</f>
        <v/>
      </c>
      <c r="F5" s="113" t="str">
        <f>IF(ISBLANK('Control Entry'!K40),"",'Control Entry'!K40)</f>
        <v/>
      </c>
      <c r="G5" s="112"/>
      <c r="H5" s="29" t="s">
        <v>29</v>
      </c>
      <c r="K5" s="14"/>
      <c r="M5" s="15"/>
      <c r="N5" s="141" t="s">
        <v>47</v>
      </c>
      <c r="O5" s="141"/>
      <c r="P5" s="64">
        <f>IF(ISBLANK(Brevet_Number),"",Brevet_Number)</f>
        <v>5246</v>
      </c>
      <c r="Q5" s="65"/>
      <c r="R5" s="133">
        <f>IF(ISBLANK('Control Entry'!$B9),"",'Control Entry'!$B9)</f>
        <v>45087</v>
      </c>
      <c r="S5" s="133"/>
      <c r="T5" s="133"/>
      <c r="U5" s="133"/>
      <c r="V5" s="46"/>
    </row>
    <row r="6" spans="1:22" ht="36" customHeight="1">
      <c r="A6" s="31"/>
      <c r="B6" s="32" t="str">
        <f>'Control Entry'!N41</f>
        <v/>
      </c>
      <c r="C6" s="32" t="str">
        <f>'Control Entry'!O41</f>
        <v/>
      </c>
      <c r="D6" s="39"/>
      <c r="E6" s="34" t="str">
        <f>IF(ISBLANK('Control Entry'!F41),"",'Control Entry'!F41)</f>
        <v/>
      </c>
      <c r="F6" s="108" t="str">
        <f>IF(ISBLANK('Control Entry'!I41),"",'Control Entry'!I41)</f>
        <v/>
      </c>
      <c r="G6" s="109"/>
      <c r="H6" s="29" t="s">
        <v>29</v>
      </c>
      <c r="K6" s="14"/>
      <c r="L6" s="146" t="str">
        <f>IF(ISBLANK(Brevet_Description),"",Brevet_Description)</f>
        <v>Coffee, Ice Cream &amp; Beer</v>
      </c>
      <c r="M6" s="146"/>
      <c r="N6" s="146"/>
      <c r="O6" s="146"/>
      <c r="P6" s="146"/>
      <c r="Q6" s="146"/>
      <c r="R6" s="146"/>
      <c r="S6" s="146"/>
      <c r="T6" s="146"/>
      <c r="U6" s="146"/>
    </row>
    <row r="7" spans="1:22" ht="36" customHeight="1">
      <c r="A7" s="40" t="str">
        <f>IF(ISBLANK('Control Entry'!D41),"",'Control Entry'!D41)</f>
        <v/>
      </c>
      <c r="B7" s="41" t="str">
        <f>'Control Entry'!N41</f>
        <v/>
      </c>
      <c r="C7" s="41" t="str">
        <f>'Control Entry'!O41</f>
        <v/>
      </c>
      <c r="D7" s="42" t="str">
        <f>IF(ISBLANK('Control Entry'!E41),"",'Control Entry'!E41)</f>
        <v/>
      </c>
      <c r="E7" s="34" t="str">
        <f>IF(ISBLANK('Control Entry'!G41),"",'Control Entry'!G41)</f>
        <v/>
      </c>
      <c r="F7" s="108" t="str">
        <f>IF(ISBLANK('Control Entry'!J41),"",'Control Entry'!J41)</f>
        <v/>
      </c>
      <c r="G7" s="109"/>
      <c r="H7" s="29" t="s">
        <v>29</v>
      </c>
    </row>
    <row r="8" spans="1:22" ht="36" customHeight="1" thickBot="1">
      <c r="A8" s="35"/>
      <c r="B8" s="36" t="str">
        <f>'Control Entry'!N41</f>
        <v/>
      </c>
      <c r="C8" s="36" t="str">
        <f>'Control Entry'!O41</f>
        <v/>
      </c>
      <c r="D8" s="37"/>
      <c r="E8" s="38" t="str">
        <f>IF(ISBLANK('Control Entry'!H41),"",'Control Entry'!H41)</f>
        <v/>
      </c>
      <c r="F8" s="113" t="str">
        <f>IF(ISBLANK('Control Entry'!K41),"",'Control Entry'!K41)</f>
        <v/>
      </c>
      <c r="G8" s="112"/>
      <c r="H8" s="29" t="s">
        <v>29</v>
      </c>
      <c r="J8" s="15" t="s">
        <v>34</v>
      </c>
      <c r="L8" s="135"/>
      <c r="M8" s="135"/>
      <c r="N8" s="135"/>
      <c r="O8" s="135"/>
      <c r="P8" s="135"/>
      <c r="Q8" s="135"/>
      <c r="R8" s="30"/>
      <c r="S8" s="47" t="s">
        <v>46</v>
      </c>
      <c r="T8" s="147"/>
      <c r="U8" s="147"/>
    </row>
    <row r="9" spans="1:22" ht="36" customHeight="1" thickBot="1">
      <c r="A9" s="31"/>
      <c r="B9" s="32" t="str">
        <f>'Control Entry'!N42</f>
        <v/>
      </c>
      <c r="C9" s="32" t="str">
        <f>'Control Entry'!O42</f>
        <v/>
      </c>
      <c r="D9" s="39"/>
      <c r="E9" s="34" t="str">
        <f>IF(ISBLANK('Control Entry'!F42),"",'Control Entry'!F42)</f>
        <v/>
      </c>
      <c r="F9" s="108" t="str">
        <f>IF(ISBLANK('Control Entry'!I42),"",'Control Entry'!I42)</f>
        <v/>
      </c>
      <c r="G9" s="109"/>
      <c r="H9" s="29" t="s">
        <v>29</v>
      </c>
      <c r="J9" s="15" t="s">
        <v>35</v>
      </c>
      <c r="K9" s="15"/>
      <c r="L9" s="129" t="s">
        <v>54</v>
      </c>
      <c r="M9" s="129"/>
      <c r="N9" s="129"/>
      <c r="O9" s="129"/>
      <c r="P9" s="129"/>
      <c r="Q9" s="129"/>
      <c r="R9" s="129"/>
      <c r="S9" s="129"/>
      <c r="T9" s="129"/>
      <c r="U9" s="129"/>
    </row>
    <row r="10" spans="1:22" ht="36" customHeight="1" thickBot="1">
      <c r="A10" s="40" t="str">
        <f>IF(ISBLANK('Control Entry'!D42),"",'Control Entry'!D42)</f>
        <v/>
      </c>
      <c r="B10" s="41" t="str">
        <f>'Control Entry'!N42</f>
        <v/>
      </c>
      <c r="C10" s="41" t="str">
        <f>'Control Entry'!O42</f>
        <v/>
      </c>
      <c r="D10" s="42" t="str">
        <f>IF(ISBLANK('Control Entry'!E42),"",'Control Entry'!E42)</f>
        <v/>
      </c>
      <c r="E10" s="34" t="str">
        <f>IF(ISBLANK('Control Entry'!G42),"",'Control Entry'!G42)</f>
        <v/>
      </c>
      <c r="F10" s="108" t="str">
        <f>IF(ISBLANK('Control Entry'!J42),"",'Control Entry'!J42)</f>
        <v/>
      </c>
      <c r="G10" s="109"/>
      <c r="H10" s="29" t="s">
        <v>29</v>
      </c>
      <c r="J10" s="15"/>
      <c r="K10" s="15"/>
      <c r="L10" s="130"/>
      <c r="M10" s="130"/>
      <c r="N10" s="130"/>
      <c r="O10" s="130"/>
      <c r="P10" s="130"/>
      <c r="Q10" s="130"/>
      <c r="R10" s="130"/>
      <c r="S10" s="130"/>
      <c r="T10" s="130"/>
      <c r="U10" s="130"/>
    </row>
    <row r="11" spans="1:22" ht="36" customHeight="1" thickBot="1">
      <c r="A11" s="35"/>
      <c r="B11" s="36" t="str">
        <f>'Control Entry'!N42</f>
        <v/>
      </c>
      <c r="C11" s="36" t="str">
        <f>'Control Entry'!O42</f>
        <v/>
      </c>
      <c r="D11" s="37"/>
      <c r="E11" s="38" t="str">
        <f>IF(ISBLANK('Control Entry'!H42),"",'Control Entry'!H42)</f>
        <v/>
      </c>
      <c r="F11" s="113" t="str">
        <f>IF(ISBLANK('Control Entry'!K42),"",'Control Entry'!K42)</f>
        <v/>
      </c>
      <c r="G11" s="112"/>
      <c r="H11" s="29" t="s">
        <v>29</v>
      </c>
      <c r="J11" s="15" t="s">
        <v>36</v>
      </c>
      <c r="K11" s="15"/>
      <c r="L11" s="130"/>
      <c r="M11" s="130"/>
      <c r="N11" s="130"/>
      <c r="O11" s="18"/>
      <c r="P11" s="18" t="s">
        <v>37</v>
      </c>
      <c r="Q11" s="18"/>
      <c r="R11" s="18"/>
      <c r="S11" s="155"/>
      <c r="T11" s="155"/>
      <c r="U11" s="155"/>
    </row>
    <row r="12" spans="1:22" ht="36" customHeight="1" thickBot="1">
      <c r="A12" s="31"/>
      <c r="B12" s="32" t="str">
        <f>'Control Entry'!N43</f>
        <v/>
      </c>
      <c r="C12" s="32" t="str">
        <f>'Control Entry'!O43</f>
        <v/>
      </c>
      <c r="D12" s="39"/>
      <c r="E12" s="34" t="str">
        <f>IF(ISBLANK('Control Entry'!F43),"",'Control Entry'!F43)</f>
        <v/>
      </c>
      <c r="F12" s="108" t="str">
        <f>IF(ISBLANK('Control Entry'!I43),"",'Control Entry'!I43)</f>
        <v/>
      </c>
      <c r="G12" s="109"/>
      <c r="H12" s="29" t="s">
        <v>29</v>
      </c>
      <c r="J12" s="15" t="s">
        <v>38</v>
      </c>
      <c r="K12" s="15"/>
      <c r="L12" s="130"/>
      <c r="M12" s="130"/>
      <c r="N12" s="130"/>
      <c r="O12" s="18"/>
      <c r="P12" s="18" t="s">
        <v>39</v>
      </c>
      <c r="Q12" s="18"/>
      <c r="R12" s="18"/>
      <c r="S12" s="155"/>
      <c r="T12" s="155"/>
      <c r="U12" s="155"/>
    </row>
    <row r="13" spans="1:22" ht="36" customHeight="1" thickBot="1">
      <c r="A13" s="40" t="str">
        <f>IF(ISBLANK('Control Entry'!D43),"",'Control Entry'!D43)</f>
        <v/>
      </c>
      <c r="B13" s="41" t="str">
        <f>'Control Entry'!N43</f>
        <v/>
      </c>
      <c r="C13" s="41" t="str">
        <f>'Control Entry'!O43</f>
        <v/>
      </c>
      <c r="D13" s="42" t="str">
        <f>IF(ISBLANK('Control Entry'!E43),"",'Control Entry'!E43)</f>
        <v/>
      </c>
      <c r="E13" s="34" t="str">
        <f>IF(ISBLANK('Control Entry'!G43),"",'Control Entry'!G43)</f>
        <v/>
      </c>
      <c r="F13" s="108" t="str">
        <f>IF(ISBLANK('Control Entry'!J43),"",'Control Entry'!J43)</f>
        <v/>
      </c>
      <c r="G13" s="109"/>
      <c r="H13" s="29" t="s">
        <v>29</v>
      </c>
      <c r="J13" s="15" t="s">
        <v>40</v>
      </c>
      <c r="L13" s="154"/>
      <c r="M13" s="154"/>
      <c r="N13" s="154"/>
      <c r="O13" s="19"/>
      <c r="P13" s="18" t="s">
        <v>41</v>
      </c>
      <c r="Q13" s="18"/>
      <c r="R13" s="156"/>
      <c r="S13" s="156"/>
      <c r="T13" s="156"/>
      <c r="U13" s="156"/>
    </row>
    <row r="14" spans="1:22" ht="36" customHeight="1" thickBot="1">
      <c r="A14" s="35"/>
      <c r="B14" s="36" t="str">
        <f>'Control Entry'!N43</f>
        <v/>
      </c>
      <c r="C14" s="36" t="str">
        <f>'Control Entry'!O43</f>
        <v/>
      </c>
      <c r="D14" s="37"/>
      <c r="E14" s="38" t="str">
        <f>IF(ISBLANK('Control Entry'!H43),"",'Control Entry'!H43)</f>
        <v/>
      </c>
      <c r="F14" s="113" t="str">
        <f>IF(ISBLANK('Control Entry'!K43),"",'Control Entry'!K43)</f>
        <v/>
      </c>
      <c r="G14" s="112"/>
      <c r="H14" s="29" t="s">
        <v>29</v>
      </c>
    </row>
    <row r="15" spans="1:22" ht="36" customHeight="1">
      <c r="A15" s="31"/>
      <c r="B15" s="32" t="str">
        <f>'Control Entry'!N44</f>
        <v/>
      </c>
      <c r="C15" s="32" t="str">
        <f>'Control Entry'!O44</f>
        <v/>
      </c>
      <c r="D15" s="39"/>
      <c r="E15" s="34" t="str">
        <f>IF(ISBLANK('Control Entry'!F44),"",'Control Entry'!F44)</f>
        <v/>
      </c>
      <c r="F15" s="108" t="str">
        <f>IF(ISBLANK('Control Entry'!I44),"",'Control Entry'!I44)</f>
        <v/>
      </c>
      <c r="G15" s="109"/>
      <c r="H15" s="29" t="s">
        <v>29</v>
      </c>
      <c r="J15" s="15"/>
      <c r="L15" s="145" t="s">
        <v>58</v>
      </c>
      <c r="M15" s="145"/>
      <c r="N15" s="145"/>
      <c r="O15" s="145"/>
      <c r="P15" s="145"/>
      <c r="Q15" s="145"/>
      <c r="R15" s="145"/>
      <c r="S15" s="145"/>
      <c r="T15" s="145"/>
      <c r="U15" s="145"/>
    </row>
    <row r="16" spans="1:22" ht="36" customHeight="1" thickBot="1">
      <c r="A16" s="40" t="str">
        <f>IF(ISBLANK('Control Entry'!D44),"",'Control Entry'!D44)</f>
        <v/>
      </c>
      <c r="B16" s="41" t="str">
        <f>'Control Entry'!N44</f>
        <v/>
      </c>
      <c r="C16" s="41" t="str">
        <f>'Control Entry'!O44</f>
        <v/>
      </c>
      <c r="D16" s="42" t="str">
        <f>IF(ISBLANK('Control Entry'!E44),"",'Control Entry'!E44)</f>
        <v/>
      </c>
      <c r="E16" s="34" t="str">
        <f>IF(ISBLANK('Control Entry'!G44),"",'Control Entry'!G44)</f>
        <v/>
      </c>
      <c r="F16" s="108" t="str">
        <f>IF(ISBLANK('Control Entry'!J44),"",'Control Entry'!J44)</f>
        <v/>
      </c>
      <c r="G16" s="109"/>
      <c r="H16" s="29" t="s">
        <v>29</v>
      </c>
      <c r="L16" s="158"/>
      <c r="M16" s="158"/>
      <c r="N16" s="158"/>
      <c r="O16" s="158"/>
      <c r="P16" s="158"/>
      <c r="Q16" s="158"/>
      <c r="R16" s="158"/>
      <c r="S16" s="158"/>
      <c r="T16" s="158"/>
      <c r="U16" s="158"/>
    </row>
    <row r="17" spans="1:22" ht="36" customHeight="1" thickBot="1">
      <c r="A17" s="35"/>
      <c r="B17" s="36" t="str">
        <f>'Control Entry'!N44</f>
        <v/>
      </c>
      <c r="C17" s="36" t="str">
        <f>'Control Entry'!O44</f>
        <v/>
      </c>
      <c r="D17" s="37"/>
      <c r="E17" s="38" t="str">
        <f>IF(ISBLANK('Control Entry'!H44),"",'Control Entry'!H44)</f>
        <v/>
      </c>
      <c r="F17" s="113" t="str">
        <f>IF(ISBLANK('Control Entry'!K44),"",'Control Entry'!K44)</f>
        <v/>
      </c>
      <c r="G17" s="112"/>
      <c r="H17" s="29" t="s">
        <v>29</v>
      </c>
    </row>
    <row r="18" spans="1:22" ht="36" customHeight="1">
      <c r="A18" s="31"/>
      <c r="B18" s="32" t="str">
        <f>'Control Entry'!N45</f>
        <v/>
      </c>
      <c r="C18" s="32" t="str">
        <f>'Control Entry'!O45</f>
        <v/>
      </c>
      <c r="D18" s="39"/>
      <c r="E18" s="34" t="str">
        <f>IF(ISBLANK('Control Entry'!F45),"",'Control Entry'!F45)</f>
        <v/>
      </c>
      <c r="F18" s="108" t="str">
        <f>IF(ISBLANK('Control Entry'!I45),"",'Control Entry'!I45)</f>
        <v/>
      </c>
      <c r="G18" s="109"/>
      <c r="H18" s="29" t="s">
        <v>29</v>
      </c>
    </row>
    <row r="19" spans="1:22" ht="36" customHeight="1">
      <c r="A19" s="40" t="str">
        <f>IF(ISBLANK('Control Entry'!D45),"",'Control Entry'!D45)</f>
        <v/>
      </c>
      <c r="B19" s="41" t="str">
        <f>'Control Entry'!N45</f>
        <v/>
      </c>
      <c r="C19" s="41" t="str">
        <f>'Control Entry'!O45</f>
        <v/>
      </c>
      <c r="D19" s="42" t="str">
        <f>IF(ISBLANK('Control Entry'!E45),"",'Control Entry'!E45)</f>
        <v/>
      </c>
      <c r="E19" s="34" t="str">
        <f>IF(ISBLANK('Control Entry'!G45),"",'Control Entry'!G45)</f>
        <v/>
      </c>
      <c r="F19" s="108" t="str">
        <f>IF(ISBLANK('Control Entry'!J45),"",'Control Entry'!J415)</f>
        <v/>
      </c>
      <c r="G19" s="109"/>
      <c r="H19" s="29" t="s">
        <v>29</v>
      </c>
    </row>
    <row r="20" spans="1:22" ht="36" customHeight="1" thickBot="1">
      <c r="A20" s="35"/>
      <c r="B20" s="36" t="str">
        <f>'Control Entry'!N45</f>
        <v/>
      </c>
      <c r="C20" s="36" t="str">
        <f>'Control Entry'!O45</f>
        <v/>
      </c>
      <c r="D20" s="37"/>
      <c r="E20" s="38" t="str">
        <f>IF(ISBLANK('Control Entry'!H45),"",'Control Entry'!H45)</f>
        <v/>
      </c>
      <c r="F20" s="113" t="str">
        <f>IF(ISBLANK('Control Entry'!K45),"",'Control Entry'!K45)</f>
        <v/>
      </c>
      <c r="G20" s="112"/>
      <c r="H20" s="29" t="s">
        <v>29</v>
      </c>
      <c r="J20" s="62" t="s">
        <v>44</v>
      </c>
      <c r="K20" s="62"/>
      <c r="L20" s="153">
        <f>IF(ISBLANK('Control Entry'!B11),"",'Control Entry'!B11)</f>
        <v>45087</v>
      </c>
      <c r="M20" s="153"/>
      <c r="N20" s="153"/>
      <c r="P20" s="18" t="s">
        <v>0</v>
      </c>
      <c r="Q20" s="18"/>
      <c r="S20" s="144">
        <f>IF(ISBLANK('Control Entry'!B12),"",'Control Entry'!B12)</f>
        <v>0.29166666666666669</v>
      </c>
      <c r="T20" s="144"/>
      <c r="U20" s="144"/>
    </row>
    <row r="21" spans="1:22" ht="36" customHeight="1">
      <c r="A21" s="31"/>
      <c r="B21" s="32" t="str">
        <f>'Control Entry'!N46</f>
        <v/>
      </c>
      <c r="C21" s="32" t="str">
        <f>'Control Entry'!O46</f>
        <v/>
      </c>
      <c r="D21" s="39"/>
      <c r="E21" s="34" t="str">
        <f>IF(ISBLANK('Control Entry'!F46),"",'Control Entry'!F46)</f>
        <v/>
      </c>
      <c r="F21" s="108" t="str">
        <f>IF(ISBLANK('Control Entry'!I46),"",'Control Entry'!I46)</f>
        <v/>
      </c>
      <c r="G21" s="109"/>
      <c r="H21" s="29" t="s">
        <v>29</v>
      </c>
      <c r="J21" s="62"/>
      <c r="K21" s="62"/>
      <c r="L21" s="60"/>
      <c r="M21" s="60"/>
      <c r="N21" s="60"/>
      <c r="P21" s="18"/>
      <c r="Q21" s="18"/>
      <c r="R21" s="23"/>
      <c r="S21" s="63"/>
      <c r="T21" s="63"/>
      <c r="U21" s="63"/>
      <c r="V21" s="30"/>
    </row>
    <row r="22" spans="1:22" ht="36" customHeight="1" thickBot="1">
      <c r="A22" s="40" t="str">
        <f>IF(ISBLANK('Control Entry'!D46),"",'Control Entry'!D46)</f>
        <v/>
      </c>
      <c r="B22" s="41" t="str">
        <f>'Control Entry'!N46</f>
        <v/>
      </c>
      <c r="C22" s="41" t="str">
        <f>'Control Entry'!O46</f>
        <v/>
      </c>
      <c r="D22" s="42" t="str">
        <f>IF(ISBLANK('Control Entry'!E46),"",'Control Entry'!E46)</f>
        <v/>
      </c>
      <c r="E22" s="34" t="str">
        <f>IF(ISBLANK('Control Entry'!G46),"",'Control Entry'!G46)</f>
        <v/>
      </c>
      <c r="F22" s="108" t="str">
        <f>IF(ISBLANK('Control Entry'!J46),"",'Control Entry'!J46)</f>
        <v/>
      </c>
      <c r="G22" s="109"/>
      <c r="H22" s="29" t="s">
        <v>29</v>
      </c>
      <c r="J22" s="90" t="s">
        <v>45</v>
      </c>
      <c r="K22" s="90"/>
      <c r="L22" s="114"/>
      <c r="M22" s="114"/>
      <c r="N22" s="114"/>
      <c r="O22" s="19"/>
      <c r="P22" s="18" t="s">
        <v>1</v>
      </c>
      <c r="Q22" s="18"/>
      <c r="R22" s="19"/>
      <c r="S22" s="128"/>
      <c r="T22" s="128"/>
      <c r="U22" s="128"/>
    </row>
    <row r="23" spans="1:22" ht="36" customHeight="1" thickBot="1">
      <c r="A23" s="35"/>
      <c r="B23" s="36" t="str">
        <f>'Control Entry'!N46</f>
        <v/>
      </c>
      <c r="C23" s="36" t="str">
        <f>'Control Entry'!O46</f>
        <v/>
      </c>
      <c r="D23" s="37"/>
      <c r="E23" s="38" t="str">
        <f>IF(ISBLANK('Control Entry'!H46),"",'Control Entry'!H46)</f>
        <v/>
      </c>
      <c r="F23" s="113" t="str">
        <f>IF(ISBLANK('Control Entry'!K46),"",'Control Entry'!K46)</f>
        <v/>
      </c>
      <c r="G23" s="112"/>
      <c r="H23" s="29" t="s">
        <v>29</v>
      </c>
      <c r="J23" s="90"/>
      <c r="K23" s="90"/>
      <c r="L23" s="60"/>
      <c r="M23" s="60"/>
      <c r="N23" s="60"/>
      <c r="O23" s="23"/>
      <c r="P23" s="59"/>
      <c r="Q23" s="59"/>
      <c r="R23" s="23"/>
      <c r="S23" s="23"/>
      <c r="T23" s="23"/>
      <c r="U23" s="23"/>
      <c r="V23" s="30"/>
    </row>
    <row r="24" spans="1:22" ht="36" customHeight="1" thickBot="1">
      <c r="A24" s="31"/>
      <c r="B24" s="32" t="str">
        <f>'Control Entry'!N47</f>
        <v/>
      </c>
      <c r="C24" s="32" t="str">
        <f>'Control Entry'!O47</f>
        <v/>
      </c>
      <c r="D24" s="39"/>
      <c r="E24" s="34" t="str">
        <f>IF(ISBLANK('Control Entry'!F47),"",'Control Entry'!F47)</f>
        <v/>
      </c>
      <c r="F24" s="108" t="str">
        <f>IF(ISBLANK('Control Entry'!I34),"",'Control Entry'!I34)</f>
        <v/>
      </c>
      <c r="G24" s="109"/>
      <c r="H24" s="29" t="s">
        <v>29</v>
      </c>
      <c r="J24" s="128"/>
      <c r="K24" s="128"/>
      <c r="L24" s="128"/>
      <c r="M24" s="128"/>
      <c r="N24" s="128"/>
      <c r="O24" s="19"/>
      <c r="P24" s="18" t="s">
        <v>2</v>
      </c>
      <c r="Q24" s="18"/>
      <c r="R24" s="19"/>
      <c r="S24" s="128"/>
      <c r="T24" s="128"/>
      <c r="U24" s="128"/>
    </row>
    <row r="25" spans="1:22" ht="36" customHeight="1">
      <c r="A25" s="40" t="str">
        <f>IF(ISBLANK('Control Entry'!D47),"",'Control Entry'!D47)</f>
        <v/>
      </c>
      <c r="B25" s="41" t="str">
        <f>'Control Entry'!N47</f>
        <v/>
      </c>
      <c r="C25" s="41" t="str">
        <f>'Control Entry'!O47</f>
        <v/>
      </c>
      <c r="D25" s="42" t="str">
        <f>IF(ISBLANK('Control Entry'!E47),"",'Control Entry'!E47)</f>
        <v/>
      </c>
      <c r="E25" s="34" t="str">
        <f>IF(ISBLANK('Control Entry'!G47),"",'Control Entry'!G47)</f>
        <v/>
      </c>
      <c r="F25" s="108" t="str">
        <f>IF(ISBLANK('Control Entry'!J34),"",'Control Entry'!J34)</f>
        <v/>
      </c>
      <c r="G25" s="109"/>
      <c r="H25" s="29" t="s">
        <v>29</v>
      </c>
      <c r="J25" s="142" t="s">
        <v>17</v>
      </c>
      <c r="K25" s="142"/>
      <c r="L25" s="142"/>
      <c r="M25" s="142"/>
      <c r="N25" s="142"/>
      <c r="O25" s="53"/>
      <c r="P25" s="139"/>
      <c r="Q25" s="139"/>
      <c r="R25" s="53"/>
      <c r="S25" s="140"/>
      <c r="T25" s="140"/>
      <c r="U25" s="140"/>
      <c r="V25" s="140"/>
    </row>
    <row r="26" spans="1:22" ht="36" customHeight="1" thickBot="1">
      <c r="A26" s="35"/>
      <c r="B26" s="36" t="str">
        <f>'Control Entry'!N47</f>
        <v/>
      </c>
      <c r="C26" s="36" t="str">
        <f>'Control Entry'!O47</f>
        <v/>
      </c>
      <c r="D26" s="37"/>
      <c r="E26" s="38" t="str">
        <f>IF(ISBLANK('Control Entry'!H47),"",'Control Entry'!H47)</f>
        <v/>
      </c>
      <c r="F26" s="113" t="str">
        <f>IF(ISBLANK('Control Entry'!K34),"",'Control Entry'!K34)</f>
        <v/>
      </c>
      <c r="G26" s="112"/>
      <c r="H26" s="29" t="s">
        <v>29</v>
      </c>
    </row>
    <row r="27" spans="1:22" ht="36" customHeight="1">
      <c r="A27" s="31"/>
      <c r="B27" s="32" t="str">
        <f>'Control Entry'!N48</f>
        <v/>
      </c>
      <c r="C27" s="32" t="str">
        <f>'Control Entry'!O48</f>
        <v/>
      </c>
      <c r="D27" s="39"/>
      <c r="E27" s="34" t="str">
        <f>IF(ISBLANK('Control Entry'!F48),"",'Control Entry'!F48)</f>
        <v/>
      </c>
      <c r="F27" s="108" t="str">
        <f>IF(ISBLANK('Control Entry'!I48),"",'Control Entry'!I48)</f>
        <v/>
      </c>
      <c r="G27" s="109"/>
      <c r="H27" s="29" t="s">
        <v>29</v>
      </c>
      <c r="K27" s="138" t="s">
        <v>56</v>
      </c>
      <c r="L27" s="139"/>
      <c r="M27" s="52" t="s">
        <v>57</v>
      </c>
      <c r="N27" s="139" t="s">
        <v>49</v>
      </c>
      <c r="O27" s="139"/>
      <c r="P27" s="139" t="s">
        <v>50</v>
      </c>
      <c r="Q27" s="139"/>
      <c r="R27" s="53" t="s">
        <v>51</v>
      </c>
      <c r="S27" s="140" t="s">
        <v>52</v>
      </c>
      <c r="T27" s="140"/>
      <c r="U27" s="140" t="s">
        <v>53</v>
      </c>
      <c r="V27" s="140"/>
    </row>
    <row r="28" spans="1:22" ht="36" customHeight="1">
      <c r="A28" s="40" t="str">
        <f>IF(ISBLANK('Control Entry'!D48),"",'Control Entry'!D48)</f>
        <v/>
      </c>
      <c r="B28" s="41" t="str">
        <f>'Control Entry'!N48</f>
        <v/>
      </c>
      <c r="C28" s="41" t="str">
        <f>'Control Entry'!O48</f>
        <v/>
      </c>
      <c r="D28" s="42" t="str">
        <f>IF(ISBLANK('Control Entry'!E48),"",'Control Entry'!E48)</f>
        <v/>
      </c>
      <c r="E28" s="34" t="str">
        <f>IF(ISBLANK('Control Entry'!G48),"",'Control Entry'!G48)</f>
        <v/>
      </c>
      <c r="F28" s="108" t="str">
        <f>IF(ISBLANK('Control Entry'!J48),"",'Control Entry'!J48)</f>
        <v/>
      </c>
      <c r="G28" s="109"/>
      <c r="H28" s="29" t="s">
        <v>29</v>
      </c>
    </row>
    <row r="29" spans="1:22" ht="36" customHeight="1" thickBot="1">
      <c r="A29" s="35"/>
      <c r="B29" s="36" t="str">
        <f>'Control Entry'!N48</f>
        <v/>
      </c>
      <c r="C29" s="36" t="str">
        <f>'Control Entry'!O48</f>
        <v/>
      </c>
      <c r="D29" s="37"/>
      <c r="E29" s="38" t="str">
        <f>IF(ISBLANK('Control Entry'!H48),"",'Control Entry'!H48)</f>
        <v/>
      </c>
      <c r="F29" s="113" t="str">
        <f>IF(ISBLANK('Control Entry'!K48),"",'Control Entry'!K48)</f>
        <v/>
      </c>
      <c r="G29" s="112"/>
      <c r="H29" s="29" t="s">
        <v>29</v>
      </c>
      <c r="M29" s="148" t="s">
        <v>42</v>
      </c>
      <c r="N29" s="148"/>
      <c r="O29" s="148"/>
      <c r="P29" s="148"/>
      <c r="Q29" s="148"/>
      <c r="R29" s="148"/>
      <c r="S29" s="148"/>
      <c r="T29" s="148"/>
      <c r="U29" s="57"/>
    </row>
    <row r="30" spans="1:22" ht="36" customHeight="1">
      <c r="A30" s="31"/>
      <c r="B30" s="32" t="str">
        <f>'Control Entry'!N49</f>
        <v/>
      </c>
      <c r="C30" s="32" t="str">
        <f>'Control Entry'!O49</f>
        <v/>
      </c>
      <c r="D30" s="39"/>
      <c r="E30" s="34" t="str">
        <f>IF(ISBLANK('Control Entry'!F49),"",'Control Entry'!F49)</f>
        <v/>
      </c>
      <c r="F30" s="108" t="str">
        <f>IF(ISBLANK('Control Entry'!I49),"",'Control Entry'!I49)</f>
        <v/>
      </c>
      <c r="G30" s="109"/>
      <c r="H30" s="29" t="s">
        <v>29</v>
      </c>
      <c r="M30" s="16"/>
      <c r="N30" s="21"/>
      <c r="O30" s="21"/>
      <c r="P30" s="22"/>
      <c r="Q30" s="21"/>
      <c r="R30" s="21"/>
      <c r="S30" s="21"/>
      <c r="T30" s="22"/>
      <c r="U30" s="23"/>
    </row>
    <row r="31" spans="1:22" ht="36" customHeight="1">
      <c r="A31" s="40" t="str">
        <f>IF(ISBLANK('Control Entry'!D49),"",'Control Entry'!D49)</f>
        <v/>
      </c>
      <c r="B31" s="41" t="str">
        <f>'Control Entry'!N49</f>
        <v/>
      </c>
      <c r="C31" s="41" t="str">
        <f>'Control Entry'!O49</f>
        <v/>
      </c>
      <c r="D31" s="42" t="str">
        <f>IF(ISBLANK('Control Entry'!E49),"",'Control Entry'!E49)</f>
        <v/>
      </c>
      <c r="E31" s="34" t="str">
        <f>IF(ISBLANK('Control Entry'!G49),"",'Control Entry'!G49)</f>
        <v/>
      </c>
      <c r="F31" s="108" t="str">
        <f>IF(ISBLANK('Control Entry'!J49),"",'Control Entry'!J49)</f>
        <v/>
      </c>
      <c r="G31" s="109"/>
      <c r="H31" s="29" t="s">
        <v>29</v>
      </c>
      <c r="M31" s="17"/>
      <c r="N31" s="23"/>
      <c r="O31" s="23"/>
      <c r="P31" s="24"/>
      <c r="Q31" s="23"/>
      <c r="R31" s="23"/>
      <c r="S31" s="23"/>
      <c r="T31" s="24"/>
      <c r="U31" s="23"/>
    </row>
    <row r="32" spans="1:22" ht="36" customHeight="1" thickBot="1">
      <c r="A32" s="35"/>
      <c r="B32" s="36" t="str">
        <f>'Control Entry'!N49</f>
        <v/>
      </c>
      <c r="C32" s="36" t="str">
        <f>'Control Entry'!O49</f>
        <v/>
      </c>
      <c r="D32" s="37"/>
      <c r="E32" s="38" t="str">
        <f>IF(ISBLANK('Control Entry'!H49),"",'Control Entry'!H49)</f>
        <v/>
      </c>
      <c r="F32" s="113" t="str">
        <f>IF(ISBLANK('Control Entry'!K49),"",'Control Entry'!K49)</f>
        <v/>
      </c>
      <c r="G32" s="112"/>
      <c r="H32" s="29" t="s">
        <v>29</v>
      </c>
      <c r="M32" s="55"/>
      <c r="N32" s="20"/>
      <c r="O32" s="20"/>
      <c r="P32" s="25"/>
      <c r="Q32" s="20"/>
      <c r="R32" s="20"/>
      <c r="S32" s="20"/>
      <c r="T32" s="25"/>
      <c r="U32" s="23"/>
    </row>
    <row r="33" spans="1:22" ht="36" customHeight="1">
      <c r="A33" s="137" t="s">
        <v>43</v>
      </c>
      <c r="B33" s="137"/>
      <c r="C33" s="137"/>
      <c r="D33" s="137"/>
      <c r="E33" s="137"/>
      <c r="F33" s="137"/>
      <c r="G33" s="137"/>
      <c r="H33" s="43"/>
      <c r="I33" s="43"/>
      <c r="M33" s="149" t="s">
        <v>82</v>
      </c>
      <c r="N33" s="150"/>
      <c r="O33" s="150"/>
      <c r="P33" s="150"/>
      <c r="Q33" s="151">
        <f>'Control Entry'!B3</f>
        <v>44674</v>
      </c>
      <c r="R33" s="152"/>
      <c r="S33" s="152"/>
      <c r="T33" s="152"/>
      <c r="U33" s="103"/>
      <c r="V33" s="60"/>
    </row>
    <row r="34" spans="1:22" ht="36" customHeight="1">
      <c r="A34"/>
      <c r="O34" s="49"/>
      <c r="P34" s="49"/>
      <c r="Q34" s="49"/>
      <c r="R34" s="48"/>
    </row>
    <row r="35" spans="1:22" ht="36" customHeight="1">
      <c r="A35"/>
      <c r="N35" s="148"/>
      <c r="O35" s="148"/>
      <c r="P35" s="148"/>
      <c r="Q35" s="148"/>
      <c r="R35" s="148"/>
      <c r="S35" s="148"/>
      <c r="T35" s="148"/>
      <c r="U35" s="148"/>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J24:N24"/>
    <mergeCell ref="S24:U24"/>
    <mergeCell ref="S11:U11"/>
    <mergeCell ref="L12:N12"/>
    <mergeCell ref="S12:U12"/>
    <mergeCell ref="L13:N13"/>
    <mergeCell ref="R13:U13"/>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Control Entry</vt:lpstr>
      <vt:lpstr>Control Card #1</vt:lpstr>
      <vt:lpstr>Control Card #2</vt:lpstr>
      <vt:lpstr>Control Card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Nigel</cp:lastModifiedBy>
  <cp:lastPrinted>2023-06-06T13:34:49Z</cp:lastPrinted>
  <dcterms:created xsi:type="dcterms:W3CDTF">1997-11-12T04:43:39Z</dcterms:created>
  <dcterms:modified xsi:type="dcterms:W3CDTF">2023-06-06T13:35:01Z</dcterms:modified>
</cp:coreProperties>
</file>