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7022"/>
  <workbookPr showInkAnnotation="0" checkCompatibility="1" autoCompressPictures="0"/>
  <bookViews>
    <workbookView xWindow="0" yWindow="0" windowWidth="25600" windowHeight="16060" tabRatio="509" activeTab="1"/>
  </bookViews>
  <sheets>
    <sheet name="Control Entry" sheetId="1" r:id="rId1"/>
    <sheet name="Control Card #1" sheetId="2" r:id="rId2"/>
    <sheet name="Control Card #2" sheetId="3" r:id="rId3"/>
    <sheet name="Control Card #3" sheetId="4" r:id="rId4"/>
  </sheets>
  <definedNames>
    <definedName name="Address_1" localSheetId="2">#REF!</definedName>
    <definedName name="Address_1" localSheetId="3">#REF!</definedName>
    <definedName name="Address_1">#REF!</definedName>
    <definedName name="Address_2" localSheetId="2">#REF!</definedName>
    <definedName name="Address_2" localSheetId="3">#REF!</definedName>
    <definedName name="Address_2">#REF!</definedName>
    <definedName name="brevet">'Control Entry'!$C$5</definedName>
    <definedName name="Brevet_Description">'Control Entry'!$B$7</definedName>
    <definedName name="Brevet_Length">'Control Entry'!$B$5</definedName>
    <definedName name="Brevet_Number">'Control Entry'!$B$8</definedName>
    <definedName name="City" localSheetId="2">#REF!</definedName>
    <definedName name="City" localSheetId="3">#REF!</definedName>
    <definedName name="City">#REF!</definedName>
    <definedName name="Close">'Control Entry'!$M$14:$M$23</definedName>
    <definedName name="Close_time">'Control Entry'!$O$14:$O$23</definedName>
    <definedName name="Control_1">'Control Entry'!$D$14:$O$14</definedName>
    <definedName name="Control_10">'Control Entry'!$D$23:$O$23</definedName>
    <definedName name="Control_11" localSheetId="2">'Control Entry'!#REF!</definedName>
    <definedName name="Control_11" localSheetId="3">'Control Entry'!#REF!</definedName>
    <definedName name="Control_11">'Control Entry'!#REF!</definedName>
    <definedName name="Control_12" localSheetId="2">'Control Entry'!#REF!</definedName>
    <definedName name="Control_12" localSheetId="3">'Control Entry'!#REF!</definedName>
    <definedName name="Control_12">'Control Entry'!#REF!</definedName>
    <definedName name="Control_13" localSheetId="2">'Control Entry'!#REF!</definedName>
    <definedName name="Control_13" localSheetId="3">'Control Entry'!#REF!</definedName>
    <definedName name="Control_13">'Control Entry'!#REF!</definedName>
    <definedName name="Control_14" localSheetId="2">'Control Entry'!#REF!</definedName>
    <definedName name="Control_14" localSheetId="3">'Control Entry'!#REF!</definedName>
    <definedName name="Control_14">'Control Entry'!#REF!</definedName>
    <definedName name="Control_15" localSheetId="2">'Control Entry'!#REF!</definedName>
    <definedName name="Control_15" localSheetId="3">'Control Entry'!#REF!</definedName>
    <definedName name="Control_15">'Control Entry'!#REF!</definedName>
    <definedName name="Control_16" localSheetId="2">'Control Entry'!#REF!</definedName>
    <definedName name="Control_16" localSheetId="3">'Control Entry'!#REF!</definedName>
    <definedName name="Control_16">'Control Entry'!#REF!</definedName>
    <definedName name="Control_17" localSheetId="2">'Control Entry'!#REF!</definedName>
    <definedName name="Control_17" localSheetId="3">'Control Entry'!#REF!</definedName>
    <definedName name="Control_17">'Control Entry'!#REF!</definedName>
    <definedName name="Control_18" localSheetId="2">'Control Entry'!#REF!</definedName>
    <definedName name="Control_18" localSheetId="3">'Control Entry'!#REF!</definedName>
    <definedName name="Control_18">'Control Entry'!#REF!</definedName>
    <definedName name="Control_19" localSheetId="2">'Control Entry'!#REF!</definedName>
    <definedName name="Control_19" localSheetId="3">'Control Entry'!#REF!</definedName>
    <definedName name="Control_19">'Control Entry'!#REF!</definedName>
    <definedName name="Control_2">'Control Entry'!$D$15:$O$15</definedName>
    <definedName name="Control_20" localSheetId="2">'Control Entry'!#REF!</definedName>
    <definedName name="Control_20" localSheetId="3">'Control Entry'!#REF!</definedName>
    <definedName name="Control_20">'Control Entry'!#REF!</definedName>
    <definedName name="Control_3">'Control Entry'!$D$16:$O$16</definedName>
    <definedName name="Control_4">'Control Entry'!$D$17:$O$17</definedName>
    <definedName name="Control_5">'Control Entry'!$D$18:$O$18</definedName>
    <definedName name="Control_6">'Control Entry'!$D$19:$O$19</definedName>
    <definedName name="Control_7">'Control Entry'!$D$20:$O$20</definedName>
    <definedName name="Control_8">'Control Entry'!$D$21:$O$21</definedName>
    <definedName name="Control_9">'Control Entry'!$D$22:$O$22</definedName>
    <definedName name="Country" localSheetId="2">#REF!</definedName>
    <definedName name="Country" localSheetId="3">#REF!</definedName>
    <definedName name="Country">#REF!</definedName>
    <definedName name="Distance">'Control Entry'!$D$14:$D$23</definedName>
    <definedName name="email" localSheetId="2">#REF!</definedName>
    <definedName name="email" localSheetId="3">#REF!</definedName>
    <definedName name="email">#REF!</definedName>
    <definedName name="Establishment_1">'Control Entry'!$F$14:$F$23</definedName>
    <definedName name="Establishment_2">'Control Entry'!$G$14:$G$23</definedName>
    <definedName name="Establishment_3">'Control Entry'!$H$14:$H$23</definedName>
    <definedName name="Fax" localSheetId="2">#REF!</definedName>
    <definedName name="Fax" localSheetId="3">#REF!</definedName>
    <definedName name="Fax">#REF!</definedName>
    <definedName name="First_Name" localSheetId="2">#REF!</definedName>
    <definedName name="First_Name" localSheetId="3">#REF!</definedName>
    <definedName name="First_Name">#REF!</definedName>
    <definedName name="Home_telephone" localSheetId="2">#REF!</definedName>
    <definedName name="Home_telephone" localSheetId="3">#REF!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2">#REF!</definedName>
    <definedName name="Initial" localSheetId="3">#REF!</definedName>
    <definedName name="Initial">#REF!</definedName>
    <definedName name="Locale">'Control Entry'!$E$14:$E$23</definedName>
    <definedName name="Max_time">'Control Entry'!$B$6</definedName>
    <definedName name="Open">'Control Entry'!$L$14:$L$23</definedName>
    <definedName name="Open_time">'Control Entry'!$N$14:$N$23</definedName>
    <definedName name="Postal_Code" localSheetId="2">#REF!</definedName>
    <definedName name="Postal_Code" localSheetId="3">#REF!</definedName>
    <definedName name="Postal_Code">#REF!</definedName>
    <definedName name="_xlnm.Print_Titles" localSheetId="1">'Control Card #1'!$1:$2</definedName>
    <definedName name="_xlnm.Print_Titles" localSheetId="2">'Control Card #2'!$1:$2</definedName>
    <definedName name="_xlnm.Print_Titles" localSheetId="3">'Control Card #3'!$1:$2</definedName>
    <definedName name="Province_State" localSheetId="2">#REF!</definedName>
    <definedName name="Province_State" localSheetId="3">#REF!</definedName>
    <definedName name="Province_State">#REF!</definedName>
    <definedName name="Start_date">'Control Entry'!$B$11</definedName>
    <definedName name="Start_time">'Control Entry'!$B$12</definedName>
    <definedName name="surname" localSheetId="2">#REF!</definedName>
    <definedName name="surname" localSheetId="3">#REF!</definedName>
    <definedName name="surname">#REF!</definedName>
    <definedName name="Work_telephone" localSheetId="2">#REF!</definedName>
    <definedName name="Work_telephone" localSheetId="3">#REF!</definedName>
    <definedName name="Work_telephone">#REF!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M41" i="1" l="1"/>
  <c r="M42" i="1"/>
  <c r="M43" i="1"/>
  <c r="M44" i="1"/>
  <c r="M45" i="1"/>
  <c r="M46" i="1"/>
  <c r="M47" i="1"/>
  <c r="M48" i="1"/>
  <c r="M49" i="1"/>
  <c r="M40" i="1"/>
  <c r="M28" i="1"/>
  <c r="M29" i="1"/>
  <c r="M30" i="1"/>
  <c r="M31" i="1"/>
  <c r="M32" i="1"/>
  <c r="M33" i="1"/>
  <c r="M34" i="1"/>
  <c r="M35" i="1"/>
  <c r="M36" i="1"/>
  <c r="M27" i="1"/>
  <c r="C5" i="1"/>
  <c r="B6" i="1"/>
  <c r="M20" i="1"/>
  <c r="M21" i="1"/>
  <c r="M22" i="1"/>
  <c r="M23" i="1"/>
  <c r="M19" i="1"/>
  <c r="M18" i="1"/>
  <c r="M17" i="1"/>
  <c r="M16" i="1"/>
  <c r="M15" i="1"/>
  <c r="S20" i="4"/>
  <c r="L20" i="4"/>
  <c r="S20" i="3"/>
  <c r="L20" i="3"/>
  <c r="S20" i="2"/>
  <c r="L20" i="2"/>
  <c r="Q33" i="4"/>
  <c r="Q33" i="3"/>
  <c r="Q33" i="2"/>
  <c r="F32" i="4"/>
  <c r="F31" i="4"/>
  <c r="F30" i="4"/>
  <c r="E32" i="4"/>
  <c r="E31" i="4"/>
  <c r="E30" i="4"/>
  <c r="D31" i="4"/>
  <c r="A31" i="4"/>
  <c r="F29" i="4"/>
  <c r="F28" i="4"/>
  <c r="F27" i="4"/>
  <c r="E29" i="4"/>
  <c r="E28" i="4"/>
  <c r="E27" i="4"/>
  <c r="D28" i="4"/>
  <c r="A28" i="4"/>
  <c r="E26" i="4"/>
  <c r="E25" i="4"/>
  <c r="E24" i="4"/>
  <c r="D25" i="4"/>
  <c r="A25" i="4"/>
  <c r="F23" i="4"/>
  <c r="F22" i="4"/>
  <c r="F21" i="4"/>
  <c r="E23" i="4"/>
  <c r="E22" i="4"/>
  <c r="E21" i="4"/>
  <c r="D22" i="4"/>
  <c r="A22" i="4"/>
  <c r="F20" i="4"/>
  <c r="F19" i="4"/>
  <c r="F18" i="4"/>
  <c r="E20" i="4"/>
  <c r="E19" i="4"/>
  <c r="E18" i="4"/>
  <c r="D19" i="4"/>
  <c r="A19" i="4"/>
  <c r="F17" i="4"/>
  <c r="F16" i="4"/>
  <c r="F15" i="4"/>
  <c r="E17" i="4"/>
  <c r="E16" i="4"/>
  <c r="E15" i="4"/>
  <c r="D16" i="4"/>
  <c r="A16" i="4"/>
  <c r="F13" i="4"/>
  <c r="F14" i="4"/>
  <c r="F12" i="4"/>
  <c r="E14" i="4"/>
  <c r="E13" i="4"/>
  <c r="E12" i="4"/>
  <c r="D13" i="4"/>
  <c r="A13" i="4"/>
  <c r="S3" i="4"/>
  <c r="S3" i="3"/>
  <c r="S3" i="2"/>
  <c r="A7" i="2"/>
  <c r="F11" i="4"/>
  <c r="F10" i="4"/>
  <c r="F9" i="4"/>
  <c r="E11" i="4"/>
  <c r="E10" i="4"/>
  <c r="E9" i="4"/>
  <c r="D10" i="4"/>
  <c r="A10" i="4"/>
  <c r="F8" i="4"/>
  <c r="F7" i="4"/>
  <c r="F6" i="4"/>
  <c r="E8" i="4"/>
  <c r="E7" i="4"/>
  <c r="E6" i="4"/>
  <c r="D7" i="4"/>
  <c r="A7" i="4"/>
  <c r="F5" i="4"/>
  <c r="F4" i="4"/>
  <c r="F3" i="4"/>
  <c r="E4" i="4"/>
  <c r="E3" i="4"/>
  <c r="D4" i="4"/>
  <c r="A4" i="4"/>
  <c r="O49" i="1"/>
  <c r="L49" i="1"/>
  <c r="N49" i="1"/>
  <c r="L48" i="1"/>
  <c r="L47" i="1"/>
  <c r="L46" i="1"/>
  <c r="L45" i="1"/>
  <c r="L44" i="1"/>
  <c r="L43" i="1"/>
  <c r="L42" i="1"/>
  <c r="L41" i="1"/>
  <c r="L40" i="1"/>
  <c r="F26" i="4"/>
  <c r="F25" i="4"/>
  <c r="F24" i="4"/>
  <c r="L6" i="4"/>
  <c r="R5" i="4"/>
  <c r="P5" i="4"/>
  <c r="E5" i="4"/>
  <c r="B30" i="4"/>
  <c r="B32" i="4"/>
  <c r="B31" i="4"/>
  <c r="C31" i="4"/>
  <c r="C30" i="4"/>
  <c r="C32" i="4"/>
  <c r="E8" i="3"/>
  <c r="E7" i="3"/>
  <c r="E5" i="3"/>
  <c r="F5" i="2"/>
  <c r="F32" i="2"/>
  <c r="F31" i="2"/>
  <c r="F30" i="2"/>
  <c r="F29" i="2"/>
  <c r="F28" i="2"/>
  <c r="F27" i="2"/>
  <c r="F26" i="2"/>
  <c r="F25" i="2"/>
  <c r="F24" i="2"/>
  <c r="F23" i="2"/>
  <c r="F22" i="2"/>
  <c r="F21" i="2"/>
  <c r="F20" i="2"/>
  <c r="F19" i="2"/>
  <c r="F18" i="2"/>
  <c r="F17" i="2"/>
  <c r="F16" i="2"/>
  <c r="F15" i="2"/>
  <c r="F14" i="2"/>
  <c r="F13" i="2"/>
  <c r="F12" i="2"/>
  <c r="F11" i="2"/>
  <c r="F10" i="2"/>
  <c r="F9" i="2"/>
  <c r="F8" i="2"/>
  <c r="F7" i="2"/>
  <c r="F6" i="2"/>
  <c r="F4" i="2"/>
  <c r="F3" i="2"/>
  <c r="L14" i="1"/>
  <c r="N14" i="1"/>
  <c r="L36" i="1"/>
  <c r="L35" i="1"/>
  <c r="L34" i="1"/>
  <c r="L33" i="1"/>
  <c r="L32" i="1"/>
  <c r="L31" i="1"/>
  <c r="L30" i="1"/>
  <c r="L29" i="1"/>
  <c r="L28" i="1"/>
  <c r="L27" i="1"/>
  <c r="F32" i="3"/>
  <c r="F31" i="3"/>
  <c r="F30" i="3"/>
  <c r="F29" i="3"/>
  <c r="F28" i="3"/>
  <c r="F27" i="3"/>
  <c r="F26" i="3"/>
  <c r="F25" i="3"/>
  <c r="F24" i="3"/>
  <c r="F23" i="3"/>
  <c r="F22" i="3"/>
  <c r="F21" i="3"/>
  <c r="F20" i="3"/>
  <c r="F19" i="3"/>
  <c r="F18" i="3"/>
  <c r="F17" i="3"/>
  <c r="F16" i="3"/>
  <c r="F15" i="3"/>
  <c r="F14" i="3"/>
  <c r="F13" i="3"/>
  <c r="F12" i="3"/>
  <c r="F11" i="3"/>
  <c r="F10" i="3"/>
  <c r="F9" i="3"/>
  <c r="F7" i="3"/>
  <c r="F8" i="3"/>
  <c r="F5" i="3"/>
  <c r="F6" i="3"/>
  <c r="F4" i="3"/>
  <c r="F3" i="3"/>
  <c r="E32" i="3"/>
  <c r="E31" i="3"/>
  <c r="E30" i="3"/>
  <c r="E29" i="3"/>
  <c r="E28" i="3"/>
  <c r="E27" i="3"/>
  <c r="E26" i="3"/>
  <c r="E25" i="3"/>
  <c r="E24" i="3"/>
  <c r="E23" i="3"/>
  <c r="E22" i="3"/>
  <c r="E21" i="3"/>
  <c r="E20" i="3"/>
  <c r="E19" i="3"/>
  <c r="E18" i="3"/>
  <c r="E17" i="3"/>
  <c r="E16" i="3"/>
  <c r="E15" i="3"/>
  <c r="E14" i="3"/>
  <c r="E13" i="3"/>
  <c r="E12" i="3"/>
  <c r="E11" i="3"/>
  <c r="E10" i="3"/>
  <c r="E9" i="3"/>
  <c r="E6" i="3"/>
  <c r="E4" i="3"/>
  <c r="E3" i="3"/>
  <c r="D31" i="3"/>
  <c r="D28" i="3"/>
  <c r="D25" i="3"/>
  <c r="D22" i="3"/>
  <c r="D19" i="3"/>
  <c r="D16" i="3"/>
  <c r="D13" i="3"/>
  <c r="D10" i="3"/>
  <c r="D7" i="3"/>
  <c r="D4" i="3"/>
  <c r="A31" i="3"/>
  <c r="A28" i="3"/>
  <c r="A25" i="3"/>
  <c r="A22" i="3"/>
  <c r="A19" i="3"/>
  <c r="A16" i="3"/>
  <c r="A13" i="3"/>
  <c r="A10" i="3"/>
  <c r="A7" i="3"/>
  <c r="A4" i="3"/>
  <c r="L23" i="1"/>
  <c r="L22" i="1"/>
  <c r="L21" i="1"/>
  <c r="L20" i="1"/>
  <c r="L19" i="1"/>
  <c r="L18" i="1"/>
  <c r="L17" i="1"/>
  <c r="L16" i="1"/>
  <c r="L15" i="1"/>
  <c r="L6" i="3"/>
  <c r="R5" i="3"/>
  <c r="P5" i="3"/>
  <c r="M4" i="3"/>
  <c r="L6" i="2"/>
  <c r="R5" i="2"/>
  <c r="P5"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D25" i="2"/>
  <c r="D28" i="2"/>
  <c r="D31" i="2"/>
  <c r="A31" i="2"/>
  <c r="A4" i="2"/>
  <c r="D19" i="2"/>
  <c r="D16" i="2"/>
  <c r="D13" i="2"/>
  <c r="D10" i="2"/>
  <c r="D7" i="2"/>
  <c r="D4" i="2"/>
  <c r="D22" i="2"/>
  <c r="A28" i="2"/>
  <c r="A25" i="2"/>
  <c r="A22" i="2"/>
  <c r="A19" i="2"/>
  <c r="A10" i="2"/>
  <c r="A16" i="2"/>
  <c r="A13" i="2"/>
  <c r="O45" i="1"/>
  <c r="O44" i="1"/>
  <c r="O42" i="1"/>
  <c r="O46" i="1"/>
  <c r="O47" i="1"/>
  <c r="O48" i="1"/>
  <c r="N47" i="1"/>
  <c r="N41" i="1"/>
  <c r="N46" i="1"/>
  <c r="N42" i="1"/>
  <c r="N44" i="1"/>
  <c r="N48" i="1"/>
  <c r="N45" i="1"/>
  <c r="N43" i="1"/>
  <c r="O41" i="1"/>
  <c r="N40" i="1"/>
  <c r="O43" i="1"/>
  <c r="O40" i="1"/>
  <c r="M4" i="4"/>
  <c r="O16" i="1"/>
  <c r="M14" i="1"/>
  <c r="O14" i="1"/>
  <c r="C3" i="2"/>
  <c r="N30" i="1"/>
  <c r="B4" i="2"/>
  <c r="O18" i="1"/>
  <c r="C17" i="2"/>
  <c r="N17" i="1"/>
  <c r="B14" i="2"/>
  <c r="O22" i="1"/>
  <c r="C27" i="2"/>
  <c r="N27" i="1"/>
  <c r="N33" i="1"/>
  <c r="O17" i="1"/>
  <c r="N21" i="1"/>
  <c r="B25" i="2"/>
  <c r="O33" i="1"/>
  <c r="B3" i="2"/>
  <c r="O19" i="1"/>
  <c r="O21" i="1"/>
  <c r="C26" i="2"/>
  <c r="O32" i="1"/>
  <c r="B5" i="2"/>
  <c r="N16" i="1"/>
  <c r="B11" i="2"/>
  <c r="N20" i="1"/>
  <c r="B22" i="2"/>
  <c r="N23" i="1"/>
  <c r="B31" i="2"/>
  <c r="N34" i="1"/>
  <c r="O36" i="1"/>
  <c r="N36" i="1"/>
  <c r="O23" i="1"/>
  <c r="C31" i="2"/>
  <c r="N15" i="1"/>
  <c r="B6" i="2"/>
  <c r="N19" i="1"/>
  <c r="B19" i="2"/>
  <c r="O20" i="1"/>
  <c r="C23" i="2"/>
  <c r="N28" i="1"/>
  <c r="N31" i="1"/>
  <c r="O15" i="1"/>
  <c r="N18" i="1"/>
  <c r="B17" i="2"/>
  <c r="N22" i="1"/>
  <c r="B27" i="2"/>
  <c r="N29" i="1"/>
  <c r="N32" i="1"/>
  <c r="N35" i="1"/>
  <c r="O29" i="1"/>
  <c r="O28" i="1"/>
  <c r="M4" i="2"/>
  <c r="O35" i="1"/>
  <c r="O31" i="1"/>
  <c r="O27" i="1"/>
  <c r="O34" i="1"/>
  <c r="O30" i="1"/>
  <c r="B13" i="4"/>
  <c r="B12" i="4"/>
  <c r="B14" i="4"/>
  <c r="B29" i="4"/>
  <c r="B28" i="4"/>
  <c r="B27" i="4"/>
  <c r="C15" i="4"/>
  <c r="C17" i="4"/>
  <c r="C16" i="4"/>
  <c r="B23" i="4"/>
  <c r="B22" i="4"/>
  <c r="B21" i="4"/>
  <c r="B17" i="4"/>
  <c r="B16" i="4"/>
  <c r="B15" i="4"/>
  <c r="B25" i="4"/>
  <c r="B24" i="4"/>
  <c r="B26" i="4"/>
  <c r="C29" i="4"/>
  <c r="C28" i="4"/>
  <c r="C27" i="4"/>
  <c r="C21" i="4"/>
  <c r="C23" i="4"/>
  <c r="C22" i="4"/>
  <c r="C4" i="2"/>
  <c r="C14" i="4"/>
  <c r="C13" i="4"/>
  <c r="C12" i="4"/>
  <c r="B19" i="4"/>
  <c r="B18" i="4"/>
  <c r="B20" i="4"/>
  <c r="C20" i="4"/>
  <c r="C19" i="4"/>
  <c r="C18" i="4"/>
  <c r="C26" i="4"/>
  <c r="C25" i="4"/>
  <c r="C24" i="4"/>
  <c r="C8" i="4"/>
  <c r="C7" i="4"/>
  <c r="C6" i="4"/>
  <c r="C10" i="4"/>
  <c r="C9" i="4"/>
  <c r="C11" i="4"/>
  <c r="B8" i="4"/>
  <c r="B7" i="4"/>
  <c r="B6" i="4"/>
  <c r="B9" i="4"/>
  <c r="B11" i="4"/>
  <c r="B10" i="4"/>
  <c r="B5" i="4"/>
  <c r="B4" i="4"/>
  <c r="B3" i="4"/>
  <c r="C3" i="4"/>
  <c r="C5" i="4"/>
  <c r="C4" i="4"/>
  <c r="C19" i="3"/>
  <c r="B21" i="3"/>
  <c r="B29" i="3"/>
  <c r="B6" i="3"/>
  <c r="B26" i="3"/>
  <c r="B5" i="3"/>
  <c r="B11" i="3"/>
  <c r="C23" i="3"/>
  <c r="B32" i="3"/>
  <c r="B16" i="3"/>
  <c r="C31" i="3"/>
  <c r="C5" i="2"/>
  <c r="B19" i="3"/>
  <c r="B14" i="3"/>
  <c r="B25" i="3"/>
  <c r="C16" i="2"/>
  <c r="B13" i="3"/>
  <c r="B12" i="3"/>
  <c r="B21" i="2"/>
  <c r="B26" i="2"/>
  <c r="C15" i="2"/>
  <c r="C30" i="3"/>
  <c r="B3" i="3"/>
  <c r="C25" i="2"/>
  <c r="B8" i="2"/>
  <c r="B12" i="2"/>
  <c r="B13" i="2"/>
  <c r="B22" i="3"/>
  <c r="B30" i="3"/>
  <c r="B27" i="3"/>
  <c r="B8" i="3"/>
  <c r="C29" i="2"/>
  <c r="B18" i="3"/>
  <c r="B29" i="2"/>
  <c r="B15" i="2"/>
  <c r="B31" i="3"/>
  <c r="B18" i="2"/>
  <c r="B10" i="3"/>
  <c r="B32" i="2"/>
  <c r="C28" i="2"/>
  <c r="C24" i="2"/>
  <c r="C30" i="2"/>
  <c r="B20" i="2"/>
  <c r="C22" i="3"/>
  <c r="B24" i="3"/>
  <c r="B28" i="3"/>
  <c r="B7" i="3"/>
  <c r="B4" i="3"/>
  <c r="B16" i="2"/>
  <c r="B7" i="2"/>
  <c r="C19" i="2"/>
  <c r="C18" i="2"/>
  <c r="C20" i="2"/>
  <c r="C13" i="2"/>
  <c r="C12" i="2"/>
  <c r="C14" i="2"/>
  <c r="B23" i="3"/>
  <c r="B9" i="2"/>
  <c r="B30" i="2"/>
  <c r="C32" i="2"/>
  <c r="B10" i="2"/>
  <c r="B9" i="3"/>
  <c r="B24" i="2"/>
  <c r="C21" i="3"/>
  <c r="C18" i="3"/>
  <c r="B20" i="3"/>
  <c r="C9" i="2"/>
  <c r="C10" i="2"/>
  <c r="B28" i="2"/>
  <c r="B23" i="2"/>
  <c r="B17" i="3"/>
  <c r="C8" i="2"/>
  <c r="C7" i="2"/>
  <c r="C22" i="2"/>
  <c r="C21" i="2"/>
  <c r="C11" i="2"/>
  <c r="C20" i="3"/>
  <c r="B15" i="3"/>
  <c r="C32" i="3"/>
  <c r="C6" i="2"/>
  <c r="C6" i="3"/>
  <c r="C7" i="3"/>
  <c r="C8" i="3"/>
  <c r="C11" i="3"/>
  <c r="C9" i="3"/>
  <c r="C10" i="3"/>
  <c r="C13" i="3"/>
  <c r="C14" i="3"/>
  <c r="C12" i="3"/>
  <c r="C4" i="3"/>
  <c r="C5" i="3"/>
  <c r="C3" i="3"/>
  <c r="C25" i="3"/>
  <c r="C26" i="3"/>
  <c r="C24" i="3"/>
  <c r="C15" i="3"/>
  <c r="C16" i="3"/>
  <c r="C17" i="3"/>
  <c r="C27" i="3"/>
  <c r="C28" i="3"/>
  <c r="C29" i="3"/>
</calcChain>
</file>

<file path=xl/comments1.xml><?xml version="1.0" encoding="utf-8"?>
<comments xmlns="http://schemas.openxmlformats.org/spreadsheetml/2006/main">
  <authors>
    <author>Stephen Hinde</author>
    <author>A satisfied Microsoft Office user</author>
  </authors>
  <commentList>
    <comment ref="B5" authorId="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
</t>
        </r>
        <r>
          <rPr>
            <sz val="10"/>
            <color rgb="FF000000"/>
            <rFont val="Tahoma"/>
            <family val="2"/>
          </rPr>
          <t>eg 200, 300, 400, 600</t>
        </r>
      </text>
    </comment>
    <comment ref="B6" authorId="1">
      <text>
        <r>
          <rPr>
            <sz val="8"/>
            <color rgb="FF000000"/>
            <rFont val="Tahoma"/>
            <family val="2"/>
          </rPr>
          <t>Autocalculated based on ACP specified times</t>
        </r>
      </text>
    </comment>
    <comment ref="B8" authorId="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9" authorId="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B11" authorId="0">
      <text>
        <r>
          <rPr>
            <b/>
            <sz val="10"/>
            <color rgb="FF000000"/>
            <rFont val="Tahoma"/>
            <family val="2"/>
          </rPr>
          <t>Stephen Hinde:</t>
        </r>
        <r>
          <rPr>
            <sz val="10"/>
            <color rgb="FF000000"/>
            <rFont val="Tahoma"/>
            <family val="2"/>
          </rPr>
          <t xml:space="preserve">
</t>
        </r>
        <r>
          <rPr>
            <sz val="10"/>
            <color rgb="FF000000"/>
            <rFont val="Tahoma"/>
            <family val="2"/>
          </rPr>
          <t xml:space="preserve">Ride date
</t>
        </r>
      </text>
    </comment>
    <comment ref="B12" authorId="0">
      <text>
        <r>
          <rPr>
            <b/>
            <sz val="10"/>
            <color rgb="FF000000"/>
            <rFont val="Tahoma"/>
            <family val="2"/>
          </rPr>
          <t>Stephen Hinde:</t>
        </r>
        <r>
          <rPr>
            <sz val="10"/>
            <color rgb="FF000000"/>
            <rFont val="Tahoma"/>
            <family val="2"/>
          </rPr>
          <t xml:space="preserve">
</t>
        </r>
        <r>
          <rPr>
            <sz val="10"/>
            <color rgb="FF000000"/>
            <rFont val="Tahoma"/>
            <family val="2"/>
          </rPr>
          <t xml:space="preserve">24hr clock format
</t>
        </r>
        <r>
          <rPr>
            <sz val="10"/>
            <color rgb="FF000000"/>
            <rFont val="Tahoma"/>
            <family val="2"/>
          </rPr>
          <t>hh:mm</t>
        </r>
      </text>
    </comment>
  </commentList>
</comments>
</file>

<file path=xl/sharedStrings.xml><?xml version="1.0" encoding="utf-8"?>
<sst xmlns="http://schemas.openxmlformats.org/spreadsheetml/2006/main" count="322" uniqueCount="112">
  <si>
    <t>Start time</t>
  </si>
  <si>
    <t>Finish time</t>
  </si>
  <si>
    <t>Elapsed time</t>
  </si>
  <si>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</si>
  <si>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</si>
  <si>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</si>
  <si>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</si>
  <si>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</si>
  <si>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</si>
  <si>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</si>
  <si>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</si>
  <si>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</si>
  <si>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</si>
  <si>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</si>
  <si>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</si>
  <si>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</si>
  <si>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</si>
  <si>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</si>
  <si>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</si>
  <si>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</si>
  <si>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</si>
  <si>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</si>
  <si>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</si>
  <si>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</si>
  <si>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</si>
  <si>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</si>
  <si>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</si>
  <si>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</si>
  <si>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</si>
  <si>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t>
  </si>
  <si>
    <t>DIST (km)</t>
  </si>
  <si>
    <t>Establishment</t>
  </si>
  <si>
    <t>Time of Passage</t>
  </si>
  <si>
    <t>Control Card</t>
  </si>
  <si>
    <t>Name</t>
  </si>
  <si>
    <t>Address</t>
  </si>
  <si>
    <t>City</t>
  </si>
  <si>
    <t>Province/State</t>
  </si>
  <si>
    <t>Country</t>
  </si>
  <si>
    <t>Postal Code</t>
  </si>
  <si>
    <t>Telephone</t>
  </si>
  <si>
    <t>email</t>
  </si>
  <si>
    <t>Randonneur Committee Authorization</t>
  </si>
  <si>
    <t>Report results or abandonment through registration email link</t>
  </si>
  <si>
    <t>Start Date</t>
  </si>
  <si>
    <t>Finish Date</t>
  </si>
  <si>
    <t>Member #</t>
  </si>
  <si>
    <t xml:space="preserve">Brevet No. </t>
  </si>
  <si>
    <t>Schedule date:</t>
  </si>
  <si>
    <t>Single</t>
  </si>
  <si>
    <t>Tandem</t>
  </si>
  <si>
    <t>Fixed</t>
  </si>
  <si>
    <t>Recumbent</t>
  </si>
  <si>
    <t>Velomobile</t>
  </si>
  <si>
    <t>(only add if change needed to database)</t>
  </si>
  <si>
    <t>Founding member of LES RANDONNEURS MONDIAUX (1983)</t>
  </si>
  <si>
    <t>Bicycle Type
Circle one</t>
  </si>
  <si>
    <t>-------&gt;</t>
  </si>
  <si>
    <t>Ride Day Emergency Contact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</si>
  <si>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</si>
  <si>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</si>
  <si>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</si>
  <si>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</si>
  <si>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</si>
  <si>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</si>
  <si>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</si>
  <si>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</si>
  <si>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</si>
  <si>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</si>
  <si>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Fill in the control distance.  The opening and closing times will be automatically calculated based on the start time and the brevet distance.  If you need more than 10 controls, use card #2, otherwise leave that section blank.</t>
  </si>
  <si>
    <t>When using information controls, you can put your question in the Signature/Answer section eg Sig/Ans.1 Sign on main door  Sig/Ans. 2  This week's special is?  Sig/Ans. 3 ________________</t>
  </si>
  <si>
    <t>Control Card #1 Information Control Question (optional)</t>
  </si>
  <si>
    <t>Control Card #2 Information Control Question (optional)</t>
  </si>
  <si>
    <t xml:space="preserve">Control Card </t>
  </si>
  <si>
    <r>
      <t xml:space="preserve">At each control, please have signed or </t>
    </r>
    <r>
      <rPr>
        <b/>
        <i/>
        <sz val="16"/>
        <rFont val="Arial"/>
        <family val="2"/>
      </rPr>
      <t>answer question</t>
    </r>
    <r>
      <rPr>
        <i/>
        <sz val="16"/>
        <rFont val="Arial"/>
        <family val="2"/>
      </rPr>
      <t xml:space="preserve"> and</t>
    </r>
    <r>
      <rPr>
        <b/>
        <i/>
        <sz val="16"/>
        <rFont val="Arial"/>
        <family val="2"/>
      </rPr>
      <t xml:space="preserve"> note time of day</t>
    </r>
  </si>
  <si>
    <t>Enter the start time.  This will be the official ACP listed start time found on the event page, unless a ride window has been enabled.</t>
  </si>
  <si>
    <t>Enter the start date.  This will be the same as the schedule date, exceot for pre-rides or unless a ride window has been enabled.</t>
  </si>
  <si>
    <t>Control Card #2</t>
  </si>
  <si>
    <t>Control Card #3 Information Control Question (optional)</t>
  </si>
  <si>
    <t>Control Card #3</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</si>
  <si>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</si>
  <si>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Control Card #1</t>
  </si>
  <si>
    <t xml:space="preserve">Template Revised:  </t>
  </si>
  <si>
    <t>DO NOT DELETE OR MOVE ROWS OR COLUMNS (delete contents of cells only)</t>
  </si>
  <si>
    <t>Fill in the Locale (city) for each control.  Establishment 1, 2, and 3 can be used to describe the control itself eg Locale HOPE  Est.1 Dairy Queen Est.2 817 Water Ave Est. 3 (left blank)</t>
  </si>
  <si>
    <t>Scroll right to see further instructions</t>
  </si>
  <si>
    <t>You can create 3 control cards  (upto 30 controls) for one event, or 3 control cards (up to 10 controls) with different start loctions for a single event.  Put a distance greater than zero in the first distance field of card 2 or 3 to have a single event.  Put zero in the same distance field to create a new start location for the event.  Control Card #1 will only show '#1' if a distance, not zero, is entered into the first distance box for Control Card #2.  Similarly for Control Card #3</t>
  </si>
  <si>
    <t>Burnaby</t>
  </si>
  <si>
    <t>Starbucks</t>
  </si>
  <si>
    <t>6568 Hastings St</t>
  </si>
  <si>
    <t>Abbotsford</t>
  </si>
  <si>
    <t xml:space="preserve">Straiton Rd &amp; </t>
  </si>
  <si>
    <t>Sumas Mountian Rd</t>
  </si>
  <si>
    <t>Word on tag?</t>
  </si>
  <si>
    <t>Back of Stop Sign</t>
  </si>
  <si>
    <t>Birchwood Dairy</t>
  </si>
  <si>
    <t>2nd Ave &amp; B St</t>
  </si>
  <si>
    <t>Langley</t>
  </si>
  <si>
    <t>Allard Crescent &amp;</t>
  </si>
  <si>
    <t>208 St</t>
  </si>
  <si>
    <t>Coquitlam</t>
  </si>
  <si>
    <t>David Ave &amp;</t>
  </si>
  <si>
    <t>Heritage Mountian Blvd</t>
  </si>
  <si>
    <t>Secret Control</t>
  </si>
  <si>
    <t xml:space="preserve">Hop &amp; Vine </t>
  </si>
  <si>
    <t>Taphouse</t>
  </si>
  <si>
    <t>Coffee, Ice Cream &amp; Beer</t>
  </si>
  <si>
    <t>Cross Walk Sign</t>
  </si>
  <si>
    <t>License Plate # ?</t>
  </si>
  <si>
    <t>Vintage Red Truck on display</t>
  </si>
  <si>
    <t>Bert Flinn Park</t>
  </si>
  <si>
    <t>_ _ _ _ _ _ _ _ _ _ _</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</si>
</sst>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d/mmm/yy\ hh:mm\ AM/PM"/>
    <numFmt numFmtId="165" formatCode="d/mmm/yy"/>
    <numFmt numFmtId="166" formatCode="dddd"/>
    <numFmt numFmtId="167" formatCode="0.0"/>
    <numFmt numFmtId="168" formatCode="mmmm\ d\,\ yyyy"/>
    <numFmt numFmtId="169" formatCode="[&lt;=9999999]###\-####;\(###\)\ ###\-####"/>
  </numFmts>
  <fonts count="34"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i/>
      <sz val="14"/>
      <name val="Arial"/>
      <family val="2"/>
    </font>
    <font>
      <sz val="18"/>
      <name val="Arial"/>
      <family val="2"/>
    </font>
    <font>
      <sz val="14"/>
      <name val="Arial Narrow"/>
      <family val="2"/>
    </font>
    <font>
      <b/>
      <sz val="14"/>
      <name val="Arial Narrow"/>
      <family val="2"/>
    </font>
    <font>
      <b/>
      <sz val="16"/>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0"/>
      <color rgb="FFFF0000"/>
      <name val="Arial"/>
      <family val="2"/>
    </font>
    <font>
      <sz val="12"/>
      <name val="Arial Narrow"/>
      <family val="2"/>
    </font>
    <font>
      <b/>
      <sz val="12"/>
      <name val="Arial Narrow"/>
      <family val="2"/>
    </font>
    <font>
      <sz val="20"/>
      <color theme="0" tint="-0.249977111117893"/>
      <name val="Impact"/>
      <family val="2"/>
    </font>
    <font>
      <sz val="16"/>
      <color rgb="FFFF0000"/>
      <name val="Arial"/>
      <family val="2"/>
    </font>
    <font>
      <sz val="9"/>
      <name val="Arial"/>
      <family val="2"/>
    </font>
  </fonts>
  <fills count="3">
    <fill>
      <patternFill patternType="none"/>
    </fill>
    <fill>
      <patternFill patternType="gray125"/>
    </fill>
    <fill>
      <patternFill patternType="solid">
        <fgColor indexed="22"/>
        <bgColor indexed="64"/>
      </patternFill>
    </fill>
  </fills>
  <borders count="31">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s>
  <cellStyleXfs count="360">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0" borderId="0"/>
    <xf numFmtId="0" fontId="4" fillId="0" borderId="0"/>
    <xf numFmtId="0" fontId="5" fillId="0" borderId="0"/>
    <xf numFmtId="0" fontId="3" fillId="0" borderId="0"/>
    <xf numFmtId="0" fontId="2" fillId="0" borderId="0"/>
    <xf numFmtId="0" fontId="1"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59">
    <xf numFmtId="0" fontId="0" fillId="0" borderId="0" xfId="0"/>
    <xf numFmtId="0" fontId="0" fillId="0" borderId="16" xfId="0" applyBorder="1"/>
    <xf numFmtId="0" fontId="0" fillId="0" borderId="0" xfId="0" applyAlignment="1">
      <alignment horizontal="right"/>
    </xf>
    <xf numFmtId="0" fontId="0" fillId="0" borderId="0" xfId="0" applyProtection="1">
      <protection hidden="1"/>
    </xf>
    <xf numFmtId="164" fontId="0" fillId="0" borderId="0" xfId="0" applyNumberFormat="1" applyBorder="1"/>
    <xf numFmtId="164" fontId="0" fillId="0" borderId="0" xfId="0" applyNumberFormat="1" applyBorder="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2" borderId="4" xfId="0" applyFill="1" applyBorder="1"/>
    <xf numFmtId="0" fontId="0" fillId="0" borderId="0" xfId="0" applyAlignment="1">
      <alignment vertical="top" textRotation="90"/>
    </xf>
    <xf numFmtId="0" fontId="10" fillId="0" borderId="0" xfId="0" applyFont="1"/>
    <xf numFmtId="0" fontId="0" fillId="0" borderId="19" xfId="0" applyBorder="1"/>
    <xf numFmtId="0" fontId="0" fillId="0" borderId="6" xfId="0" applyBorder="1"/>
    <xf numFmtId="0" fontId="10" fillId="0" borderId="0" xfId="0" applyFont="1" applyProtection="1"/>
    <xf numFmtId="0" fontId="0" fillId="0" borderId="0" xfId="0" applyProtection="1"/>
    <xf numFmtId="0" fontId="0" fillId="0" borderId="18" xfId="0" applyBorder="1" applyProtection="1"/>
    <xf numFmtId="0" fontId="0" fillId="0" borderId="20" xfId="0" applyBorder="1" applyProtection="1"/>
    <xf numFmtId="0" fontId="0" fillId="0" borderId="21" xfId="0" applyBorder="1" applyProtection="1"/>
    <xf numFmtId="0" fontId="0" fillId="0" borderId="0" xfId="0" applyBorder="1" applyProtection="1"/>
    <xf numFmtId="0" fontId="0" fillId="0" borderId="17" xfId="0" applyBorder="1" applyProtection="1"/>
    <xf numFmtId="0" fontId="0" fillId="0" borderId="8" xfId="0" applyBorder="1" applyProtection="1"/>
    <xf numFmtId="0" fontId="0" fillId="0" borderId="0" xfId="0" applyBorder="1" applyAlignment="1" applyProtection="1">
      <alignment horizontal="centerContinuous"/>
      <protection hidden="1"/>
    </xf>
    <xf numFmtId="0" fontId="0" fillId="0" borderId="0" xfId="0" applyBorder="1" applyAlignment="1">
      <alignment horizontal="centerContinuous"/>
    </xf>
    <xf numFmtId="167" fontId="0" fillId="0" borderId="13" xfId="0" applyNumberFormat="1" applyBorder="1" applyProtection="1">
      <protection locked="0"/>
    </xf>
    <xf numFmtId="0" fontId="0" fillId="0" borderId="0" xfId="0" applyBorder="1" applyAlignment="1">
      <alignment horizontal="center"/>
    </xf>
    <xf numFmtId="0" fontId="0" fillId="0" borderId="0" xfId="0" applyBorder="1"/>
    <xf numFmtId="167" fontId="13" fillId="0" borderId="16" xfId="0" applyNumberFormat="1" applyFont="1" applyBorder="1" applyAlignment="1">
      <alignment horizontal="center" wrapText="1"/>
    </xf>
    <xf numFmtId="166" fontId="13" fillId="0" borderId="16" xfId="0" applyNumberFormat="1" applyFont="1" applyBorder="1" applyAlignment="1">
      <alignment horizontal="center" vertical="center" wrapText="1"/>
    </xf>
    <xf numFmtId="0" fontId="13" fillId="0" borderId="17" xfId="0" applyFont="1" applyBorder="1" applyAlignment="1">
      <alignment horizontal="center" vertical="center"/>
    </xf>
    <xf numFmtId="0" fontId="14" fillId="0" borderId="16" xfId="0" applyFont="1" applyBorder="1" applyAlignment="1">
      <alignment horizontal="center" vertical="center" wrapText="1"/>
    </xf>
    <xf numFmtId="167" fontId="13" fillId="0" borderId="7" xfId="0" applyNumberFormat="1" applyFont="1" applyBorder="1"/>
    <xf numFmtId="165" fontId="13" fillId="0" borderId="7" xfId="0" applyNumberFormat="1" applyFont="1" applyBorder="1" applyAlignment="1">
      <alignment horizontal="center" vertical="center" wrapText="1"/>
    </xf>
    <xf numFmtId="0" fontId="13" fillId="0" borderId="18" xfId="0" applyFont="1" applyBorder="1" applyAlignment="1">
      <alignment horizontal="center" vertical="center"/>
    </xf>
    <xf numFmtId="0" fontId="14" fillId="0" borderId="7" xfId="0" applyFont="1" applyBorder="1" applyAlignment="1">
      <alignment horizontal="center" vertical="center" wrapText="1"/>
    </xf>
    <xf numFmtId="0" fontId="13" fillId="0" borderId="16" xfId="0" applyFont="1" applyBorder="1" applyAlignment="1">
      <alignment horizontal="center" vertical="center"/>
    </xf>
    <xf numFmtId="167" fontId="15" fillId="0" borderId="16" xfId="0" applyNumberFormat="1" applyFont="1" applyBorder="1" applyAlignment="1">
      <alignment horizontal="center" vertical="center"/>
    </xf>
    <xf numFmtId="18" fontId="15" fillId="0" borderId="16" xfId="0" applyNumberFormat="1" applyFont="1" applyBorder="1" applyAlignment="1">
      <alignment horizontal="center" vertical="center" wrapText="1"/>
    </xf>
    <xf numFmtId="0" fontId="15" fillId="0" borderId="16" xfId="0" applyFont="1" applyBorder="1" applyAlignment="1">
      <alignment horizontal="center" vertical="center" wrapText="1"/>
    </xf>
    <xf numFmtId="167" fontId="12" fillId="0" borderId="0" xfId="0" applyNumberFormat="1"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center" vertical="justify"/>
    </xf>
    <xf numFmtId="0" fontId="10" fillId="0" borderId="0" xfId="0" applyFont="1" applyBorder="1" applyAlignment="1" applyProtection="1">
      <alignment horizontal="right"/>
    </xf>
    <xf numFmtId="0" fontId="10" fillId="0" borderId="0" xfId="0" applyFont="1" applyBorder="1" applyAlignment="1" applyProtection="1">
      <alignment horizontal="left"/>
    </xf>
    <xf numFmtId="0" fontId="10" fillId="0" borderId="0" xfId="0" applyFont="1" applyAlignment="1" applyProtection="1"/>
    <xf numFmtId="0" fontId="5" fillId="2" borderId="3" xfId="0" applyFont="1" applyFill="1" applyBorder="1" applyAlignment="1">
      <alignment horizontal="right"/>
    </xf>
    <xf numFmtId="168" fontId="10" fillId="0" borderId="0" xfId="0" applyNumberFormat="1" applyFont="1" applyBorder="1" applyAlignment="1">
      <alignment horizontal="center"/>
    </xf>
    <xf numFmtId="0" fontId="10" fillId="0" borderId="0" xfId="0" quotePrefix="1" applyFont="1" applyAlignment="1">
      <alignment horizontal="right" vertical="center"/>
    </xf>
    <xf numFmtId="0" fontId="10" fillId="0" borderId="0" xfId="0" applyFont="1" applyAlignment="1">
      <alignment vertical="center"/>
    </xf>
    <xf numFmtId="167" fontId="0" fillId="0" borderId="24" xfId="0" applyNumberFormat="1" applyBorder="1" applyProtection="1">
      <protection locked="0"/>
    </xf>
    <xf numFmtId="0" fontId="10" fillId="0" borderId="22" xfId="0" applyFont="1" applyBorder="1"/>
    <xf numFmtId="0" fontId="14" fillId="0" borderId="16" xfId="0" applyFont="1" applyBorder="1" applyAlignment="1">
      <alignment horizontal="center" vertical="top" wrapText="1"/>
    </xf>
    <xf numFmtId="0" fontId="6" fillId="0" borderId="0" xfId="0" applyFont="1" applyBorder="1" applyAlignment="1" applyProtection="1">
      <alignment wrapText="1"/>
    </xf>
    <xf numFmtId="0" fontId="10" fillId="0" borderId="0" xfId="0" applyFont="1" applyBorder="1"/>
    <xf numFmtId="0" fontId="10" fillId="0" borderId="0" xfId="0" applyFont="1" applyBorder="1" applyProtection="1"/>
    <xf numFmtId="168" fontId="10" fillId="0" borderId="0" xfId="0" applyNumberFormat="1" applyFont="1" applyBorder="1" applyAlignment="1">
      <alignment horizontal="center"/>
    </xf>
    <xf numFmtId="0" fontId="10" fillId="0" borderId="0" xfId="0" applyFont="1" applyAlignment="1">
      <alignment horizontal="center"/>
    </xf>
    <xf numFmtId="0" fontId="10" fillId="0" borderId="0" xfId="0" applyFont="1" applyBorder="1" applyAlignment="1">
      <alignment horizontal="center"/>
    </xf>
    <xf numFmtId="18" fontId="23" fillId="0" borderId="0" xfId="0" applyNumberFormat="1" applyFont="1" applyBorder="1" applyAlignment="1">
      <alignment horizontal="center" wrapText="1"/>
    </xf>
    <xf numFmtId="0" fontId="10" fillId="0" borderId="0" xfId="0" applyNumberFormat="1" applyFont="1" applyBorder="1" applyAlignment="1" applyProtection="1">
      <alignment horizontal="left" vertical="center"/>
    </xf>
    <xf numFmtId="169" fontId="10" fillId="0" borderId="0" xfId="0" applyNumberFormat="1" applyFont="1" applyBorder="1" applyAlignment="1" applyProtection="1">
      <alignment horizontal="left" vertical="center"/>
    </xf>
    <xf numFmtId="0" fontId="27" fillId="2" borderId="12" xfId="0" applyFont="1" applyFill="1" applyBorder="1"/>
    <xf numFmtId="0" fontId="27" fillId="2" borderId="10" xfId="0" applyFont="1" applyFill="1" applyBorder="1"/>
    <xf numFmtId="167" fontId="0" fillId="0" borderId="22" xfId="0" applyNumberFormat="1" applyBorder="1" applyProtection="1">
      <protection locked="0"/>
    </xf>
    <xf numFmtId="0" fontId="13" fillId="0" borderId="18" xfId="0" applyFont="1" applyBorder="1" applyProtection="1">
      <protection locked="0"/>
    </xf>
    <xf numFmtId="49" fontId="13" fillId="0" borderId="18" xfId="0" applyNumberFormat="1" applyFont="1" applyBorder="1" applyAlignment="1" applyProtection="1">
      <alignment horizontal="center"/>
      <protection locked="0"/>
    </xf>
    <xf numFmtId="49" fontId="13" fillId="0" borderId="8" xfId="0" applyNumberFormat="1" applyFont="1" applyBorder="1" applyAlignment="1" applyProtection="1">
      <alignment horizontal="center"/>
      <protection locked="0"/>
    </xf>
    <xf numFmtId="0" fontId="13" fillId="0" borderId="2" xfId="0" applyFont="1" applyBorder="1" applyProtection="1">
      <protection locked="0"/>
    </xf>
    <xf numFmtId="1" fontId="13" fillId="0" borderId="4" xfId="0" applyNumberFormat="1" applyFont="1" applyBorder="1" applyProtection="1">
      <protection locked="0"/>
    </xf>
    <xf numFmtId="15" fontId="13" fillId="0" borderId="4" xfId="0" applyNumberFormat="1" applyFont="1" applyBorder="1" applyProtection="1">
      <protection locked="0"/>
    </xf>
    <xf numFmtId="20" fontId="13" fillId="0" borderId="8" xfId="0" applyNumberFormat="1" applyFont="1" applyBorder="1" applyProtection="1">
      <protection locked="0"/>
    </xf>
    <xf numFmtId="0" fontId="28" fillId="0" borderId="0" xfId="0" applyFont="1"/>
    <xf numFmtId="0" fontId="7" fillId="2" borderId="15" xfId="0" applyFont="1" applyFill="1" applyBorder="1" applyAlignment="1">
      <alignment horizontal="center" vertical="center" wrapText="1"/>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5" xfId="0" applyFont="1" applyBorder="1" applyProtection="1">
      <protection locked="0"/>
    </xf>
    <xf numFmtId="49" fontId="5" fillId="0" borderId="25" xfId="0" applyNumberFormat="1" applyFont="1" applyBorder="1" applyAlignment="1" applyProtection="1">
      <alignment horizontal="center"/>
      <protection locked="0"/>
    </xf>
    <xf numFmtId="49" fontId="5" fillId="0" borderId="23" xfId="0" applyNumberFormat="1" applyFont="1" applyBorder="1" applyAlignment="1" applyProtection="1">
      <alignment horizontal="center"/>
      <protection locked="0"/>
    </xf>
    <xf numFmtId="49" fontId="29" fillId="0" borderId="14" xfId="0" applyNumberFormat="1" applyFont="1" applyBorder="1" applyAlignment="1" applyProtection="1">
      <alignment horizontal="center"/>
      <protection locked="0"/>
    </xf>
    <xf numFmtId="49" fontId="30" fillId="0" borderId="4" xfId="0" applyNumberFormat="1" applyFont="1" applyBorder="1" applyAlignment="1" applyProtection="1">
      <alignment horizontal="center"/>
      <protection locked="0"/>
    </xf>
    <xf numFmtId="49" fontId="29" fillId="0" borderId="4" xfId="0" applyNumberFormat="1" applyFont="1" applyBorder="1" applyAlignment="1" applyProtection="1">
      <alignment horizontal="center"/>
      <protection locked="0"/>
    </xf>
    <xf numFmtId="49" fontId="29" fillId="0" borderId="25" xfId="0" applyNumberFormat="1" applyFont="1" applyBorder="1" applyAlignment="1" applyProtection="1">
      <alignment horizontal="center"/>
      <protection locked="0"/>
    </xf>
    <xf numFmtId="49" fontId="29" fillId="0" borderId="23" xfId="0" applyNumberFormat="1" applyFont="1" applyBorder="1" applyAlignment="1" applyProtection="1">
      <alignment horizontal="center"/>
      <protection locked="0"/>
    </xf>
    <xf numFmtId="0" fontId="0" fillId="0" borderId="14" xfId="0" applyFont="1" applyBorder="1" applyProtection="1">
      <protection locked="0"/>
    </xf>
    <xf numFmtId="0" fontId="10" fillId="0" borderId="0" xfId="0" applyFont="1" applyAlignment="1">
      <alignment horizontal="center"/>
    </xf>
    <xf numFmtId="167" fontId="0" fillId="0" borderId="0" xfId="0" applyNumberFormat="1"/>
    <xf numFmtId="0" fontId="14" fillId="0" borderId="7" xfId="0" applyFont="1" applyBorder="1" applyAlignment="1">
      <alignment horizontal="center" vertical="top" wrapText="1"/>
    </xf>
    <xf numFmtId="2" fontId="0" fillId="0" borderId="0" xfId="0" applyNumberFormat="1"/>
    <xf numFmtId="0" fontId="9" fillId="0" borderId="0" xfId="0" applyNumberFormat="1" applyFont="1" applyBorder="1" applyAlignment="1">
      <alignment horizontal="center" wrapText="1"/>
    </xf>
    <xf numFmtId="0" fontId="9" fillId="0" borderId="0" xfId="0" applyFont="1" applyAlignment="1"/>
    <xf numFmtId="0" fontId="5" fillId="0" borderId="0" xfId="0" applyFont="1"/>
    <xf numFmtId="0" fontId="27" fillId="2" borderId="26" xfId="0" applyFont="1" applyFill="1" applyBorder="1"/>
    <xf numFmtId="49" fontId="5" fillId="0" borderId="27" xfId="0" applyNumberFormat="1" applyFont="1" applyBorder="1" applyAlignment="1" applyProtection="1">
      <alignment horizontal="center"/>
      <protection locked="0"/>
    </xf>
    <xf numFmtId="0" fontId="0" fillId="2" borderId="29" xfId="0" applyFill="1" applyBorder="1" applyAlignment="1">
      <alignment horizontal="right"/>
    </xf>
    <xf numFmtId="15" fontId="13" fillId="0" borderId="28" xfId="0" applyNumberFormat="1" applyFont="1" applyBorder="1" applyProtection="1">
      <protection locked="0"/>
    </xf>
    <xf numFmtId="15" fontId="0" fillId="2" borderId="2" xfId="0" applyNumberFormat="1" applyFill="1" applyBorder="1" applyAlignment="1">
      <alignment horizontal="left"/>
    </xf>
    <xf numFmtId="0" fontId="5" fillId="2" borderId="30" xfId="0" applyFont="1" applyFill="1" applyBorder="1" applyAlignment="1">
      <alignment horizontal="right"/>
    </xf>
    <xf numFmtId="0" fontId="6" fillId="0" borderId="0" xfId="0" applyFont="1" applyBorder="1" applyAlignment="1" applyProtection="1">
      <alignment vertical="top" wrapText="1"/>
    </xf>
    <xf numFmtId="0" fontId="0" fillId="0" borderId="0" xfId="0" applyAlignment="1"/>
    <xf numFmtId="0" fontId="5" fillId="0" borderId="0" xfId="0" applyFont="1" applyAlignment="1"/>
    <xf numFmtId="0" fontId="5" fillId="0" borderId="0" xfId="0" applyFont="1" applyAlignment="1">
      <alignment wrapText="1"/>
    </xf>
    <xf numFmtId="0" fontId="0" fillId="0" borderId="0" xfId="0" applyProtection="1">
      <protection locked="0"/>
    </xf>
    <xf numFmtId="0" fontId="14" fillId="0" borderId="16" xfId="0" applyFont="1" applyBorder="1" applyAlignment="1" applyProtection="1">
      <alignment horizontal="center" vertical="center" wrapText="1"/>
      <protection locked="0"/>
    </xf>
    <xf numFmtId="0" fontId="7" fillId="0" borderId="16" xfId="0" applyFont="1" applyBorder="1" applyAlignment="1" applyProtection="1">
      <alignment horizontal="center" wrapText="1"/>
      <protection locked="0"/>
    </xf>
    <xf numFmtId="0" fontId="14" fillId="0" borderId="16" xfId="0" applyFont="1" applyBorder="1" applyAlignment="1" applyProtection="1">
      <alignment horizontal="center" vertical="top" wrapText="1"/>
      <protection locked="0"/>
    </xf>
    <xf numFmtId="0" fontId="14" fillId="0" borderId="7" xfId="0" applyFont="1" applyBorder="1" applyAlignment="1" applyProtection="1">
      <alignment horizontal="center" wrapText="1"/>
      <protection locked="0"/>
    </xf>
    <xf numFmtId="0" fontId="7" fillId="0" borderId="7" xfId="0" applyFont="1" applyBorder="1" applyProtection="1">
      <protection locked="0"/>
    </xf>
    <xf numFmtId="0" fontId="14" fillId="0" borderId="7" xfId="0" applyFont="1" applyBorder="1" applyAlignment="1" applyProtection="1">
      <alignment horizontal="center" vertical="center" wrapText="1"/>
      <protection locked="0"/>
    </xf>
    <xf numFmtId="168" fontId="10" fillId="0" borderId="18" xfId="0" applyNumberFormat="1" applyFont="1" applyBorder="1" applyAlignment="1" applyProtection="1">
      <alignment horizontal="center"/>
      <protection locked="0"/>
    </xf>
    <xf numFmtId="49" fontId="0" fillId="0" borderId="14" xfId="0" applyNumberFormat="1" applyFont="1" applyBorder="1" applyAlignment="1" applyProtection="1">
      <alignment horizontal="center"/>
      <protection locked="0"/>
    </xf>
    <xf numFmtId="49" fontId="0" fillId="0" borderId="4" xfId="0" applyNumberFormat="1" applyFont="1" applyBorder="1" applyAlignment="1" applyProtection="1">
      <alignment horizontal="center"/>
      <protection locked="0"/>
    </xf>
    <xf numFmtId="0" fontId="0" fillId="0" borderId="25" xfId="0" applyFont="1" applyBorder="1" applyProtection="1">
      <protection locked="0"/>
    </xf>
    <xf numFmtId="0" fontId="33" fillId="0" borderId="0" xfId="0" applyFont="1" applyAlignment="1">
      <alignment horizontal="left" vertical="top" wrapText="1"/>
    </xf>
    <xf numFmtId="0" fontId="32" fillId="0" borderId="0" xfId="0" applyFont="1" applyAlignment="1">
      <alignment horizontal="left"/>
    </xf>
    <xf numFmtId="0" fontId="13" fillId="0" borderId="9" xfId="0" applyFont="1" applyBorder="1" applyAlignment="1" applyProtection="1">
      <alignment horizontal="left"/>
      <protection locked="0"/>
    </xf>
    <xf numFmtId="0" fontId="13" fillId="0" borderId="5" xfId="0" applyFont="1" applyBorder="1" applyAlignment="1" applyProtection="1">
      <alignment horizontal="left"/>
      <protection locked="0"/>
    </xf>
    <xf numFmtId="0" fontId="13" fillId="0" borderId="10" xfId="0" applyFont="1" applyBorder="1" applyAlignment="1" applyProtection="1">
      <alignment horizontal="left"/>
      <protection locked="0"/>
    </xf>
    <xf numFmtId="0" fontId="5" fillId="2" borderId="9" xfId="0" applyFont="1" applyFill="1" applyBorder="1" applyAlignment="1">
      <alignment horizontal="center"/>
    </xf>
    <xf numFmtId="0" fontId="0" fillId="2" borderId="5" xfId="0" applyFill="1" applyBorder="1" applyAlignment="1">
      <alignment horizontal="center"/>
    </xf>
    <xf numFmtId="0" fontId="0" fillId="2" borderId="10" xfId="0" applyFill="1" applyBorder="1" applyAlignment="1">
      <alignment horizontal="center"/>
    </xf>
    <xf numFmtId="0" fontId="28" fillId="0" borderId="0" xfId="0" applyFont="1" applyAlignment="1">
      <alignment horizontal="right"/>
    </xf>
    <xf numFmtId="0" fontId="0" fillId="2" borderId="9" xfId="0" applyFill="1" applyBorder="1" applyAlignment="1">
      <alignment horizontal="center"/>
    </xf>
    <xf numFmtId="0" fontId="0" fillId="0" borderId="18" xfId="0" applyBorder="1" applyAlignment="1" applyProtection="1">
      <alignment horizontal="left"/>
      <protection locked="0"/>
    </xf>
    <xf numFmtId="0" fontId="31" fillId="0" borderId="18" xfId="0" applyFont="1" applyBorder="1" applyAlignment="1" applyProtection="1">
      <alignment horizontal="left"/>
      <protection locked="0"/>
    </xf>
    <xf numFmtId="0" fontId="8" fillId="0" borderId="5" xfId="0" applyFont="1" applyBorder="1" applyAlignment="1" applyProtection="1">
      <alignment horizontal="left"/>
      <protection locked="0"/>
    </xf>
    <xf numFmtId="0" fontId="7" fillId="0" borderId="18" xfId="0" applyFont="1" applyFill="1" applyBorder="1" applyAlignment="1" applyProtection="1">
      <alignment horizontal="center" wrapText="1"/>
      <protection locked="0"/>
    </xf>
    <xf numFmtId="168" fontId="10" fillId="0" borderId="18" xfId="0" applyNumberFormat="1" applyFont="1" applyBorder="1" applyAlignment="1" applyProtection="1">
      <alignment horizontal="left"/>
      <protection locked="0"/>
    </xf>
    <xf numFmtId="168" fontId="10" fillId="0" borderId="0" xfId="0" applyNumberFormat="1" applyFont="1" applyBorder="1" applyAlignment="1">
      <alignment horizontal="left" vertical="center"/>
    </xf>
    <xf numFmtId="0" fontId="0" fillId="0" borderId="0" xfId="0" applyAlignment="1">
      <alignment horizontal="left" vertical="top"/>
    </xf>
    <xf numFmtId="0" fontId="10" fillId="0" borderId="18" xfId="0" applyFont="1" applyBorder="1" applyAlignment="1" applyProtection="1">
      <alignment horizontal="left"/>
      <protection locked="0"/>
    </xf>
    <xf numFmtId="0" fontId="21" fillId="0" borderId="18" xfId="0" applyFont="1" applyBorder="1" applyAlignment="1">
      <alignment horizontal="center" vertical="center"/>
    </xf>
    <xf numFmtId="167" fontId="12" fillId="0" borderId="20" xfId="0" applyNumberFormat="1"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right" vertical="center"/>
    </xf>
    <xf numFmtId="0" fontId="10" fillId="0" borderId="0" xfId="0" applyFont="1" applyAlignment="1" applyProtection="1">
      <alignment horizontal="right" vertical="center"/>
    </xf>
    <xf numFmtId="0" fontId="6" fillId="0" borderId="20" xfId="0" applyFont="1" applyBorder="1" applyAlignment="1">
      <alignment horizontal="center" vertical="top"/>
    </xf>
    <xf numFmtId="0" fontId="9" fillId="0" borderId="0" xfId="0" applyFont="1" applyAlignment="1">
      <alignment horizontal="center"/>
    </xf>
    <xf numFmtId="18" fontId="23" fillId="0" borderId="18" xfId="0" applyNumberFormat="1" applyFont="1" applyBorder="1" applyAlignment="1">
      <alignment horizontal="center" wrapText="1"/>
    </xf>
    <xf numFmtId="0" fontId="19" fillId="0" borderId="0" xfId="0" applyFont="1" applyAlignment="1">
      <alignment horizontal="center" vertical="top"/>
    </xf>
    <xf numFmtId="0" fontId="19" fillId="0" borderId="0" xfId="0" applyFont="1" applyAlignment="1">
      <alignment horizontal="center"/>
    </xf>
    <xf numFmtId="0" fontId="10" fillId="0" borderId="18" xfId="0" applyFont="1" applyBorder="1" applyProtection="1">
      <protection locked="0"/>
    </xf>
    <xf numFmtId="0" fontId="6" fillId="0" borderId="0" xfId="0" applyFont="1" applyBorder="1" applyAlignment="1" applyProtection="1">
      <alignment horizontal="center" wrapText="1"/>
    </xf>
    <xf numFmtId="0" fontId="5" fillId="0" borderId="20" xfId="0" applyFont="1" applyBorder="1" applyAlignment="1">
      <alignment horizontal="right" vertical="top"/>
    </xf>
    <xf numFmtId="0" fontId="0" fillId="0" borderId="20" xfId="0" applyBorder="1" applyAlignment="1">
      <alignment horizontal="right" vertical="top"/>
    </xf>
    <xf numFmtId="15" fontId="0" fillId="0" borderId="20" xfId="0" applyNumberFormat="1" applyBorder="1" applyAlignment="1">
      <alignment horizontal="left" vertical="top"/>
    </xf>
    <xf numFmtId="0" fontId="0" fillId="0" borderId="20" xfId="0" applyBorder="1" applyAlignment="1">
      <alignment horizontal="left" vertical="top"/>
    </xf>
    <xf numFmtId="168" fontId="10" fillId="0" borderId="18" xfId="0" applyNumberFormat="1" applyFont="1" applyBorder="1" applyAlignment="1" applyProtection="1">
      <alignment horizontal="center"/>
      <protection locked="0"/>
    </xf>
    <xf numFmtId="169" fontId="12" fillId="0" borderId="5" xfId="0" applyNumberFormat="1" applyFont="1" applyBorder="1" applyAlignment="1" applyProtection="1">
      <alignment horizontal="left"/>
      <protection locked="0"/>
    </xf>
    <xf numFmtId="0" fontId="10" fillId="0" borderId="5" xfId="0" applyFont="1" applyBorder="1" applyAlignment="1" applyProtection="1">
      <alignment horizontal="left"/>
      <protection locked="0"/>
    </xf>
    <xf numFmtId="0" fontId="12" fillId="0" borderId="18" xfId="0" applyFont="1" applyBorder="1" applyAlignment="1" applyProtection="1">
      <alignment horizontal="left"/>
      <protection locked="0"/>
    </xf>
    <xf numFmtId="168" fontId="10" fillId="0" borderId="18" xfId="0" applyNumberFormat="1" applyFont="1" applyBorder="1" applyAlignment="1">
      <alignment horizontal="center"/>
    </xf>
    <xf numFmtId="0" fontId="7" fillId="0" borderId="18" xfId="0" applyFont="1" applyFill="1" applyBorder="1" applyAlignment="1" applyProtection="1">
      <alignment horizontal="left" wrapText="1"/>
      <protection locked="0"/>
    </xf>
  </cellXfs>
  <cellStyles count="36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Normal" xfId="0" builtinId="0"/>
    <cellStyle name="Normal 2" xfId="282"/>
    <cellStyle name="Normal 3" xfId="283"/>
    <cellStyle name="Normal 3 2" xfId="285"/>
    <cellStyle name="Normal 3 2 2" xfId="286"/>
    <cellStyle name="Normal 3 2 3" xfId="287"/>
    <cellStyle name="Normal 4" xfId="284"/>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a:stretch>
          <a:fillRect/>
        </a:stretch>
      </xdr:blipFill>
      <xdr:spPr>
        <a:xfrm>
          <a:off x="11113477" y="485206"/>
          <a:ext cx="1992923" cy="15666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11099800" y="465993"/>
          <a:ext cx="2006600" cy="15662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xmlns="" id="{7243A14B-4D96-E346-B75C-AEE5C2592045}"/>
            </a:ext>
          </a:extLst>
        </xdr:cNvPr>
        <xdr:cNvPicPr>
          <a:picLocks noChangeAspect="1"/>
        </xdr:cNvPicPr>
      </xdr:nvPicPr>
      <xdr:blipFill>
        <a:blip xmlns:r="http://schemas.openxmlformats.org/officeDocument/2006/relationships" r:embed="rId1"/>
        <a:stretch>
          <a:fillRect/>
        </a:stretch>
      </xdr:blipFill>
      <xdr:spPr>
        <a:xfrm>
          <a:off x="11099800" y="491393"/>
          <a:ext cx="2006600" cy="1566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49"/>
  <sheetViews>
    <sheetView showGridLines="0" topLeftCell="A2" zoomScale="135" zoomScaleNormal="135" zoomScalePageLayoutView="135" workbookViewId="0">
      <selection activeCell="B12" sqref="B12"/>
    </sheetView>
  </sheetViews>
  <sheetFormatPr baseColWidth="10" defaultColWidth="8.83203125" defaultRowHeight="12" x14ac:dyDescent="0"/>
  <cols>
    <col min="1" max="1" width="16.5" style="2" customWidth="1"/>
    <col min="2" max="2" width="10.5" bestFit="1" customWidth="1"/>
    <col min="3" max="3" width="8.83203125" style="3" hidden="1" customWidth="1"/>
    <col min="4" max="4" width="8.33203125" customWidth="1"/>
    <col min="5" max="5" width="17" bestFit="1" customWidth="1"/>
    <col min="6" max="6" width="18" bestFit="1" customWidth="1"/>
    <col min="7" max="7" width="23.5" customWidth="1"/>
    <col min="8" max="8" width="25.1640625" bestFit="1" customWidth="1"/>
    <col min="9" max="11" width="31.1640625" customWidth="1"/>
    <col min="12" max="15" width="17.83203125" hidden="1" customWidth="1"/>
  </cols>
  <sheetData>
    <row r="1" spans="1:26" ht="20" customHeight="1">
      <c r="A1" s="119" t="s">
        <v>83</v>
      </c>
      <c r="B1" s="119"/>
      <c r="C1" s="119"/>
      <c r="D1" s="119"/>
      <c r="E1" s="119"/>
      <c r="F1" s="119"/>
      <c r="G1" s="119"/>
      <c r="H1" s="119"/>
      <c r="I1" s="105" t="s">
        <v>85</v>
      </c>
      <c r="Q1" s="118" t="s">
        <v>86</v>
      </c>
      <c r="R1" s="118"/>
      <c r="S1" s="118"/>
      <c r="T1" s="118"/>
      <c r="U1" s="118"/>
      <c r="V1" s="118"/>
      <c r="W1" s="118"/>
      <c r="X1" s="118"/>
      <c r="Y1" s="118"/>
      <c r="Z1" s="118"/>
    </row>
    <row r="2" spans="1:26" ht="13" customHeight="1" thickBot="1">
      <c r="H2" s="106"/>
      <c r="I2" s="106"/>
      <c r="Q2" s="118"/>
      <c r="R2" s="118"/>
      <c r="S2" s="118"/>
      <c r="T2" s="118"/>
      <c r="U2" s="118"/>
      <c r="V2" s="118"/>
      <c r="W2" s="118"/>
      <c r="X2" s="118"/>
      <c r="Y2" s="118"/>
      <c r="Z2" s="118"/>
    </row>
    <row r="3" spans="1:26" ht="13" customHeight="1">
      <c r="A3" s="102" t="s">
        <v>82</v>
      </c>
      <c r="B3" s="101">
        <v>44674</v>
      </c>
      <c r="C3" s="104"/>
      <c r="D3" s="104"/>
      <c r="G3" s="104"/>
      <c r="H3" s="106"/>
      <c r="I3" s="106"/>
      <c r="Q3" s="118"/>
      <c r="R3" s="118"/>
      <c r="S3" s="118"/>
      <c r="T3" s="118"/>
      <c r="U3" s="118"/>
      <c r="V3" s="118"/>
      <c r="W3" s="118"/>
      <c r="X3" s="118"/>
      <c r="Y3" s="118"/>
      <c r="Z3" s="118"/>
    </row>
    <row r="4" spans="1:26" ht="13" thickBot="1">
      <c r="H4" s="106"/>
      <c r="I4" s="106"/>
      <c r="Q4" s="118"/>
      <c r="R4" s="118"/>
      <c r="S4" s="118"/>
      <c r="T4" s="118"/>
      <c r="U4" s="118"/>
      <c r="V4" s="118"/>
      <c r="W4" s="118"/>
      <c r="X4" s="118"/>
      <c r="Y4" s="118"/>
      <c r="Z4" s="118"/>
    </row>
    <row r="5" spans="1:26" ht="17">
      <c r="A5" s="11" t="s">
        <v>18</v>
      </c>
      <c r="B5" s="72">
        <v>201.9</v>
      </c>
      <c r="C5">
        <f>IF(Brevet_Length&gt;=1200,Brevet_Length,IF(Brevet_Length&gt;=1000,1000,IF(Brevet_Length&gt;=600,600,IF(Brevet_Length&gt;=400,400,IF(Brevet_Length&gt;=300,300,IF(Brevet_Length&gt;=200,200,100))))))</f>
        <v>200</v>
      </c>
      <c r="J5" s="126" t="s">
        <v>63</v>
      </c>
      <c r="K5" s="126"/>
      <c r="Q5" s="76" t="s">
        <v>64</v>
      </c>
      <c r="R5" s="76"/>
      <c r="S5" s="76"/>
      <c r="T5" s="76"/>
      <c r="U5" s="76"/>
      <c r="V5" s="76"/>
      <c r="W5" s="76"/>
    </row>
    <row r="6" spans="1:26" ht="13" thickBot="1">
      <c r="A6" s="12" t="s">
        <v>19</v>
      </c>
      <c r="B6" s="13">
        <f>IF(brevet=1200,90,IF(brevet=1000,75,IF(brevet=600,40,IF(brevet=400,27,IF(brevet=300,20,IF(brevet=200,13.5,IF(brevet=100,7,0)))))))</f>
        <v>13.5</v>
      </c>
      <c r="Q6" t="s">
        <v>65</v>
      </c>
    </row>
    <row r="7" spans="1:26" ht="18" thickBot="1">
      <c r="A7" s="12" t="s">
        <v>20</v>
      </c>
      <c r="B7" s="120" t="s">
        <v>106</v>
      </c>
      <c r="C7" s="121"/>
      <c r="D7" s="121"/>
      <c r="E7" s="121"/>
      <c r="F7" s="121"/>
      <c r="G7" s="121"/>
      <c r="H7" s="122"/>
      <c r="I7" s="29"/>
      <c r="J7" s="29"/>
      <c r="K7" s="29"/>
      <c r="O7" s="30"/>
      <c r="P7" s="30"/>
      <c r="Q7" s="76" t="s">
        <v>66</v>
      </c>
    </row>
    <row r="8" spans="1:26" ht="17">
      <c r="A8" s="12" t="s">
        <v>21</v>
      </c>
      <c r="B8" s="73">
        <v>5246</v>
      </c>
      <c r="C8" s="26"/>
      <c r="F8" s="27"/>
      <c r="G8" s="27"/>
      <c r="H8" s="27"/>
      <c r="I8" s="27"/>
      <c r="J8" s="27"/>
      <c r="K8" s="27"/>
      <c r="Q8" s="76" t="s">
        <v>67</v>
      </c>
    </row>
    <row r="9" spans="1:26" ht="17">
      <c r="A9" s="50" t="s">
        <v>48</v>
      </c>
      <c r="B9" s="74">
        <v>45087</v>
      </c>
      <c r="Q9" s="76" t="s">
        <v>68</v>
      </c>
    </row>
    <row r="10" spans="1:26" ht="6" customHeight="1">
      <c r="B10" s="107"/>
    </row>
    <row r="11" spans="1:26" ht="18" customHeight="1" thickBot="1">
      <c r="A11" s="99" t="s">
        <v>22</v>
      </c>
      <c r="B11" s="100">
        <v>45087</v>
      </c>
      <c r="Q11" s="76" t="s">
        <v>76</v>
      </c>
    </row>
    <row r="12" spans="1:26" ht="18" thickBot="1">
      <c r="A12" s="10" t="s">
        <v>23</v>
      </c>
      <c r="B12" s="75">
        <v>0.29166666666666669</v>
      </c>
      <c r="D12" s="123" t="s">
        <v>81</v>
      </c>
      <c r="E12" s="124"/>
      <c r="F12" s="124"/>
      <c r="G12" s="124"/>
      <c r="H12" s="124"/>
      <c r="I12" s="127" t="s">
        <v>71</v>
      </c>
      <c r="J12" s="124"/>
      <c r="K12" s="125"/>
      <c r="Q12" s="76" t="s">
        <v>75</v>
      </c>
    </row>
    <row r="13" spans="1:26" ht="13" thickBot="1">
      <c r="D13" s="6" t="s">
        <v>24</v>
      </c>
      <c r="E13" s="7" t="s">
        <v>25</v>
      </c>
      <c r="F13" s="66" t="s">
        <v>26</v>
      </c>
      <c r="G13" s="66" t="s">
        <v>27</v>
      </c>
      <c r="H13" s="67" t="s">
        <v>28</v>
      </c>
      <c r="I13" s="7" t="s">
        <v>60</v>
      </c>
      <c r="J13" s="7" t="s">
        <v>61</v>
      </c>
      <c r="K13" s="8" t="s">
        <v>62</v>
      </c>
      <c r="L13" t="s">
        <v>3</v>
      </c>
      <c r="M13" t="s">
        <v>4</v>
      </c>
      <c r="N13" t="s">
        <v>5</v>
      </c>
      <c r="O13" t="s">
        <v>6</v>
      </c>
      <c r="Q13" s="76" t="s">
        <v>69</v>
      </c>
    </row>
    <row r="14" spans="1:26" ht="17" customHeight="1">
      <c r="C14" s="3" t="s">
        <v>7</v>
      </c>
      <c r="D14" s="28">
        <v>0</v>
      </c>
      <c r="E14" s="89" t="s">
        <v>87</v>
      </c>
      <c r="F14" s="115" t="s">
        <v>88</v>
      </c>
      <c r="G14" s="115" t="s">
        <v>89</v>
      </c>
      <c r="H14" s="80"/>
      <c r="I14" s="84"/>
      <c r="J14" s="84"/>
      <c r="K14" s="85"/>
      <c r="L14" s="4">
        <f>Start_date+Start_time</f>
        <v>45087.291666666664</v>
      </c>
      <c r="M14" s="4">
        <f>L14+"1:00"</f>
        <v>45087.333333333328</v>
      </c>
      <c r="N14" s="5">
        <f>IF(ISBLANK(Distance),"",Open Control_1)</f>
        <v>45087.291666666664</v>
      </c>
      <c r="O14" s="5">
        <f>IF(ISBLANK(Distance),"",Close Control_1)</f>
        <v>45087.333333333328</v>
      </c>
      <c r="Q14" s="76" t="s">
        <v>84</v>
      </c>
    </row>
    <row r="15" spans="1:26" ht="17" customHeight="1">
      <c r="B15" s="91"/>
      <c r="C15" s="3" t="s">
        <v>8</v>
      </c>
      <c r="D15" s="28">
        <v>86.1</v>
      </c>
      <c r="E15" s="89" t="s">
        <v>90</v>
      </c>
      <c r="F15" s="115" t="s">
        <v>91</v>
      </c>
      <c r="G15" s="115" t="s">
        <v>92</v>
      </c>
      <c r="H15" s="116"/>
      <c r="I15" s="84" t="s">
        <v>94</v>
      </c>
      <c r="J15" s="84" t="s">
        <v>93</v>
      </c>
      <c r="K15" s="85" t="s">
        <v>111</v>
      </c>
      <c r="L15">
        <f>IF(ISBLANK(Distance),"",IF(Distance&gt;1000,(Distance-1000)/26+33.0847,(IF(Distance&gt;600,(Distance-600)/28+18.799,(IF(Distance&gt;400,(Distance-400)/30+12.1324,(IF(Distance&gt;200,(Distance-200)/32+5.8824,Distance/34))))))))</f>
        <v>2.5323529411764705</v>
      </c>
      <c r="M15">
        <f t="shared" ref="M15:M23" si="0">IF(ISBLANK(Distance),"",IF(Distance&gt;=brevet,IF(brevet&gt;1200,(brevet-1200)*75/1000+90,Max_time),IF(Distance&gt;1200,(Distance-1200)*75/1000+90,IF(Distance&gt;1000,(Distance-1000)/(1000/75)+75,IF(Distance&gt;600,(Distance-600)/(400/35)+40,IF(Distance&lt;=60,(Distance/20+1),Distance/15))))))</f>
        <v>5.7399999999999993</v>
      </c>
      <c r="N15" s="5">
        <f>IF(ISBLANK(Distance),"",Open_time Control_1+(INT(Open)&amp;":"&amp;IF(ROUND(((Open-INT(Open))*60),0)&lt;10,0,"")&amp;ROUND(((Open-INT(Open))*60),0)))</f>
        <v>45087.397222222222</v>
      </c>
      <c r="O15" s="5">
        <f>IF(ISBLANK(Distance),"",Open_time Control_1+(INT(Close)&amp;":"&amp;IF(ROUND(((Close-INT(Close))*60),0)&lt;10,0,"")&amp;ROUND(((Close-INT(Close))*60),0)))</f>
        <v>45087.530555555553</v>
      </c>
      <c r="Q15" s="76" t="s">
        <v>70</v>
      </c>
    </row>
    <row r="16" spans="1:26" ht="17" customHeight="1">
      <c r="B16" s="91"/>
      <c r="C16" s="3" t="s">
        <v>9</v>
      </c>
      <c r="D16" s="28">
        <v>96.5</v>
      </c>
      <c r="E16" s="89" t="s">
        <v>90</v>
      </c>
      <c r="F16" s="115"/>
      <c r="G16" s="115" t="s">
        <v>95</v>
      </c>
      <c r="H16" s="116"/>
      <c r="I16" s="84" t="s">
        <v>109</v>
      </c>
      <c r="J16" s="84" t="s">
        <v>108</v>
      </c>
      <c r="K16" s="85" t="s">
        <v>111</v>
      </c>
      <c r="L16">
        <f>IF(ISBLANK(Distance),"",IF(Distance&gt;1000,(Distance-1000)/26+33.0847,(IF(Distance&gt;600,(Distance-600)/28+18.799,(IF(Distance&gt;400,(Distance-400)/30+12.1324,(IF(Distance&gt;200,(Distance-200)/32+5.8824,Distance/34))))))))</f>
        <v>2.8382352941176472</v>
      </c>
      <c r="M16">
        <f t="shared" si="0"/>
        <v>6.4333333333333336</v>
      </c>
      <c r="N16" s="5">
        <f>IF(ISBLANK(Distance),"",Open_time Control_1+(INT(Open)&amp;":"&amp;IF(ROUND(((Open-INT(Open))*60),0)&lt;10,0,"")&amp;ROUND(((Open-INT(Open))*60),0)))</f>
        <v>45087.409722222219</v>
      </c>
      <c r="O16" s="5">
        <f>IF(ISBLANK(Distance),"",Open_time Control_1+(INT(Close)&amp;":"&amp;IF(ROUND(((Close-INT(Close))*60),0)&lt;10,0,"")&amp;ROUND(((Close-INT(Close))*60),0)))</f>
        <v>45087.55972222222</v>
      </c>
    </row>
    <row r="17" spans="2:17" ht="17" customHeight="1">
      <c r="B17" s="91"/>
      <c r="C17" s="3" t="s">
        <v>10</v>
      </c>
      <c r="D17" s="28">
        <v>102.6</v>
      </c>
      <c r="E17" s="89" t="s">
        <v>90</v>
      </c>
      <c r="F17" s="115"/>
      <c r="G17" s="115" t="s">
        <v>96</v>
      </c>
      <c r="H17" s="116"/>
      <c r="I17" s="84" t="s">
        <v>94</v>
      </c>
      <c r="J17" s="84" t="s">
        <v>93</v>
      </c>
      <c r="K17" s="85" t="s">
        <v>111</v>
      </c>
      <c r="L17">
        <f t="shared" ref="L17:L23" si="1">IF(ISBLANK(Distance),"",IF(Distance&gt;1000,(Distance-1000)/26+33.0847,(IF(Distance&gt;600,(Distance-600)/28+18.799,(IF(Distance&gt;400,(Distance-400)/30+12.1324,(IF(Distance&gt;200,(Distance-200)/32+5.8824,Distance/34))))))))</f>
        <v>3.0176470588235293</v>
      </c>
      <c r="M17">
        <f t="shared" si="0"/>
        <v>6.84</v>
      </c>
      <c r="N17" s="5">
        <f>IF(ISBLANK(Distance),"",Open_time Control_1+(INT(Open)&amp;":"&amp;IF(ROUND(((Open-INT(Open))*60),0)&lt;10,0,"")&amp;ROUND(((Open-INT(Open))*60),0)))</f>
        <v>45087.417361111111</v>
      </c>
      <c r="O17" s="5">
        <f>IF(ISBLANK(Distance),"",Open_time Control_1+(INT(Close)&amp;":"&amp;IF(ROUND(((Close-INT(Close))*60),0)&lt;10,0,"")&amp;ROUND(((Close-INT(Close))*60),0)))</f>
        <v>45087.576388888883</v>
      </c>
    </row>
    <row r="18" spans="2:17" ht="17" customHeight="1">
      <c r="B18" s="91"/>
      <c r="C18" s="3" t="s">
        <v>11</v>
      </c>
      <c r="D18" s="28">
        <v>156.5</v>
      </c>
      <c r="E18" s="89" t="s">
        <v>97</v>
      </c>
      <c r="F18" s="115" t="s">
        <v>98</v>
      </c>
      <c r="G18" s="115" t="s">
        <v>99</v>
      </c>
      <c r="H18" s="116"/>
      <c r="I18" s="84" t="s">
        <v>94</v>
      </c>
      <c r="J18" s="84" t="s">
        <v>93</v>
      </c>
      <c r="K18" s="86" t="s">
        <v>111</v>
      </c>
      <c r="L18">
        <f t="shared" si="1"/>
        <v>4.6029411764705879</v>
      </c>
      <c r="M18">
        <f t="shared" si="0"/>
        <v>10.433333333333334</v>
      </c>
      <c r="N18" s="5">
        <f>IF(ISBLANK(Distance),"",Open_time Control_1+(INT(Open)&amp;":"&amp;IF(ROUND(((Open-INT(Open))*60),0)&lt;10,0,"")&amp;ROUND(((Open-INT(Open))*60),0)))</f>
        <v>45087.48333333333</v>
      </c>
      <c r="O18" s="5">
        <f>IF(ISBLANK(Distance),"",Open_time Control_1+(INT(Close)&amp;":"&amp;IF(ROUND(((Close-INT(Close))*60),0)&lt;10,0,"")&amp;ROUND(((Close-INT(Close))*60),0)))</f>
        <v>45087.726388888885</v>
      </c>
      <c r="Q18" s="96"/>
    </row>
    <row r="19" spans="2:17" ht="17" customHeight="1">
      <c r="B19" s="91"/>
      <c r="C19" s="3" t="s">
        <v>12</v>
      </c>
      <c r="D19" s="28">
        <v>185</v>
      </c>
      <c r="E19" s="89" t="s">
        <v>100</v>
      </c>
      <c r="F19" s="115" t="s">
        <v>110</v>
      </c>
      <c r="G19" s="115" t="s">
        <v>101</v>
      </c>
      <c r="H19" s="115" t="s">
        <v>102</v>
      </c>
      <c r="I19" s="84" t="s">
        <v>107</v>
      </c>
      <c r="J19" s="84" t="s">
        <v>93</v>
      </c>
      <c r="K19" s="85" t="s">
        <v>111</v>
      </c>
      <c r="L19">
        <f t="shared" si="1"/>
        <v>5.4411764705882355</v>
      </c>
      <c r="M19">
        <f t="shared" si="0"/>
        <v>12.333333333333334</v>
      </c>
      <c r="N19" s="5">
        <f>IF(ISBLANK(Distance),"",Open_time Control_1+(INT(Open)&amp;":"&amp;IF(ROUND(((Open-INT(Open))*60),0)&lt;10,0,"")&amp;ROUND(((Open-INT(Open))*60),0)))</f>
        <v>45087.518055555556</v>
      </c>
      <c r="O19" s="5">
        <f>IF(ISBLANK(Distance),"",Open_time Control_1+(INT(Close)&amp;":"&amp;IF(ROUND(((Close-INT(Close))*60),0)&lt;10,0,"")&amp;ROUND(((Close-INT(Close))*60),0)))</f>
        <v>45087.805555555555</v>
      </c>
    </row>
    <row r="20" spans="2:17" ht="17" customHeight="1">
      <c r="B20" s="91"/>
      <c r="C20" s="3" t="s">
        <v>13</v>
      </c>
      <c r="D20" s="28">
        <v>201.9</v>
      </c>
      <c r="E20" s="89" t="s">
        <v>87</v>
      </c>
      <c r="F20" s="115" t="s">
        <v>104</v>
      </c>
      <c r="G20" s="115" t="s">
        <v>105</v>
      </c>
      <c r="H20" s="80"/>
      <c r="I20" s="84"/>
      <c r="J20" s="84"/>
      <c r="K20" s="85"/>
      <c r="L20">
        <f t="shared" si="1"/>
        <v>5.9417749999999998</v>
      </c>
      <c r="M20">
        <f t="shared" si="0"/>
        <v>13.5</v>
      </c>
      <c r="N20" s="5">
        <f>IF(ISBLANK(Distance),"",Open_time Control_1+(INT(Open)&amp;":"&amp;IF(ROUND(((Open-INT(Open))*60),0)&lt;10,0,"")&amp;ROUND(((Open-INT(Open))*60),0)))</f>
        <v>45087.539583333331</v>
      </c>
      <c r="O20" s="5">
        <f>IF(ISBLANK(Distance),"",Open_time Control_1+(INT(Close)&amp;":"&amp;IF(ROUND(((Close-INT(Close))*60),0)&lt;10,0,"")&amp;ROUND(((Close-INT(Close))*60),0)))</f>
        <v>45087.854166666664</v>
      </c>
    </row>
    <row r="21" spans="2:17" ht="17" customHeight="1">
      <c r="B21" s="91"/>
      <c r="C21" s="3" t="s">
        <v>14</v>
      </c>
      <c r="D21" s="28"/>
      <c r="E21" s="89"/>
      <c r="F21" s="79"/>
      <c r="G21" s="79"/>
      <c r="H21" s="80"/>
      <c r="I21" s="84"/>
      <c r="J21" s="84"/>
      <c r="K21" s="85"/>
      <c r="L21" t="str">
        <f t="shared" si="1"/>
        <v/>
      </c>
      <c r="M21" t="str">
        <f t="shared" si="0"/>
        <v/>
      </c>
      <c r="N21" s="5" t="str">
        <f>IF(ISBLANK(Distance),"",Open_time Control_1+(INT(Open)&amp;":"&amp;IF(ROUND(((Open-INT(Open))*60),0)&lt;10,0,"")&amp;ROUND(((Open-INT(Open))*60),0)))</f>
        <v/>
      </c>
      <c r="O21" s="5" t="str">
        <f>IF(ISBLANK(Distance),"",Open_time Control_1+(INT(Close)&amp;":"&amp;IF(ROUND(((Close-INT(Close))*60),0)&lt;10,0,"")&amp;ROUND(((Close-INT(Close))*60),0)))</f>
        <v/>
      </c>
    </row>
    <row r="22" spans="2:17" ht="17" customHeight="1">
      <c r="B22" s="91"/>
      <c r="C22" s="3" t="s">
        <v>15</v>
      </c>
      <c r="D22" s="28"/>
      <c r="E22" s="89" t="s">
        <v>103</v>
      </c>
      <c r="F22" s="79"/>
      <c r="G22" s="79"/>
      <c r="H22" s="80"/>
      <c r="I22" s="84"/>
      <c r="J22" s="84"/>
      <c r="K22" s="86"/>
      <c r="L22" t="str">
        <f t="shared" si="1"/>
        <v/>
      </c>
      <c r="M22" t="str">
        <f t="shared" si="0"/>
        <v/>
      </c>
      <c r="N22" s="5" t="str">
        <f>IF(ISBLANK(Distance),"",Open_time Control_1+(INT(Open)&amp;":"&amp;IF(ROUND(((Open-INT(Open))*60),0)&lt;10,0,"")&amp;ROUND(((Open-INT(Open))*60),0)))</f>
        <v/>
      </c>
      <c r="O22" s="5" t="str">
        <f>IF(ISBLANK(Distance),"",Open_time Control_1+(INT(Close)&amp;":"&amp;IF(ROUND(((Close-INT(Close))*60),0)&lt;10,0,"")&amp;ROUND(((Close-INT(Close))*60),0)))</f>
        <v/>
      </c>
    </row>
    <row r="23" spans="2:17" ht="17" customHeight="1" thickBot="1">
      <c r="B23" s="91"/>
      <c r="C23" s="3" t="s">
        <v>16</v>
      </c>
      <c r="D23" s="54"/>
      <c r="E23" s="117" t="s">
        <v>103</v>
      </c>
      <c r="F23" s="82"/>
      <c r="G23" s="82"/>
      <c r="H23" s="83"/>
      <c r="I23" s="87"/>
      <c r="J23" s="87"/>
      <c r="K23" s="88"/>
      <c r="L23" t="str">
        <f t="shared" si="1"/>
        <v/>
      </c>
      <c r="M23" t="str">
        <f t="shared" si="0"/>
        <v/>
      </c>
      <c r="N23" s="5" t="str">
        <f>IF(ISBLANK(Distance),"",Open_time Control_1+(INT(Open)&amp;":"&amp;IF(ROUND(((Open-INT(Open))*60),0)&lt;10,0,"")&amp;ROUND(((Open-INT(Open))*60),0)))</f>
        <v/>
      </c>
      <c r="O23" s="5" t="str">
        <f>IF(ISBLANK(Distance),"",Open_time Control_1+(INT(Close)&amp;":"&amp;IF(ROUND(((Close-INT(Close))*60),0)&lt;10,0,"")&amp;ROUND(((Close-INT(Close))*60),0)))</f>
        <v/>
      </c>
    </row>
    <row r="24" spans="2:17" ht="7" customHeight="1" thickBot="1">
      <c r="D24" s="68"/>
      <c r="E24" s="69"/>
      <c r="F24" s="70"/>
      <c r="G24" s="70"/>
      <c r="H24" s="70"/>
      <c r="I24" s="70"/>
      <c r="J24" s="70"/>
      <c r="K24" s="71"/>
      <c r="N24" s="5"/>
      <c r="O24" s="5"/>
    </row>
    <row r="25" spans="2:17" ht="13" thickBot="1">
      <c r="D25" s="123" t="s">
        <v>77</v>
      </c>
      <c r="E25" s="124"/>
      <c r="F25" s="124"/>
      <c r="G25" s="124"/>
      <c r="H25" s="124"/>
      <c r="I25" s="127" t="s">
        <v>72</v>
      </c>
      <c r="J25" s="124"/>
      <c r="K25" s="125"/>
    </row>
    <row r="26" spans="2:17" ht="13" thickBot="1">
      <c r="D26" s="6" t="s">
        <v>24</v>
      </c>
      <c r="E26" s="7" t="s">
        <v>25</v>
      </c>
      <c r="F26" s="66" t="s">
        <v>26</v>
      </c>
      <c r="G26" s="66" t="s">
        <v>27</v>
      </c>
      <c r="H26" s="67" t="s">
        <v>28</v>
      </c>
      <c r="I26" s="7" t="s">
        <v>60</v>
      </c>
      <c r="J26" s="7" t="s">
        <v>61</v>
      </c>
      <c r="K26" s="8" t="s">
        <v>62</v>
      </c>
      <c r="L26" t="s">
        <v>3</v>
      </c>
      <c r="M26" t="s">
        <v>4</v>
      </c>
      <c r="N26" t="s">
        <v>5</v>
      </c>
      <c r="O26" t="s">
        <v>6</v>
      </c>
    </row>
    <row r="27" spans="2:17" ht="15">
      <c r="D27" s="28"/>
      <c r="E27" s="78"/>
      <c r="F27" s="79"/>
      <c r="G27" s="79"/>
      <c r="H27" s="80"/>
      <c r="I27" s="84"/>
      <c r="J27" s="84"/>
      <c r="K27" s="85"/>
      <c r="L27" t="str">
        <f>IF(ISBLANK(D27),"",IF(D27&gt;1000,(D27-1000)/26+33.0847,(IF(D27&gt;600,(D27-600)/28+18.799,(IF(D27&gt;400,(D27-400)/30+12.1324,(IF(D27&gt;200,(D27-200)/32+5.8824,D27/34))))))))</f>
        <v/>
      </c>
      <c r="M27" t="str">
        <f t="shared" ref="M27:M36" si="2">IF(ISBLANK(D27),"",IF((D27=0),1,IF(D27&gt;=brevet,IF(brevet&gt;1200,(brevet-1200)*75/1000+90,Max_time),IF(D27&gt;1200,(D27-1200)*75/1000+90,IF(D27&gt;1000,(D27-1000)/(1000/75)+75,IF(D27&gt;600,(D27-600)/(400/35)+40,IF(D27&lt;=60,D27/20+1,D27/15)))))))</f>
        <v/>
      </c>
      <c r="N27" s="5" t="str">
        <f>IF(ISBLANK(D27),"",Open_time Control_1+(INT(L27)&amp;":"&amp;IF(ROUND(((L27-INT(L27))*60),0)&lt;10,0,"")&amp;ROUND(((L27-INT(L27))*60),0)))</f>
        <v/>
      </c>
      <c r="O27" s="5" t="str">
        <f>IF(ISBLANK(D27),"",Open_time Control_1+(INT(M27)&amp;":"&amp;IF(ROUND(((M27-INT(M27))*60),0)&lt;10,0,"")&amp;ROUND(((M27-INT(M27))*60),0)))</f>
        <v/>
      </c>
    </row>
    <row r="28" spans="2:17" ht="17" customHeight="1">
      <c r="D28" s="28"/>
      <c r="E28" s="78"/>
      <c r="F28" s="79"/>
      <c r="G28" s="79"/>
      <c r="H28" s="80"/>
      <c r="I28" s="84"/>
      <c r="J28" s="84"/>
      <c r="K28" s="86"/>
      <c r="L28" t="str">
        <f t="shared" ref="L28:L36" si="3">IF(ISBLANK(D28),"",IF(D28&gt;1000,(D28-1000)/26+33.0847,(IF(D28&gt;600,(D28-600)/28+18.799,(IF(D28&gt;400,(D28-400)/30+12.1324,(IF(D28&gt;200,(D28-200)/32+5.8824,D28/34))))))))</f>
        <v/>
      </c>
      <c r="M28" t="str">
        <f t="shared" si="2"/>
        <v/>
      </c>
      <c r="N28" s="5" t="str">
        <f>IF(ISBLANK(D28),"",Open_time Control_1+(INT(L28)&amp;":"&amp;IF(ROUND(((L28-INT(L28))*60),0)&lt;10,0,"")&amp;ROUND(((L28-INT(L28))*60),0)))</f>
        <v/>
      </c>
      <c r="O28" s="5" t="str">
        <f>IF(ISBLANK(D28),"",Open_time Control_1+(INT(M28)&amp;":"&amp;IF(ROUND(((M28-INT(M28))*60),0)&lt;10,0,"")&amp;ROUND(((M28-INT(M28))*60),0)))</f>
        <v/>
      </c>
    </row>
    <row r="29" spans="2:17" ht="17" customHeight="1">
      <c r="D29" s="28"/>
      <c r="E29" s="78"/>
      <c r="F29" s="79"/>
      <c r="G29" s="79"/>
      <c r="H29" s="80"/>
      <c r="I29" s="84"/>
      <c r="J29" s="84"/>
      <c r="K29" s="86"/>
      <c r="L29" t="str">
        <f t="shared" si="3"/>
        <v/>
      </c>
      <c r="M29" t="str">
        <f t="shared" si="2"/>
        <v/>
      </c>
      <c r="N29" s="5" t="str">
        <f>IF(ISBLANK(D29),"",Open_time Control_1+(INT(L29)&amp;":"&amp;IF(ROUND(((L29-INT(L29))*60),0)&lt;10,0,"")&amp;ROUND(((L29-INT(L29))*60),0)))</f>
        <v/>
      </c>
      <c r="O29" s="5" t="str">
        <f>IF(ISBLANK(D29),"",Open_time Control_1+(INT(M29)&amp;":"&amp;IF(ROUND(((M29-INT(M29))*60),0)&lt;10,0,"")&amp;ROUND(((M29-INT(M29))*60),0)))</f>
        <v/>
      </c>
    </row>
    <row r="30" spans="2:17" ht="17" customHeight="1">
      <c r="D30" s="28"/>
      <c r="E30" s="78"/>
      <c r="F30" s="79"/>
      <c r="G30" s="79"/>
      <c r="H30" s="80"/>
      <c r="I30" s="84"/>
      <c r="J30" s="84"/>
      <c r="K30" s="85"/>
      <c r="L30" t="str">
        <f t="shared" si="3"/>
        <v/>
      </c>
      <c r="M30" t="str">
        <f t="shared" si="2"/>
        <v/>
      </c>
      <c r="N30" s="5" t="str">
        <f>IF(ISBLANK(D30),"",Open_time Control_1+(INT(L30)&amp;":"&amp;IF(ROUND(((L30-INT(L30))*60),0)&lt;10,0,"")&amp;ROUND(((L30-INT(L30))*60),0)))</f>
        <v/>
      </c>
      <c r="O30" s="5" t="str">
        <f>IF(ISBLANK(D30),"",Open_time Control_1+(INT(M30)&amp;":"&amp;IF(ROUND(((M30-INT(M30))*60),0)&lt;10,0,"")&amp;ROUND(((M30-INT(M30))*60),0)))</f>
        <v/>
      </c>
    </row>
    <row r="31" spans="2:17" ht="17" customHeight="1">
      <c r="D31" s="28"/>
      <c r="E31" s="78"/>
      <c r="F31" s="79"/>
      <c r="G31" s="79"/>
      <c r="H31" s="80"/>
      <c r="I31" s="84"/>
      <c r="J31" s="84"/>
      <c r="K31" s="85"/>
      <c r="L31" t="str">
        <f t="shared" si="3"/>
        <v/>
      </c>
      <c r="M31" t="str">
        <f t="shared" si="2"/>
        <v/>
      </c>
      <c r="N31" s="5" t="str">
        <f>IF(ISBLANK(D31),"",Open_time Control_1+(INT(L31)&amp;":"&amp;IF(ROUND(((L31-INT(L31))*60),0)&lt;10,0,"")&amp;ROUND(((L31-INT(L31))*60),0)))</f>
        <v/>
      </c>
      <c r="O31" s="5" t="str">
        <f>IF(ISBLANK(D31),"",Open_time Control_1+(INT(M31)&amp;":"&amp;IF(ROUND(((M31-INT(M31))*60),0)&lt;10,0,"")&amp;ROUND(((M31-INT(M31))*60),0)))</f>
        <v/>
      </c>
    </row>
    <row r="32" spans="2:17" ht="17" customHeight="1">
      <c r="D32" s="28"/>
      <c r="E32" s="78"/>
      <c r="F32" s="79"/>
      <c r="G32" s="79"/>
      <c r="H32" s="80"/>
      <c r="I32" s="84"/>
      <c r="J32" s="84"/>
      <c r="K32" s="85"/>
      <c r="L32" t="str">
        <f t="shared" si="3"/>
        <v/>
      </c>
      <c r="M32" t="str">
        <f t="shared" si="2"/>
        <v/>
      </c>
      <c r="N32" s="5" t="str">
        <f>IF(ISBLANK(D32),"",Open_time Control_1+(INT(L32)&amp;":"&amp;IF(ROUND(((L32-INT(L32))*60),0)&lt;10,0,"")&amp;ROUND(((L32-INT(L32))*60),0)))</f>
        <v/>
      </c>
      <c r="O32" s="5" t="str">
        <f>IF(ISBLANK(D32),"",Open_time Control_1+(INT(M32)&amp;":"&amp;IF(ROUND(((M32-INT(M32))*60),0)&lt;10,0,"")&amp;ROUND(((M32-INT(M32))*60),0)))</f>
        <v/>
      </c>
    </row>
    <row r="33" spans="4:15" ht="17" customHeight="1">
      <c r="D33" s="28"/>
      <c r="E33" s="78"/>
      <c r="F33" s="79"/>
      <c r="G33" s="79"/>
      <c r="H33" s="80"/>
      <c r="I33" s="84"/>
      <c r="J33" s="84"/>
      <c r="K33" s="86"/>
      <c r="L33" t="str">
        <f t="shared" si="3"/>
        <v/>
      </c>
      <c r="M33" t="str">
        <f t="shared" si="2"/>
        <v/>
      </c>
      <c r="N33" s="5" t="str">
        <f>IF(ISBLANK(D33),"",Open_time Control_1+(INT(L33)&amp;":"&amp;IF(ROUND(((L33-INT(L33))*60),0)&lt;10,0,"")&amp;ROUND(((L33-INT(L33))*60),0)))</f>
        <v/>
      </c>
      <c r="O33" s="5" t="str">
        <f>IF(ISBLANK(D33),"",Open_time Control_1+(INT(M33)&amp;":"&amp;IF(ROUND(((M33-INT(M33))*60),0)&lt;10,0,"")&amp;ROUND(((M33-INT(M33))*60),0)))</f>
        <v/>
      </c>
    </row>
    <row r="34" spans="4:15" ht="17" customHeight="1">
      <c r="D34" s="28"/>
      <c r="E34" s="78"/>
      <c r="F34" s="79"/>
      <c r="G34" s="79"/>
      <c r="H34" s="80"/>
      <c r="I34" s="84"/>
      <c r="J34" s="84"/>
      <c r="K34" s="85"/>
      <c r="L34" t="str">
        <f t="shared" si="3"/>
        <v/>
      </c>
      <c r="M34" t="str">
        <f t="shared" si="2"/>
        <v/>
      </c>
      <c r="N34" s="5" t="str">
        <f>IF(ISBLANK(D34),"",Open_time Control_1+(INT(L34)&amp;":"&amp;IF(ROUND(((L34-INT(L34))*60),0)&lt;10,0,"")&amp;ROUND(((L34-INT(L34))*60),0)))</f>
        <v/>
      </c>
      <c r="O34" s="5" t="str">
        <f>IF(ISBLANK(D34),"",Open_time Control_1+(INT(M34)&amp;":"&amp;IF(ROUND(((M34-INT(M34))*60),0)&lt;10,0,"")&amp;ROUND(((M34-INT(M34))*60),0)))</f>
        <v/>
      </c>
    </row>
    <row r="35" spans="4:15" ht="17" customHeight="1">
      <c r="D35" s="28"/>
      <c r="E35" s="78"/>
      <c r="F35" s="79"/>
      <c r="G35" s="79"/>
      <c r="H35" s="80"/>
      <c r="I35" s="84"/>
      <c r="J35" s="84"/>
      <c r="K35" s="85"/>
      <c r="L35" t="str">
        <f t="shared" si="3"/>
        <v/>
      </c>
      <c r="M35" t="str">
        <f t="shared" si="2"/>
        <v/>
      </c>
      <c r="N35" s="5" t="str">
        <f>IF(ISBLANK(D35),"",Open_time Control_1+(INT(L35)&amp;":"&amp;IF(ROUND(((L35-INT(L35))*60),0)&lt;10,0,"")&amp;ROUND(((L35-INT(L35))*60),0)))</f>
        <v/>
      </c>
      <c r="O35" s="5" t="str">
        <f>IF(ISBLANK(D35),"",Open_time Control_1+(INT(M35)&amp;":"&amp;IF(ROUND(((M35-INT(M35))*60),0)&lt;10,0,"")&amp;ROUND(((M35-INT(M35))*60),0)))</f>
        <v/>
      </c>
    </row>
    <row r="36" spans="4:15" ht="17" customHeight="1" thickBot="1">
      <c r="D36" s="54"/>
      <c r="E36" s="81"/>
      <c r="F36" s="82"/>
      <c r="G36" s="82"/>
      <c r="H36" s="83"/>
      <c r="I36" s="87"/>
      <c r="J36" s="87"/>
      <c r="K36" s="88"/>
      <c r="L36" t="str">
        <f t="shared" si="3"/>
        <v/>
      </c>
      <c r="M36" t="str">
        <f t="shared" si="2"/>
        <v/>
      </c>
      <c r="N36" s="5" t="str">
        <f>IF(ISBLANK(D36),"",Open_time Control_1+(INT(L36)&amp;":"&amp;IF(ROUND(((L36-INT(L36))*60),0)&lt;10,0,"")&amp;ROUND(((L36-INT(L36))*60),0)))</f>
        <v/>
      </c>
      <c r="O36" s="5" t="str">
        <f>IF(ISBLANK(D36),"",Open_time Control_1+(INT(M36)&amp;":"&amp;IF(ROUND(((M36-INT(M36))*60),0)&lt;10,0,"")&amp;ROUND(((M36-INT(M36))*60),0)))</f>
        <v/>
      </c>
    </row>
    <row r="37" spans="4:15" ht="7" customHeight="1" thickBot="1">
      <c r="D37" s="68"/>
      <c r="E37" s="69"/>
      <c r="F37" s="70"/>
      <c r="G37" s="70"/>
      <c r="H37" s="70"/>
      <c r="I37" s="70"/>
      <c r="J37" s="70"/>
      <c r="K37" s="71"/>
      <c r="N37" s="5"/>
      <c r="O37" s="5"/>
    </row>
    <row r="38" spans="4:15" ht="13" thickBot="1">
      <c r="D38" s="123" t="s">
        <v>79</v>
      </c>
      <c r="E38" s="124"/>
      <c r="F38" s="124"/>
      <c r="G38" s="124"/>
      <c r="H38" s="124"/>
      <c r="I38" s="123" t="s">
        <v>78</v>
      </c>
      <c r="J38" s="124"/>
      <c r="K38" s="125"/>
    </row>
    <row r="39" spans="4:15" ht="13" thickBot="1">
      <c r="D39" s="6" t="s">
        <v>24</v>
      </c>
      <c r="E39" s="7" t="s">
        <v>25</v>
      </c>
      <c r="F39" s="66" t="s">
        <v>26</v>
      </c>
      <c r="G39" s="66" t="s">
        <v>27</v>
      </c>
      <c r="H39" s="97" t="s">
        <v>28</v>
      </c>
      <c r="I39" s="7" t="s">
        <v>60</v>
      </c>
      <c r="J39" s="7" t="s">
        <v>61</v>
      </c>
      <c r="K39" s="8" t="s">
        <v>62</v>
      </c>
      <c r="L39" t="s">
        <v>3</v>
      </c>
      <c r="M39" t="s">
        <v>4</v>
      </c>
      <c r="N39" t="s">
        <v>5</v>
      </c>
      <c r="O39" t="s">
        <v>6</v>
      </c>
    </row>
    <row r="40" spans="4:15" ht="15">
      <c r="D40" s="28"/>
      <c r="E40" s="78"/>
      <c r="F40" s="79"/>
      <c r="G40" s="79"/>
      <c r="H40" s="98"/>
      <c r="I40" s="84"/>
      <c r="J40" s="84"/>
      <c r="K40" s="85"/>
      <c r="L40" t="str">
        <f>IF(ISBLANK(D40),"",IF(D40&gt;1000,(D40-1000)/26+33.0847,(IF(D40&gt;600,(D40-600)/28+18.799,(IF(D40&gt;400,(D40-400)/30+12.1324,(IF(D40&gt;200,(D40-200)/32+5.8824,D40/34))))))))</f>
        <v/>
      </c>
      <c r="M40" t="str">
        <f t="shared" ref="M40:M49" si="4">IF(ISBLANK(D40),"",IF((D40=0),1,IF(D40&gt;=brevet,IF(brevet&gt;1200,(brevet-1200)*75/1000+90,Max_time),IF(D40&gt;1200,(D40-1200)*75/1000+90,IF(D40&gt;1000,(D40-1000)/(1000/75)+75,IF(D40&gt;600,(D40-600)/(400/35)+40,IF(D40&lt;=60,D40/20+1,D40/15)))))))</f>
        <v/>
      </c>
      <c r="N40" s="5" t="str">
        <f>IF(ISBLANK(D40),"",Open_time Control_1+(INT(L40)&amp;":"&amp;IF(ROUND(((L40-INT(L40))*60),0)&lt;10,0,"")&amp;ROUND(((L40-INT(L40))*60),0)))</f>
        <v/>
      </c>
      <c r="O40" s="5" t="str">
        <f>IF(ISBLANK(D40),"",Open_time Control_1+(INT(M40)&amp;":"&amp;IF(ROUND(((M40-INT(M40))*60),0)&lt;10,0,"")&amp;ROUND(((M40-INT(M40))*60),0)))</f>
        <v/>
      </c>
    </row>
    <row r="41" spans="4:15" ht="15">
      <c r="D41" s="28"/>
      <c r="E41" s="78"/>
      <c r="F41" s="79"/>
      <c r="G41" s="79"/>
      <c r="H41" s="80"/>
      <c r="I41" s="84"/>
      <c r="J41" s="84"/>
      <c r="K41" s="86"/>
      <c r="L41" t="str">
        <f t="shared" ref="L41:L49" si="5">IF(ISBLANK(D41),"",IF(D41&gt;1000,(D41-1000)/26+33.0847,(IF(D41&gt;600,(D41-600)/28+18.799,(IF(D41&gt;400,(D41-400)/30+12.1324,(IF(D41&gt;200,(D41-200)/32+5.8824,D41/34))))))))</f>
        <v/>
      </c>
      <c r="M41" t="str">
        <f t="shared" si="4"/>
        <v/>
      </c>
      <c r="N41" s="5" t="str">
        <f>IF(ISBLANK(D41),"",Open_time Control_1+(INT(L41)&amp;":"&amp;IF(ROUND(((L41-INT(L41))*60),0)&lt;10,0,"")&amp;ROUND(((L41-INT(L41))*60),0)))</f>
        <v/>
      </c>
      <c r="O41" s="5" t="str">
        <f>IF(ISBLANK(D41),"",Open_time Control_1+(INT(M41)&amp;":"&amp;IF(ROUND(((M41-INT(M41))*60),0)&lt;10,0,"")&amp;ROUND(((M41-INT(M41))*60),0)))</f>
        <v/>
      </c>
    </row>
    <row r="42" spans="4:15" ht="15">
      <c r="D42" s="28"/>
      <c r="E42" s="89"/>
      <c r="F42" s="79"/>
      <c r="G42" s="79"/>
      <c r="H42" s="80"/>
      <c r="I42" s="84"/>
      <c r="J42" s="84"/>
      <c r="K42" s="86"/>
      <c r="L42" t="str">
        <f t="shared" si="5"/>
        <v/>
      </c>
      <c r="M42" t="str">
        <f t="shared" si="4"/>
        <v/>
      </c>
      <c r="N42" s="5" t="str">
        <f>IF(ISBLANK(D42),"",Open_time Control_1+(INT(L42)&amp;":"&amp;IF(ROUND(((L42-INT(L42))*60),0)&lt;10,0,"")&amp;ROUND(((L42-INT(L42))*60),0)))</f>
        <v/>
      </c>
      <c r="O42" s="5" t="str">
        <f>IF(ISBLANK(D42),"",Open_time Control_1+(INT(M42)&amp;":"&amp;IF(ROUND(((M42-INT(M42))*60),0)&lt;10,0,"")&amp;ROUND(((M42-INT(M42))*60),0)))</f>
        <v/>
      </c>
    </row>
    <row r="43" spans="4:15" ht="15">
      <c r="D43" s="28"/>
      <c r="E43" s="78"/>
      <c r="F43" s="79"/>
      <c r="G43" s="79"/>
      <c r="H43" s="80"/>
      <c r="I43" s="84"/>
      <c r="J43" s="84"/>
      <c r="K43" s="85"/>
      <c r="L43" t="str">
        <f t="shared" si="5"/>
        <v/>
      </c>
      <c r="M43" t="str">
        <f t="shared" si="4"/>
        <v/>
      </c>
      <c r="N43" s="5" t="str">
        <f>IF(ISBLANK(D43),"",Open_time Control_1+(INT(L43)&amp;":"&amp;IF(ROUND(((L43-INT(L43))*60),0)&lt;10,0,"")&amp;ROUND(((L43-INT(L43))*60),0)))</f>
        <v/>
      </c>
      <c r="O43" s="5" t="str">
        <f>IF(ISBLANK(D43),"",Open_time Control_1+(INT(M43)&amp;":"&amp;IF(ROUND(((M43-INT(M43))*60),0)&lt;10,0,"")&amp;ROUND(((M43-INT(M43))*60),0)))</f>
        <v/>
      </c>
    </row>
    <row r="44" spans="4:15" ht="15">
      <c r="D44" s="28"/>
      <c r="E44" s="78"/>
      <c r="F44" s="79"/>
      <c r="G44" s="79"/>
      <c r="H44" s="80"/>
      <c r="I44" s="84"/>
      <c r="J44" s="84"/>
      <c r="K44" s="85"/>
      <c r="L44" t="str">
        <f t="shared" si="5"/>
        <v/>
      </c>
      <c r="M44" t="str">
        <f t="shared" si="4"/>
        <v/>
      </c>
      <c r="N44" s="5" t="str">
        <f>IF(ISBLANK(D44),"",Open_time Control_1+(INT(L44)&amp;":"&amp;IF(ROUND(((L44-INT(L44))*60),0)&lt;10,0,"")&amp;ROUND(((L44-INT(L44))*60),0)))</f>
        <v/>
      </c>
      <c r="O44" s="5" t="str">
        <f>IF(ISBLANK(D44),"",Open_time Control_1+(INT(M44)&amp;":"&amp;IF(ROUND(((M44-INT(M44))*60),0)&lt;10,0,"")&amp;ROUND(((M44-INT(M44))*60),0)))</f>
        <v/>
      </c>
    </row>
    <row r="45" spans="4:15" ht="15">
      <c r="D45" s="28"/>
      <c r="E45" s="78"/>
      <c r="F45" s="79"/>
      <c r="G45" s="79"/>
      <c r="H45" s="80"/>
      <c r="I45" s="84"/>
      <c r="J45" s="84"/>
      <c r="K45" s="85"/>
      <c r="L45" t="str">
        <f t="shared" si="5"/>
        <v/>
      </c>
      <c r="M45" t="str">
        <f t="shared" si="4"/>
        <v/>
      </c>
      <c r="N45" s="5" t="str">
        <f>IF(ISBLANK(D45),"",Open_time Control_1+(INT(L45)&amp;":"&amp;IF(ROUND(((L45-INT(L45))*60),0)&lt;10,0,"")&amp;ROUND(((L45-INT(L45))*60),0)))</f>
        <v/>
      </c>
      <c r="O45" s="5" t="str">
        <f>IF(ISBLANK(D45),"",Open_time Control_1+(INT(M45)&amp;":"&amp;IF(ROUND(((M45-INT(M45))*60),0)&lt;10,0,"")&amp;ROUND(((M45-INT(M45))*60),0)))</f>
        <v/>
      </c>
    </row>
    <row r="46" spans="4:15" ht="15">
      <c r="D46" s="28"/>
      <c r="E46" s="78"/>
      <c r="F46" s="79"/>
      <c r="G46" s="79"/>
      <c r="H46" s="80"/>
      <c r="I46" s="84"/>
      <c r="J46" s="84"/>
      <c r="K46" s="86"/>
      <c r="L46" t="str">
        <f t="shared" si="5"/>
        <v/>
      </c>
      <c r="M46" t="str">
        <f t="shared" si="4"/>
        <v/>
      </c>
      <c r="N46" s="5" t="str">
        <f>IF(ISBLANK(D46),"",Open_time Control_1+(INT(L46)&amp;":"&amp;IF(ROUND(((L46-INT(L46))*60),0)&lt;10,0,"")&amp;ROUND(((L46-INT(L46))*60),0)))</f>
        <v/>
      </c>
      <c r="O46" s="5" t="str">
        <f>IF(ISBLANK(D46),"",Open_time Control_1+(INT(M46)&amp;":"&amp;IF(ROUND(((M46-INT(M46))*60),0)&lt;10,0,"")&amp;ROUND(((M46-INT(M46))*60),0)))</f>
        <v/>
      </c>
    </row>
    <row r="47" spans="4:15" ht="15">
      <c r="D47" s="28"/>
      <c r="E47" s="78"/>
      <c r="F47" s="79"/>
      <c r="G47" s="79"/>
      <c r="H47" s="80"/>
      <c r="I47" s="84"/>
      <c r="J47" s="84"/>
      <c r="K47" s="85"/>
      <c r="L47" t="str">
        <f t="shared" si="5"/>
        <v/>
      </c>
      <c r="M47" t="str">
        <f t="shared" si="4"/>
        <v/>
      </c>
      <c r="N47" s="5" t="str">
        <f>IF(ISBLANK(D47),"",Open_time Control_1+(INT(L47)&amp;":"&amp;IF(ROUND(((L47-INT(L47))*60),0)&lt;10,0,"")&amp;ROUND(((L47-INT(L47))*60),0)))</f>
        <v/>
      </c>
      <c r="O47" s="5" t="str">
        <f>IF(ISBLANK(D47),"",Open_time Control_1+(INT(M47)&amp;":"&amp;IF(ROUND(((M47-INT(M47))*60),0)&lt;10,0,"")&amp;ROUND(((M47-INT(M47))*60),0)))</f>
        <v/>
      </c>
    </row>
    <row r="48" spans="4:15" ht="15">
      <c r="D48" s="28"/>
      <c r="E48" s="78"/>
      <c r="F48" s="79"/>
      <c r="G48" s="79"/>
      <c r="H48" s="80"/>
      <c r="I48" s="84"/>
      <c r="J48" s="84"/>
      <c r="K48" s="85"/>
      <c r="L48" t="str">
        <f t="shared" si="5"/>
        <v/>
      </c>
      <c r="M48" t="str">
        <f t="shared" si="4"/>
        <v/>
      </c>
      <c r="N48" s="5" t="str">
        <f>IF(ISBLANK(D48),"",Open_time Control_1+(INT(L48)&amp;":"&amp;IF(ROUND(((L48-INT(L48))*60),0)&lt;10,0,"")&amp;ROUND(((L48-INT(L48))*60),0)))</f>
        <v/>
      </c>
      <c r="O48" s="5" t="str">
        <f>IF(ISBLANK(D48),"",Open_time Control_1+(INT(M48)&amp;":"&amp;IF(ROUND(((M48-INT(M48))*60),0)&lt;10,0,"")&amp;ROUND(((M48-INT(M48))*60),0)))</f>
        <v/>
      </c>
    </row>
    <row r="49" spans="4:15" ht="16" thickBot="1">
      <c r="D49" s="54"/>
      <c r="E49" s="81"/>
      <c r="F49" s="82"/>
      <c r="G49" s="82"/>
      <c r="H49" s="83"/>
      <c r="I49" s="87"/>
      <c r="J49" s="87"/>
      <c r="K49" s="88"/>
      <c r="L49" t="str">
        <f t="shared" si="5"/>
        <v/>
      </c>
      <c r="M49" t="str">
        <f t="shared" si="4"/>
        <v/>
      </c>
      <c r="N49" s="5" t="str">
        <f>IF(ISBLANK(D49),"",Open_time Control_1+(INT(L49)&amp;":"&amp;IF(ROUND(((L49-INT(L49))*60),0)&lt;10,0,"")&amp;ROUND(((L49-INT(L49))*60),0)))</f>
        <v/>
      </c>
      <c r="O49" s="5" t="str">
        <f>IF(ISBLANK(D49),"",Open_time Control_1+(INT(M49)&amp;":"&amp;IF(ROUND(((M49-INT(M49))*60),0)&lt;10,0,"")&amp;ROUND(((M49-INT(M49))*60),0)))</f>
        <v/>
      </c>
    </row>
  </sheetData>
  <sheetProtection algorithmName="SHA-512" hashValue="8ATjRc/L1tkX0X9n8vWAujSih7VjQgR4Gm1AUMiMNmIEM0Ks0LMyy6Zny+wLDDf98ZixB0hvBn2H0qG5vGQOjQ==" saltValue="5u/p/vbWEv2+CxFHQHaMLg==" spinCount="100000" sheet="1" objects="1" scenarios="1" selectLockedCells="1"/>
  <mergeCells count="10">
    <mergeCell ref="Q1:Z4"/>
    <mergeCell ref="A1:H1"/>
    <mergeCell ref="B7:H7"/>
    <mergeCell ref="D38:H38"/>
    <mergeCell ref="I38:K38"/>
    <mergeCell ref="J5:K5"/>
    <mergeCell ref="D12:H12"/>
    <mergeCell ref="D25:H25"/>
    <mergeCell ref="I12:K12"/>
    <mergeCell ref="I25:K25"/>
  </mergeCells>
  <phoneticPr fontId="16"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40"/>
  <sheetViews>
    <sheetView showGridLines="0" tabSelected="1" zoomScale="92" zoomScaleNormal="92" zoomScalePageLayoutView="92" workbookViewId="0">
      <selection activeCell="F18" sqref="F18"/>
    </sheetView>
  </sheetViews>
  <sheetFormatPr baseColWidth="10" defaultColWidth="8.83203125" defaultRowHeight="12" x14ac:dyDescent="0"/>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style="30" customWidth="1"/>
    <col min="9" max="9" width="12" customWidth="1"/>
    <col min="18" max="19" width="8.83203125" customWidth="1"/>
  </cols>
  <sheetData>
    <row r="1" spans="1:22" ht="19" thickBot="1">
      <c r="A1" s="136" t="s">
        <v>80</v>
      </c>
      <c r="B1" s="136"/>
      <c r="C1" s="136"/>
      <c r="D1" s="136"/>
      <c r="E1" s="136"/>
      <c r="F1" s="136"/>
      <c r="G1" s="136"/>
      <c r="H1" s="29" t="s">
        <v>29</v>
      </c>
    </row>
    <row r="2" spans="1:22" ht="33.75" customHeight="1" thickBot="1">
      <c r="A2" s="77" t="s">
        <v>30</v>
      </c>
      <c r="B2" s="9" t="s">
        <v>3</v>
      </c>
      <c r="C2" s="9" t="s">
        <v>4</v>
      </c>
      <c r="D2" s="9" t="s">
        <v>25</v>
      </c>
      <c r="E2" s="9" t="s">
        <v>31</v>
      </c>
      <c r="F2" s="9" t="s">
        <v>59</v>
      </c>
      <c r="G2" s="77" t="s">
        <v>32</v>
      </c>
      <c r="H2" s="29" t="s">
        <v>29</v>
      </c>
      <c r="K2" s="134" t="s">
        <v>55</v>
      </c>
      <c r="L2" s="134"/>
      <c r="M2" s="134"/>
      <c r="N2" s="134"/>
      <c r="O2" s="134"/>
      <c r="P2" s="134"/>
      <c r="Q2" s="134"/>
      <c r="R2" s="134"/>
      <c r="S2" s="134"/>
      <c r="T2" s="134"/>
      <c r="U2" s="134"/>
    </row>
    <row r="3" spans="1:22" ht="36" customHeight="1">
      <c r="A3" s="31"/>
      <c r="B3" s="32">
        <f>Control_1 Open_time</f>
        <v>45087.291666666664</v>
      </c>
      <c r="C3" s="32">
        <f>Control_1 Close_time</f>
        <v>45087.333333333328</v>
      </c>
      <c r="D3" s="33"/>
      <c r="E3" s="34" t="str">
        <f>IF(ISBLANK(Control_1 Establishment_1),"",Control_1 Establishment_1)</f>
        <v>Starbucks</v>
      </c>
      <c r="F3" s="108" t="str">
        <f>IF(ISBLANK('Control Entry'!I14),"",'Control Entry'!I14)</f>
        <v/>
      </c>
      <c r="G3" s="109"/>
      <c r="H3" s="29" t="s">
        <v>29</v>
      </c>
      <c r="K3" s="14"/>
      <c r="O3" s="143" t="s">
        <v>33</v>
      </c>
      <c r="P3" s="143"/>
      <c r="Q3" s="143"/>
      <c r="R3" s="143"/>
      <c r="S3" s="94" t="str">
        <f>IF('Control Entry'!D27=0,"","#1")</f>
        <v/>
      </c>
      <c r="U3" s="44"/>
    </row>
    <row r="4" spans="1:22" ht="36" customHeight="1">
      <c r="A4" s="40">
        <f>IF(ISBLANK(Distance Control_1),"",Control_1 Distance)</f>
        <v>0</v>
      </c>
      <c r="B4" s="41">
        <f>Control_1 Open_time</f>
        <v>45087.291666666664</v>
      </c>
      <c r="C4" s="41">
        <f>Control_1 Close_time</f>
        <v>45087.333333333328</v>
      </c>
      <c r="D4" s="42" t="str">
        <f>IF(ISBLANK(Locale Control_1),"",Locale Control_1)</f>
        <v>Burnaby</v>
      </c>
      <c r="E4" s="34" t="str">
        <f>IF(ISBLANK(Control_1 Establishment_2),"",Control_1 Establishment_2)</f>
        <v>6568 Hastings St</v>
      </c>
      <c r="F4" s="110" t="str">
        <f>IF(ISBLANK('Control Entry'!J14),"",'Control Entry'!J14)</f>
        <v/>
      </c>
      <c r="G4" s="109"/>
      <c r="H4" s="29" t="s">
        <v>29</v>
      </c>
      <c r="K4" s="14"/>
      <c r="M4" s="138" t="str">
        <f>IF(ISBLANK(brevet),"",brevet&amp;" km Randonnée")</f>
        <v>200 km Randonnée</v>
      </c>
      <c r="N4" s="138"/>
      <c r="O4" s="138"/>
      <c r="P4" s="138"/>
      <c r="Q4" s="138"/>
      <c r="R4" s="138"/>
      <c r="S4" s="138"/>
      <c r="T4" s="138"/>
      <c r="U4" s="45"/>
    </row>
    <row r="5" spans="1:22" ht="36" customHeight="1" thickBot="1">
      <c r="A5" s="35"/>
      <c r="B5" s="36">
        <f>Control_1 Open_time</f>
        <v>45087.291666666664</v>
      </c>
      <c r="C5" s="36">
        <f>Control_1 Close_time</f>
        <v>45087.333333333328</v>
      </c>
      <c r="D5" s="37"/>
      <c r="E5" s="38" t="str">
        <f>IF(ISBLANK(Control_1 Establishment_3),"",Control_1 Establishment_3)</f>
        <v/>
      </c>
      <c r="F5" s="111" t="str">
        <f>IF(ISBLANK('Control Entry'!K14),"",'Control Entry'!K14)</f>
        <v/>
      </c>
      <c r="G5" s="112"/>
      <c r="H5" s="29" t="s">
        <v>29</v>
      </c>
      <c r="K5" s="14"/>
      <c r="M5" s="15"/>
      <c r="N5" s="141" t="s">
        <v>47</v>
      </c>
      <c r="O5" s="141"/>
      <c r="P5" s="64">
        <f>IF(ISBLANK(Brevet_Number),"",Brevet_Number)</f>
        <v>5246</v>
      </c>
      <c r="Q5" s="65"/>
      <c r="R5" s="133">
        <f>IF(ISBLANK('Control Entry'!$B9),"",'Control Entry'!$B9)</f>
        <v>45087</v>
      </c>
      <c r="S5" s="133"/>
      <c r="T5" s="133"/>
      <c r="U5" s="133"/>
      <c r="V5" s="46"/>
    </row>
    <row r="6" spans="1:22" ht="36" customHeight="1">
      <c r="A6" s="31"/>
      <c r="B6" s="32">
        <f>Control_2 Open_time</f>
        <v>45087.397222222222</v>
      </c>
      <c r="C6" s="32">
        <f>Control_2 Close_time</f>
        <v>45087.530555555553</v>
      </c>
      <c r="D6" s="39"/>
      <c r="E6" s="34" t="str">
        <f>IF(ISBLANK(Control_2 Establishment_1),"",Control_2 Establishment_1)</f>
        <v xml:space="preserve">Straiton Rd &amp; </v>
      </c>
      <c r="F6" s="108" t="str">
        <f>IF(ISBLANK('Control Entry'!I15),"",'Control Entry'!I15)</f>
        <v>Back of Stop Sign</v>
      </c>
      <c r="G6" s="109"/>
      <c r="H6" s="29" t="s">
        <v>29</v>
      </c>
      <c r="K6" s="14"/>
      <c r="L6" s="146" t="str">
        <f>IF(ISBLANK(Brevet_Description),"",Brevet_Description)</f>
        <v>Coffee, Ice Cream &amp; Beer</v>
      </c>
      <c r="M6" s="146"/>
      <c r="N6" s="146"/>
      <c r="O6" s="146"/>
      <c r="P6" s="146"/>
      <c r="Q6" s="146"/>
      <c r="R6" s="146"/>
      <c r="S6" s="146"/>
      <c r="T6" s="146"/>
      <c r="U6" s="146"/>
    </row>
    <row r="7" spans="1:22" ht="36" customHeight="1">
      <c r="A7" s="40">
        <f>IF(ISBLANK(Distance Control_2),"",Control_2 Distance)</f>
        <v>86.1</v>
      </c>
      <c r="B7" s="41">
        <f>Control_2 Open_time</f>
        <v>45087.397222222222</v>
      </c>
      <c r="C7" s="41">
        <f>Control_2 Close_time</f>
        <v>45087.530555555553</v>
      </c>
      <c r="D7" s="42" t="str">
        <f>IF(ISBLANK(Locale Control_2),"",Locale Control_2)</f>
        <v>Abbotsford</v>
      </c>
      <c r="E7" s="56" t="str">
        <f>IF(ISBLANK(Control_2 Establishment_2),"",Control_2 Establishment_2)</f>
        <v>Sumas Mountian Rd</v>
      </c>
      <c r="F7" s="110" t="str">
        <f>IF(ISBLANK('Control Entry'!J15),"",'Control Entry'!J15)</f>
        <v>Word on tag?</v>
      </c>
      <c r="G7" s="109"/>
      <c r="H7" s="29" t="s">
        <v>29</v>
      </c>
      <c r="J7" s="93"/>
      <c r="L7" s="93"/>
    </row>
    <row r="8" spans="1:22" ht="36" customHeight="1" thickBot="1">
      <c r="A8" s="35"/>
      <c r="B8" s="36">
        <f>Control_2 Open_time</f>
        <v>45087.397222222222</v>
      </c>
      <c r="C8" s="36">
        <f>Control_2 Close_time</f>
        <v>45087.530555555553</v>
      </c>
      <c r="D8" s="37"/>
      <c r="E8" s="92" t="str">
        <f>IF(ISBLANK(Control_2 Establishment_3),"",Control_2 Establishment_3)</f>
        <v/>
      </c>
      <c r="F8" s="111" t="str">
        <f>IF(ISBLANK('Control Entry'!K15),"",'Control Entry'!K15)</f>
        <v>_ _ _ _ _ _ _ _ _ _ _</v>
      </c>
      <c r="G8" s="112"/>
      <c r="H8" s="29" t="s">
        <v>29</v>
      </c>
      <c r="J8" s="15" t="s">
        <v>34</v>
      </c>
      <c r="L8" s="135"/>
      <c r="M8" s="135"/>
      <c r="N8" s="135"/>
      <c r="O8" s="135"/>
      <c r="P8" s="135"/>
      <c r="Q8" s="135"/>
      <c r="R8" s="30"/>
      <c r="S8" s="47" t="s">
        <v>46</v>
      </c>
      <c r="T8" s="147"/>
      <c r="U8" s="147"/>
    </row>
    <row r="9" spans="1:22" ht="36" customHeight="1" thickBot="1">
      <c r="A9" s="31"/>
      <c r="B9" s="32">
        <f>Control_3 Open_time</f>
        <v>45087.409722222219</v>
      </c>
      <c r="C9" s="32">
        <f>Control_3 Close_time</f>
        <v>45087.55972222222</v>
      </c>
      <c r="D9" s="39"/>
      <c r="E9" s="34" t="str">
        <f>IF(ISBLANK(Control_3 Establishment_1),"",Control_3 Establishment_1)</f>
        <v/>
      </c>
      <c r="F9" s="108" t="str">
        <f>IF(ISBLANK('Control Entry'!I16),"",'Control Entry'!I16)</f>
        <v>Vintage Red Truck on display</v>
      </c>
      <c r="G9" s="109"/>
      <c r="H9" s="29" t="s">
        <v>29</v>
      </c>
      <c r="J9" s="15" t="s">
        <v>35</v>
      </c>
      <c r="K9" s="15"/>
      <c r="L9" s="129" t="s">
        <v>54</v>
      </c>
      <c r="M9" s="129"/>
      <c r="N9" s="129"/>
      <c r="O9" s="129"/>
      <c r="P9" s="129"/>
      <c r="Q9" s="129"/>
      <c r="R9" s="129"/>
      <c r="S9" s="129"/>
      <c r="T9" s="129"/>
      <c r="U9" s="129"/>
    </row>
    <row r="10" spans="1:22" ht="36" customHeight="1" thickBot="1">
      <c r="A10" s="40">
        <f>IF(ISBLANK(Distance Control_3),"",Control_3 Distance)</f>
        <v>96.5</v>
      </c>
      <c r="B10" s="41">
        <f>Control_3 Open_time</f>
        <v>45087.409722222219</v>
      </c>
      <c r="C10" s="41">
        <f>Control_3 Close_time</f>
        <v>45087.55972222222</v>
      </c>
      <c r="D10" s="42" t="str">
        <f>IF(ISBLANK(Locale Control_3),"",Locale Control_3)</f>
        <v>Abbotsford</v>
      </c>
      <c r="E10" s="56" t="str">
        <f>IF(ISBLANK(Control_3 Establishment_2),"",Control_3 Establishment_2)</f>
        <v>Birchwood Dairy</v>
      </c>
      <c r="F10" s="110" t="str">
        <f>IF(ISBLANK('Control Entry'!J16),"",'Control Entry'!J16)</f>
        <v>License Plate # ?</v>
      </c>
      <c r="G10" s="109"/>
      <c r="H10" s="29" t="s">
        <v>29</v>
      </c>
      <c r="J10" s="15"/>
      <c r="K10" s="15"/>
      <c r="L10" s="130"/>
      <c r="M10" s="130"/>
      <c r="N10" s="130"/>
      <c r="O10" s="130"/>
      <c r="P10" s="130"/>
      <c r="Q10" s="130"/>
      <c r="R10" s="130"/>
      <c r="S10" s="130"/>
      <c r="T10" s="130"/>
      <c r="U10" s="130"/>
    </row>
    <row r="11" spans="1:22" ht="36" customHeight="1" thickBot="1">
      <c r="A11" s="35"/>
      <c r="B11" s="36">
        <f>Control_3 Open_time</f>
        <v>45087.409722222219</v>
      </c>
      <c r="C11" s="36">
        <f>Control_3 Close_time</f>
        <v>45087.55972222222</v>
      </c>
      <c r="D11" s="37"/>
      <c r="E11" s="38" t="str">
        <f>IF(ISBLANK(Control_3 Establishment_3),"",Control_3 Establishment_3)</f>
        <v/>
      </c>
      <c r="F11" s="111" t="str">
        <f>IF(ISBLANK('Control Entry'!K16),"",'Control Entry'!K16)</f>
        <v>_ _ _ _ _ _ _ _ _ _ _</v>
      </c>
      <c r="G11" s="112"/>
      <c r="H11" s="29" t="s">
        <v>29</v>
      </c>
      <c r="J11" s="15" t="s">
        <v>36</v>
      </c>
      <c r="K11" s="15"/>
      <c r="L11" s="130"/>
      <c r="M11" s="130"/>
      <c r="N11" s="130"/>
      <c r="O11" s="18"/>
      <c r="P11" s="18" t="s">
        <v>37</v>
      </c>
      <c r="Q11" s="18"/>
      <c r="R11" s="18"/>
      <c r="S11" s="155"/>
      <c r="T11" s="155"/>
      <c r="U11" s="155"/>
    </row>
    <row r="12" spans="1:22" ht="36" customHeight="1" thickBot="1">
      <c r="A12" s="31"/>
      <c r="B12" s="32">
        <f>Control_4 Open_time</f>
        <v>45087.417361111111</v>
      </c>
      <c r="C12" s="32">
        <f>Control_4 Close_time</f>
        <v>45087.576388888883</v>
      </c>
      <c r="D12" s="39"/>
      <c r="E12" s="34" t="str">
        <f>IF(ISBLANK(Control_4 Establishment_1),"",Control_4 Establishment_1)</f>
        <v/>
      </c>
      <c r="F12" s="108" t="str">
        <f>IF(ISBLANK('Control Entry'!I17),"",'Control Entry'!I17)</f>
        <v>Back of Stop Sign</v>
      </c>
      <c r="G12" s="109"/>
      <c r="H12" s="29" t="s">
        <v>29</v>
      </c>
      <c r="J12" s="15" t="s">
        <v>38</v>
      </c>
      <c r="K12" s="15"/>
      <c r="L12" s="130"/>
      <c r="M12" s="130"/>
      <c r="N12" s="130"/>
      <c r="O12" s="18"/>
      <c r="P12" s="18" t="s">
        <v>39</v>
      </c>
      <c r="Q12" s="18"/>
      <c r="R12" s="18"/>
      <c r="S12" s="155"/>
      <c r="T12" s="155"/>
      <c r="U12" s="155"/>
    </row>
    <row r="13" spans="1:22" ht="36" customHeight="1" thickBot="1">
      <c r="A13" s="40">
        <f>IF(ISBLANK(Distance Control_4),"",Control_4 Distance)</f>
        <v>102.6</v>
      </c>
      <c r="B13" s="41">
        <f>Control_4 Open_time</f>
        <v>45087.417361111111</v>
      </c>
      <c r="C13" s="41">
        <f>Control_4 Close_time</f>
        <v>45087.576388888883</v>
      </c>
      <c r="D13" s="42" t="str">
        <f>IF(ISBLANK(Locale Control_4),"",Locale Control_4)</f>
        <v>Abbotsford</v>
      </c>
      <c r="E13" s="34" t="str">
        <f>IF(ISBLANK(Control_4 Establishment_2),"",Control_4 Establishment_2)</f>
        <v>2nd Ave &amp; B St</v>
      </c>
      <c r="F13" s="108" t="str">
        <f>IF(ISBLANK('Control Entry'!J17),"",'Control Entry'!J17)</f>
        <v>Word on tag?</v>
      </c>
      <c r="G13" s="109"/>
      <c r="H13" s="29" t="s">
        <v>29</v>
      </c>
      <c r="J13" s="15" t="s">
        <v>40</v>
      </c>
      <c r="L13" s="154"/>
      <c r="M13" s="154"/>
      <c r="N13" s="154"/>
      <c r="O13" s="19"/>
      <c r="P13" s="18" t="s">
        <v>41</v>
      </c>
      <c r="Q13" s="18"/>
      <c r="R13" s="156"/>
      <c r="S13" s="156"/>
      <c r="T13" s="156"/>
      <c r="U13" s="156"/>
    </row>
    <row r="14" spans="1:22" ht="36" customHeight="1" thickBot="1">
      <c r="A14" s="35"/>
      <c r="B14" s="36">
        <f>Control_4 Open_time</f>
        <v>45087.417361111111</v>
      </c>
      <c r="C14" s="36">
        <f>Control_4 Close_time</f>
        <v>45087.576388888883</v>
      </c>
      <c r="D14" s="37"/>
      <c r="E14" s="38" t="str">
        <f>IF(ISBLANK(Control_4 Establishment_3),"",Control_4 Establishment_3)</f>
        <v/>
      </c>
      <c r="F14" s="111" t="str">
        <f>IF(ISBLANK('Control Entry'!K17),"",'Control Entry'!K17)</f>
        <v>_ _ _ _ _ _ _ _ _ _ _</v>
      </c>
      <c r="G14" s="112"/>
      <c r="H14" s="29" t="s">
        <v>29</v>
      </c>
    </row>
    <row r="15" spans="1:22" ht="36" customHeight="1">
      <c r="A15" s="31"/>
      <c r="B15" s="32">
        <f>Control_5 Open_time</f>
        <v>45087.48333333333</v>
      </c>
      <c r="C15" s="32">
        <f>Control_5 Close_time</f>
        <v>45087.726388888885</v>
      </c>
      <c r="D15" s="39"/>
      <c r="E15" s="34" t="str">
        <f>IF(ISBLANK(Control_5 Establishment_1),"",Control_5 Establishment_1)</f>
        <v>Allard Crescent &amp;</v>
      </c>
      <c r="F15" s="108" t="str">
        <f>IF(ISBLANK('Control Entry'!I18),"",'Control Entry'!I18)</f>
        <v>Back of Stop Sign</v>
      </c>
      <c r="G15" s="109"/>
      <c r="H15" s="29" t="s">
        <v>29</v>
      </c>
      <c r="J15" s="15"/>
      <c r="L15" s="145" t="s">
        <v>58</v>
      </c>
      <c r="M15" s="145"/>
      <c r="N15" s="145"/>
      <c r="O15" s="145"/>
      <c r="P15" s="145"/>
      <c r="Q15" s="145"/>
      <c r="R15" s="145"/>
      <c r="S15" s="145"/>
      <c r="T15" s="145"/>
      <c r="U15" s="145"/>
    </row>
    <row r="16" spans="1:22" ht="36" customHeight="1" thickBot="1">
      <c r="A16" s="40">
        <f>IF(ISBLANK(Distance Control_5),"",Control_5 Distance)</f>
        <v>156.5</v>
      </c>
      <c r="B16" s="41">
        <f>Control_5 Open_time</f>
        <v>45087.48333333333</v>
      </c>
      <c r="C16" s="41">
        <f>Control_5 Close_time</f>
        <v>45087.726388888885</v>
      </c>
      <c r="D16" s="42" t="str">
        <f>IF(ISBLANK(Locale Control_5),"",Locale Control_5)</f>
        <v>Langley</v>
      </c>
      <c r="E16" s="34" t="str">
        <f>IF(ISBLANK(Control_5 Establishment_2),"",Control_5 Establishment_2)</f>
        <v>208 St</v>
      </c>
      <c r="F16" s="108" t="str">
        <f>IF(ISBLANK('Control Entry'!J18),"",'Control Entry'!J18)</f>
        <v>Word on tag?</v>
      </c>
      <c r="G16" s="109"/>
      <c r="H16" s="29" t="s">
        <v>29</v>
      </c>
      <c r="L16" s="131"/>
      <c r="M16" s="131"/>
      <c r="N16" s="131"/>
      <c r="O16" s="131"/>
      <c r="P16" s="131"/>
      <c r="Q16" s="131"/>
      <c r="R16" s="131"/>
      <c r="S16" s="131"/>
      <c r="T16" s="131"/>
      <c r="U16" s="131"/>
    </row>
    <row r="17" spans="1:22" ht="36" customHeight="1" thickBot="1">
      <c r="A17" s="35"/>
      <c r="B17" s="36">
        <f>Control_5 Open_time</f>
        <v>45087.48333333333</v>
      </c>
      <c r="C17" s="36">
        <f>Control_5 Close_time</f>
        <v>45087.726388888885</v>
      </c>
      <c r="D17" s="37"/>
      <c r="E17" s="38" t="str">
        <f>IF(ISBLANK(Control_5 Establishment_3),"",Control_5 Establishment_3)</f>
        <v/>
      </c>
      <c r="F17" s="113" t="str">
        <f>IF(ISBLANK('Control Entry'!K18),"",'Control Entry'!K18)</f>
        <v>_ _ _ _ _ _ _ _ _ _ _</v>
      </c>
      <c r="G17" s="112"/>
      <c r="H17" s="29" t="s">
        <v>29</v>
      </c>
    </row>
    <row r="18" spans="1:22" ht="36" customHeight="1">
      <c r="A18" s="31"/>
      <c r="B18" s="32">
        <f>Control_6 Open_time</f>
        <v>45087.518055555556</v>
      </c>
      <c r="C18" s="32">
        <f>Control_6 Close_time</f>
        <v>45087.805555555555</v>
      </c>
      <c r="D18" s="39"/>
      <c r="E18" s="34" t="str">
        <f>IF(ISBLANK(Control_6 Establishment_1),"",Control_6 Establishment_1)</f>
        <v>Bert Flinn Park</v>
      </c>
      <c r="F18" s="108" t="str">
        <f>IF(ISBLANK('Control Entry'!I19),"",'Control Entry'!I19)</f>
        <v>Cross Walk Sign</v>
      </c>
      <c r="G18" s="109"/>
      <c r="H18" s="29" t="s">
        <v>29</v>
      </c>
    </row>
    <row r="19" spans="1:22" ht="36" customHeight="1">
      <c r="A19" s="40">
        <f>IF(ISBLANK(Distance Control_6),"",Control_6 Distance)</f>
        <v>185</v>
      </c>
      <c r="B19" s="41">
        <f>Control_6 Open_time</f>
        <v>45087.518055555556</v>
      </c>
      <c r="C19" s="41">
        <f>Control_6 Close_time</f>
        <v>45087.805555555555</v>
      </c>
      <c r="D19" s="42" t="str">
        <f>IF(ISBLANK(Locale Control_6),"",Locale Control_6)</f>
        <v>Coquitlam</v>
      </c>
      <c r="E19" s="34" t="str">
        <f>IF(ISBLANK(Control_6 Establishment_2),"",Control_6 Establishment_2)</f>
        <v>David Ave &amp;</v>
      </c>
      <c r="F19" s="108" t="str">
        <f>IF(ISBLANK('Control Entry'!J19),"",'Control Entry'!J19)</f>
        <v>Word on tag?</v>
      </c>
      <c r="G19" s="109"/>
      <c r="H19" s="29" t="s">
        <v>29</v>
      </c>
    </row>
    <row r="20" spans="1:22" ht="36" customHeight="1" thickBot="1">
      <c r="A20" s="35"/>
      <c r="B20" s="36">
        <f>Control_6 Open_time</f>
        <v>45087.518055555556</v>
      </c>
      <c r="C20" s="36">
        <f>Control_6 Close_time</f>
        <v>45087.805555555555</v>
      </c>
      <c r="D20" s="37"/>
      <c r="E20" s="38" t="str">
        <f>IF(ISBLANK(Control_6 Establishment_3),"",Control_6 Establishment_3)</f>
        <v>Heritage Mountian Blvd</v>
      </c>
      <c r="F20" s="113" t="str">
        <f>IF(ISBLANK('Control Entry'!K19),"",'Control Entry'!K19)</f>
        <v>_ _ _ _ _ _ _ _ _ _ _</v>
      </c>
      <c r="G20" s="112"/>
      <c r="H20" s="29" t="s">
        <v>29</v>
      </c>
      <c r="J20" s="62" t="s">
        <v>44</v>
      </c>
      <c r="K20" s="62"/>
      <c r="L20" s="153">
        <f>IF(ISBLANK('Control Entry'!B11),"",'Control Entry'!B11)</f>
        <v>45087</v>
      </c>
      <c r="M20" s="153"/>
      <c r="N20" s="153"/>
      <c r="P20" s="18" t="s">
        <v>0</v>
      </c>
      <c r="Q20" s="18"/>
      <c r="S20" s="144">
        <f>IF(ISBLANK('Control Entry'!B12),"",'Control Entry'!B12)</f>
        <v>0.29166666666666669</v>
      </c>
      <c r="T20" s="144"/>
      <c r="U20" s="144"/>
    </row>
    <row r="21" spans="1:22" ht="36" customHeight="1">
      <c r="A21" s="31"/>
      <c r="B21" s="32">
        <f>Control_7 Open_time</f>
        <v>45087.539583333331</v>
      </c>
      <c r="C21" s="32">
        <f>Control_7 Close_time</f>
        <v>45087.854166666664</v>
      </c>
      <c r="D21" s="39"/>
      <c r="E21" s="34" t="str">
        <f>IF(ISBLANK(Control_7 Establishment_1),"",Control_7 Establishment_1)</f>
        <v xml:space="preserve">Hop &amp; Vine </v>
      </c>
      <c r="F21" s="108" t="str">
        <f>IF(ISBLANK('Control Entry'!I20),"",'Control Entry'!I20)</f>
        <v/>
      </c>
      <c r="G21" s="109"/>
      <c r="H21" s="29" t="s">
        <v>29</v>
      </c>
      <c r="J21" s="62"/>
      <c r="K21" s="62"/>
      <c r="L21" s="60"/>
      <c r="M21" s="60"/>
      <c r="N21" s="60"/>
      <c r="P21" s="18"/>
      <c r="Q21" s="18"/>
      <c r="R21" s="23"/>
      <c r="S21" s="63"/>
      <c r="T21" s="63"/>
      <c r="U21" s="63"/>
      <c r="V21" s="30"/>
    </row>
    <row r="22" spans="1:22" ht="36" customHeight="1" thickBot="1">
      <c r="A22" s="40">
        <f>IF(ISBLANK(Distance Control_7),"",Control_7 Distance)</f>
        <v>201.9</v>
      </c>
      <c r="B22" s="41">
        <f>Control_7 Open_time</f>
        <v>45087.539583333331</v>
      </c>
      <c r="C22" s="41">
        <f>Control_7 Close_time</f>
        <v>45087.854166666664</v>
      </c>
      <c r="D22" s="42" t="str">
        <f>IF(ISBLANK(Locale Control_7),"",Locale Control_7)</f>
        <v>Burnaby</v>
      </c>
      <c r="E22" s="34" t="str">
        <f>IF(ISBLANK(Control_7 Establishment_2),"",Control_7 Establishment_2)</f>
        <v>Taphouse</v>
      </c>
      <c r="F22" s="108" t="str">
        <f>IF(ISBLANK('Control Entry'!J20),"",'Control Entry'!J20)</f>
        <v/>
      </c>
      <c r="G22" s="109"/>
      <c r="H22" s="29" t="s">
        <v>29</v>
      </c>
      <c r="J22" s="61" t="s">
        <v>45</v>
      </c>
      <c r="K22" s="61"/>
      <c r="L22" s="132"/>
      <c r="M22" s="132"/>
      <c r="N22" s="132"/>
      <c r="O22" s="19"/>
      <c r="P22" s="18" t="s">
        <v>1</v>
      </c>
      <c r="Q22" s="18"/>
      <c r="R22" s="19"/>
      <c r="S22" s="128"/>
      <c r="T22" s="128"/>
      <c r="U22" s="128"/>
    </row>
    <row r="23" spans="1:22" ht="36" customHeight="1" thickBot="1">
      <c r="A23" s="35"/>
      <c r="B23" s="36">
        <f>Control_7 Open_time</f>
        <v>45087.539583333331</v>
      </c>
      <c r="C23" s="36">
        <f>Control_7 Close_time</f>
        <v>45087.854166666664</v>
      </c>
      <c r="D23" s="37"/>
      <c r="E23" s="38" t="str">
        <f>IF(ISBLANK(Control_7 Establishment_3),"",Control_7 Establishment_3)</f>
        <v/>
      </c>
      <c r="F23" s="113" t="str">
        <f>IF(ISBLANK('Control Entry'!K20),"",'Control Entry'!K20)</f>
        <v/>
      </c>
      <c r="G23" s="112"/>
      <c r="H23" s="29" t="s">
        <v>29</v>
      </c>
      <c r="J23" s="61"/>
      <c r="K23" s="61"/>
      <c r="L23" s="60"/>
      <c r="M23" s="60"/>
      <c r="N23" s="60"/>
      <c r="O23" s="23"/>
      <c r="P23" s="59"/>
      <c r="Q23" s="59"/>
      <c r="R23" s="23"/>
      <c r="S23" s="23"/>
      <c r="T23" s="23"/>
      <c r="U23" s="23"/>
      <c r="V23" s="30"/>
    </row>
    <row r="24" spans="1:22" ht="36" customHeight="1" thickBot="1">
      <c r="A24" s="31"/>
      <c r="B24" s="32" t="str">
        <f>Control_8 Open_time</f>
        <v/>
      </c>
      <c r="C24" s="32" t="str">
        <f>Control_8 Close_time</f>
        <v/>
      </c>
      <c r="D24" s="39"/>
      <c r="E24" s="34" t="str">
        <f>IF(ISBLANK(Control_8 Establishment_1),"",Control_8 Establishment_1)</f>
        <v/>
      </c>
      <c r="F24" s="108" t="str">
        <f>IF(ISBLANK('Control Entry'!I21),"",'Control Entry'!I21)</f>
        <v/>
      </c>
      <c r="G24" s="109"/>
      <c r="H24" s="29" t="s">
        <v>29</v>
      </c>
      <c r="J24" s="128"/>
      <c r="K24" s="128"/>
      <c r="L24" s="128"/>
      <c r="M24" s="128"/>
      <c r="N24" s="128"/>
      <c r="O24" s="19"/>
      <c r="P24" s="18" t="s">
        <v>2</v>
      </c>
      <c r="Q24" s="18"/>
      <c r="R24" s="19"/>
      <c r="S24" s="128"/>
      <c r="T24" s="128"/>
      <c r="U24" s="128"/>
    </row>
    <row r="25" spans="1:22" ht="36" customHeight="1">
      <c r="A25" s="40" t="str">
        <f>IF(ISBLANK(Distance Control_8),"",Control_8 Distance)</f>
        <v/>
      </c>
      <c r="B25" s="41" t="str">
        <f>Control_8 Open_time</f>
        <v/>
      </c>
      <c r="C25" s="41" t="str">
        <f>Control_8 Close_time</f>
        <v/>
      </c>
      <c r="D25" s="42" t="str">
        <f>IF(ISBLANK(Locale Control_8),"",Locale Control_8)</f>
        <v/>
      </c>
      <c r="E25" s="56" t="str">
        <f>IF(ISBLANK(Control_8 Establishment_2),"",Control_8 Establishment_2)</f>
        <v/>
      </c>
      <c r="F25" s="108" t="str">
        <f>IF(ISBLANK('Control Entry'!J21),"",'Control Entry'!J21)</f>
        <v/>
      </c>
      <c r="G25" s="109"/>
      <c r="H25" s="29" t="s">
        <v>29</v>
      </c>
      <c r="J25" s="142" t="s">
        <v>17</v>
      </c>
      <c r="K25" s="142"/>
      <c r="L25" s="142"/>
      <c r="M25" s="142"/>
      <c r="N25" s="142"/>
      <c r="O25" s="53"/>
      <c r="P25" s="139"/>
      <c r="Q25" s="139"/>
      <c r="R25" s="53"/>
      <c r="S25" s="140"/>
      <c r="T25" s="140"/>
      <c r="U25" s="140"/>
      <c r="V25" s="140"/>
    </row>
    <row r="26" spans="1:22" ht="36" customHeight="1" thickBot="1">
      <c r="A26" s="35"/>
      <c r="B26" s="36" t="str">
        <f>Control_8 Open_time</f>
        <v/>
      </c>
      <c r="C26" s="36" t="str">
        <f>Control_8 Close_time</f>
        <v/>
      </c>
      <c r="D26" s="37"/>
      <c r="E26" s="38" t="str">
        <f>IF(ISBLANK(Control_8 Establishment_3),"",Control_8 Establishment_3)</f>
        <v/>
      </c>
      <c r="F26" s="113" t="str">
        <f>IF(ISBLANK('Control Entry'!K21),"",'Control Entry'!K21)</f>
        <v/>
      </c>
      <c r="G26" s="112"/>
      <c r="H26" s="29" t="s">
        <v>29</v>
      </c>
    </row>
    <row r="27" spans="1:22" ht="36" customHeight="1">
      <c r="A27" s="31"/>
      <c r="B27" s="32" t="str">
        <f>Control_9 Open_time</f>
        <v/>
      </c>
      <c r="C27" s="32" t="str">
        <f>Control_9 Close_time</f>
        <v/>
      </c>
      <c r="D27" s="39"/>
      <c r="E27" s="34" t="str">
        <f>IF(ISBLANK(Control_9 Establishment_1),"",Control_9 Establishment_1)</f>
        <v/>
      </c>
      <c r="F27" s="108" t="str">
        <f>IF(ISBLANK('Control Entry'!I22),"",'Control Entry'!I22)</f>
        <v/>
      </c>
      <c r="G27" s="109"/>
      <c r="H27" s="29" t="s">
        <v>29</v>
      </c>
      <c r="K27" s="138" t="s">
        <v>56</v>
      </c>
      <c r="L27" s="139"/>
      <c r="M27" s="52" t="s">
        <v>57</v>
      </c>
      <c r="N27" s="139" t="s">
        <v>49</v>
      </c>
      <c r="O27" s="139"/>
      <c r="P27" s="139" t="s">
        <v>50</v>
      </c>
      <c r="Q27" s="139"/>
      <c r="R27" s="53" t="s">
        <v>51</v>
      </c>
      <c r="S27" s="140" t="s">
        <v>52</v>
      </c>
      <c r="T27" s="140"/>
      <c r="U27" s="140" t="s">
        <v>53</v>
      </c>
      <c r="V27" s="140"/>
    </row>
    <row r="28" spans="1:22" ht="36" customHeight="1">
      <c r="A28" s="40" t="str">
        <f>IF(ISBLANK(Distance Control_9),"",Control_9 Distance)</f>
        <v/>
      </c>
      <c r="B28" s="41" t="str">
        <f>Control_9 Open_time</f>
        <v/>
      </c>
      <c r="C28" s="41" t="str">
        <f>Control_9 Close_time</f>
        <v/>
      </c>
      <c r="D28" s="42" t="str">
        <f>IF(ISBLANK(Locale Control_9),"",Locale Control_9)</f>
        <v>Secret Control</v>
      </c>
      <c r="E28" s="34" t="str">
        <f>IF(ISBLANK(Control_9 Establishment_2),"",Control_9 Establishment_2)</f>
        <v/>
      </c>
      <c r="F28" s="108" t="str">
        <f>IF(ISBLANK('Control Entry'!J22),"",'Control Entry'!J22)</f>
        <v/>
      </c>
      <c r="G28" s="109"/>
      <c r="H28" s="29" t="s">
        <v>29</v>
      </c>
    </row>
    <row r="29" spans="1:22" ht="36" customHeight="1" thickBot="1">
      <c r="A29" s="35"/>
      <c r="B29" s="36" t="str">
        <f>Control_9 Open_time</f>
        <v/>
      </c>
      <c r="C29" s="36" t="str">
        <f>Control_9 Close_time</f>
        <v/>
      </c>
      <c r="D29" s="37"/>
      <c r="E29" s="38" t="str">
        <f>IF(ISBLANK(Control_9 Establishment_3),"",Control_9 Establishment_3)</f>
        <v/>
      </c>
      <c r="F29" s="113" t="str">
        <f>IF(ISBLANK('Control Entry'!K22),"",'Control Entry'!K22)</f>
        <v/>
      </c>
      <c r="G29" s="112"/>
      <c r="H29" s="29" t="s">
        <v>29</v>
      </c>
      <c r="M29" s="148" t="s">
        <v>42</v>
      </c>
      <c r="N29" s="148"/>
      <c r="O29" s="148"/>
      <c r="P29" s="148"/>
      <c r="Q29" s="148"/>
      <c r="R29" s="148"/>
      <c r="S29" s="148"/>
      <c r="T29" s="148"/>
      <c r="U29" s="57"/>
    </row>
    <row r="30" spans="1:22" ht="36" customHeight="1">
      <c r="A30" s="31"/>
      <c r="B30" s="32" t="str">
        <f>Control_10 Open_time</f>
        <v/>
      </c>
      <c r="C30" s="32" t="str">
        <f>Control_10 Close_time</f>
        <v/>
      </c>
      <c r="D30" s="39"/>
      <c r="E30" s="34" t="str">
        <f>IF(ISBLANK(Control_10 Establishment_1),"",Control_10 Establishment_1)</f>
        <v/>
      </c>
      <c r="F30" s="108" t="str">
        <f>IF(ISBLANK('Control Entry'!I23),"",'Control Entry'!I23)</f>
        <v/>
      </c>
      <c r="G30" s="109"/>
      <c r="H30" s="29" t="s">
        <v>29</v>
      </c>
      <c r="M30" s="16"/>
      <c r="N30" s="21"/>
      <c r="O30" s="21"/>
      <c r="P30" s="22"/>
      <c r="Q30" s="21"/>
      <c r="R30" s="21"/>
      <c r="S30" s="21"/>
      <c r="T30" s="22"/>
      <c r="U30" s="23"/>
    </row>
    <row r="31" spans="1:22" ht="36" customHeight="1">
      <c r="A31" s="40" t="str">
        <f>IF(ISBLANK(Distance Control_10),"",Control_10 Distance)</f>
        <v/>
      </c>
      <c r="B31" s="41" t="str">
        <f>Control_10 Open_time</f>
        <v/>
      </c>
      <c r="C31" s="41" t="str">
        <f>Control_10 Close_time</f>
        <v/>
      </c>
      <c r="D31" s="42" t="str">
        <f>IF(ISBLANK(Locale Control_10),"",Locale Control_10)</f>
        <v>Secret Control</v>
      </c>
      <c r="E31" s="34" t="str">
        <f>IF(ISBLANK(Control_10 Establishment_2),"",Control_10 Establishment_2)</f>
        <v/>
      </c>
      <c r="F31" s="108" t="str">
        <f>IF(ISBLANK('Control Entry'!J23),"",'Control Entry'!J23)</f>
        <v/>
      </c>
      <c r="G31" s="109"/>
      <c r="H31" s="29" t="s">
        <v>29</v>
      </c>
      <c r="M31" s="17"/>
      <c r="N31" s="23"/>
      <c r="O31" s="23"/>
      <c r="P31" s="24"/>
      <c r="Q31" s="23"/>
      <c r="R31" s="23"/>
      <c r="S31" s="23"/>
      <c r="T31" s="24"/>
      <c r="U31" s="23"/>
    </row>
    <row r="32" spans="1:22" ht="36" customHeight="1" thickBot="1">
      <c r="A32" s="35"/>
      <c r="B32" s="36" t="str">
        <f>Control_10 Open_time</f>
        <v/>
      </c>
      <c r="C32" s="36" t="str">
        <f>Control_10 Close_time</f>
        <v/>
      </c>
      <c r="D32" s="37"/>
      <c r="E32" s="38" t="str">
        <f>IF(ISBLANK(Control_10 Establishment_3),"",Control_10 Establishment_3)</f>
        <v/>
      </c>
      <c r="F32" s="113" t="str">
        <f>IF(ISBLANK('Control Entry'!K23),"",'Control Entry'!K23)</f>
        <v/>
      </c>
      <c r="G32" s="112"/>
      <c r="H32" s="29" t="s">
        <v>29</v>
      </c>
      <c r="M32" s="55"/>
      <c r="N32" s="20"/>
      <c r="O32" s="20"/>
      <c r="P32" s="25"/>
      <c r="Q32" s="20"/>
      <c r="R32" s="20"/>
      <c r="S32" s="20"/>
      <c r="T32" s="25"/>
      <c r="U32" s="23"/>
    </row>
    <row r="33" spans="1:22" ht="36" customHeight="1">
      <c r="A33" s="137" t="s">
        <v>43</v>
      </c>
      <c r="B33" s="137"/>
      <c r="C33" s="137"/>
      <c r="D33" s="137"/>
      <c r="E33" s="137"/>
      <c r="F33" s="137"/>
      <c r="G33" s="137"/>
      <c r="H33" s="43"/>
      <c r="I33" s="43"/>
      <c r="M33" s="149" t="s">
        <v>82</v>
      </c>
      <c r="N33" s="150"/>
      <c r="O33" s="150"/>
      <c r="P33" s="150"/>
      <c r="Q33" s="151">
        <f>'Control Entry'!B3</f>
        <v>44674</v>
      </c>
      <c r="R33" s="152"/>
      <c r="S33" s="152"/>
      <c r="T33" s="152"/>
      <c r="U33" s="104"/>
      <c r="V33" s="51"/>
    </row>
    <row r="34" spans="1:22" ht="36" customHeight="1">
      <c r="A34"/>
      <c r="O34" s="49"/>
      <c r="P34" s="49"/>
      <c r="Q34" s="49"/>
      <c r="R34" s="48"/>
    </row>
    <row r="35" spans="1:22" ht="36" customHeight="1">
      <c r="A35"/>
      <c r="N35" s="148"/>
      <c r="O35" s="148"/>
      <c r="P35" s="148"/>
      <c r="Q35" s="148"/>
      <c r="R35" s="148"/>
      <c r="S35" s="148"/>
      <c r="T35" s="148"/>
      <c r="U35" s="148"/>
    </row>
    <row r="36" spans="1:22" ht="36" customHeight="1">
      <c r="A36"/>
      <c r="N36" s="30"/>
      <c r="O36" s="23"/>
      <c r="P36" s="23"/>
      <c r="Q36" s="23"/>
      <c r="R36" s="23"/>
      <c r="S36" s="23"/>
      <c r="T36" s="23"/>
      <c r="U36" s="23"/>
    </row>
    <row r="37" spans="1:22" ht="36" customHeight="1">
      <c r="A37"/>
      <c r="N37" s="30"/>
      <c r="O37" s="23"/>
      <c r="P37" s="23"/>
      <c r="Q37" s="23"/>
      <c r="R37" s="23"/>
      <c r="S37" s="23"/>
      <c r="T37" s="23"/>
      <c r="U37" s="23"/>
    </row>
    <row r="38" spans="1:22" ht="36" customHeight="1">
      <c r="A38"/>
      <c r="N38" s="58"/>
      <c r="O38" s="23"/>
      <c r="P38" s="23"/>
      <c r="Q38" s="23"/>
      <c r="R38" s="23"/>
      <c r="S38" s="23"/>
      <c r="T38" s="23"/>
      <c r="U38" s="23"/>
    </row>
    <row r="39" spans="1:22" ht="36" customHeight="1">
      <c r="A39"/>
    </row>
    <row r="40" spans="1:22" ht="36" customHeight="1">
      <c r="A40"/>
    </row>
  </sheetData>
  <sheetProtection algorithmName="SHA-512" hashValue="cyiPUn9gvNvxckgXWRPfVDWzPxCMEp2UDRSFFIYX0OV0fvNOZdDVJLjSMuldy6NulBwidOTuy5Kiv09QpdcNYA==" saltValue="30UNioQkOknK/Ui2DTsNHg==" spinCount="100000" sheet="1" objects="1" scenarios="1" formatCells="0" selectLockedCells="1"/>
  <mergeCells count="39">
    <mergeCell ref="T8:U8"/>
    <mergeCell ref="N35:U35"/>
    <mergeCell ref="M29:T29"/>
    <mergeCell ref="N27:O27"/>
    <mergeCell ref="P27:Q27"/>
    <mergeCell ref="S27:T27"/>
    <mergeCell ref="U27:V27"/>
    <mergeCell ref="M33:P33"/>
    <mergeCell ref="Q33:T33"/>
    <mergeCell ref="L20:N20"/>
    <mergeCell ref="L11:N11"/>
    <mergeCell ref="L12:N12"/>
    <mergeCell ref="L13:N13"/>
    <mergeCell ref="S11:U11"/>
    <mergeCell ref="S12:U12"/>
    <mergeCell ref="R13:U13"/>
    <mergeCell ref="R5:U5"/>
    <mergeCell ref="K2:U2"/>
    <mergeCell ref="L8:Q8"/>
    <mergeCell ref="A1:G1"/>
    <mergeCell ref="A33:G33"/>
    <mergeCell ref="M4:T4"/>
    <mergeCell ref="P25:Q25"/>
    <mergeCell ref="S25:T25"/>
    <mergeCell ref="U25:V25"/>
    <mergeCell ref="N5:O5"/>
    <mergeCell ref="K27:L27"/>
    <mergeCell ref="J25:N25"/>
    <mergeCell ref="O3:R3"/>
    <mergeCell ref="S20:U20"/>
    <mergeCell ref="L15:U15"/>
    <mergeCell ref="L6:U6"/>
    <mergeCell ref="S24:U24"/>
    <mergeCell ref="J24:N24"/>
    <mergeCell ref="L9:U9"/>
    <mergeCell ref="L10:U10"/>
    <mergeCell ref="L16:U16"/>
    <mergeCell ref="L22:N22"/>
    <mergeCell ref="S22:U22"/>
  </mergeCells>
  <phoneticPr fontId="16" type="noConversion"/>
  <pageMargins left="0.2" right="0.2" top="0.2" bottom="0.2" header="0.51" footer="0.51"/>
  <pageSetup scale="44" orientation="landscape" horizontalDpi="4294967292" verticalDpi="4294967292"/>
  <ignoredErrors>
    <ignoredError sqref="L20" unlockedFormula="1"/>
  </ignoredErrors>
  <drawing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40"/>
  <sheetViews>
    <sheetView showGridLines="0" zoomScale="92" zoomScaleNormal="92" zoomScalePageLayoutView="92" workbookViewId="0">
      <selection activeCell="L8" sqref="L8:Q8"/>
    </sheetView>
  </sheetViews>
  <sheetFormatPr baseColWidth="10" defaultColWidth="8.83203125" defaultRowHeight="12" x14ac:dyDescent="0"/>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style="30" customWidth="1"/>
    <col min="9" max="9" width="12" customWidth="1"/>
    <col min="18" max="19" width="8.83203125" customWidth="1"/>
  </cols>
  <sheetData>
    <row r="1" spans="1:22" ht="19" thickBot="1">
      <c r="A1" s="136" t="s">
        <v>74</v>
      </c>
      <c r="B1" s="136"/>
      <c r="C1" s="136"/>
      <c r="D1" s="136"/>
      <c r="E1" s="136"/>
      <c r="F1" s="136"/>
      <c r="G1" s="136"/>
      <c r="H1" s="29" t="s">
        <v>29</v>
      </c>
    </row>
    <row r="2" spans="1:22" ht="33.75" customHeight="1" thickBot="1">
      <c r="A2" s="77" t="s">
        <v>30</v>
      </c>
      <c r="B2" s="9" t="s">
        <v>3</v>
      </c>
      <c r="C2" s="9" t="s">
        <v>4</v>
      </c>
      <c r="D2" s="9" t="s">
        <v>25</v>
      </c>
      <c r="E2" s="9" t="s">
        <v>31</v>
      </c>
      <c r="F2" s="9" t="s">
        <v>59</v>
      </c>
      <c r="G2" s="77" t="s">
        <v>32</v>
      </c>
      <c r="H2" s="29" t="s">
        <v>29</v>
      </c>
      <c r="K2" s="134" t="s">
        <v>55</v>
      </c>
      <c r="L2" s="134"/>
      <c r="M2" s="134"/>
      <c r="N2" s="134"/>
      <c r="O2" s="134"/>
      <c r="P2" s="134"/>
      <c r="Q2" s="134"/>
      <c r="R2" s="134"/>
      <c r="S2" s="134"/>
      <c r="T2" s="134"/>
      <c r="U2" s="134"/>
    </row>
    <row r="3" spans="1:22" ht="36" customHeight="1">
      <c r="A3" s="31"/>
      <c r="B3" s="32" t="str">
        <f>'Control Entry'!N27</f>
        <v/>
      </c>
      <c r="C3" s="32" t="str">
        <f>'Control Entry'!O27</f>
        <v/>
      </c>
      <c r="D3" s="33"/>
      <c r="E3" s="34" t="str">
        <f>IF(ISBLANK('Control Entry'!F27),"",'Control Entry'!F27)</f>
        <v/>
      </c>
      <c r="F3" s="108" t="str">
        <f>IF(ISBLANK('Control Entry'!I27),"",'Control Entry'!I27)</f>
        <v/>
      </c>
      <c r="G3" s="109"/>
      <c r="H3" s="29" t="s">
        <v>29</v>
      </c>
      <c r="K3" s="14"/>
      <c r="O3" s="143" t="s">
        <v>73</v>
      </c>
      <c r="P3" s="143"/>
      <c r="Q3" s="143"/>
      <c r="R3" s="143"/>
      <c r="S3" s="94" t="str">
        <f>IF('Control Entry'!D27=0,"","#2")</f>
        <v/>
      </c>
      <c r="U3" s="44"/>
    </row>
    <row r="4" spans="1:22" ht="36" customHeight="1">
      <c r="A4" s="40" t="str">
        <f>IF(ISBLANK('Control Entry'!D27),"",'Control Entry'!D27)</f>
        <v/>
      </c>
      <c r="B4" s="41" t="str">
        <f>'Control Entry'!N27</f>
        <v/>
      </c>
      <c r="C4" s="41" t="str">
        <f>'Control Entry'!O27</f>
        <v/>
      </c>
      <c r="D4" s="42" t="str">
        <f>IF(ISBLANK('Control Entry'!E27),"",'Control Entry'!E27)</f>
        <v/>
      </c>
      <c r="E4" s="34" t="str">
        <f>IF(ISBLANK('Control Entry'!G27),"",'Control Entry'!G27)</f>
        <v/>
      </c>
      <c r="F4" s="108" t="str">
        <f>IF(ISBLANK('Control Entry'!J27),"",'Control Entry'!J27)</f>
        <v/>
      </c>
      <c r="G4" s="109"/>
      <c r="H4" s="29" t="s">
        <v>29</v>
      </c>
      <c r="K4" s="14"/>
      <c r="M4" s="138" t="str">
        <f>IF(ISBLANK(brevet),"",brevet&amp;" km Randonnée")</f>
        <v>200 km Randonnée</v>
      </c>
      <c r="N4" s="138"/>
      <c r="O4" s="138"/>
      <c r="P4" s="138"/>
      <c r="Q4" s="138"/>
      <c r="R4" s="138"/>
      <c r="S4" s="138"/>
      <c r="T4" s="138"/>
      <c r="U4" s="45"/>
    </row>
    <row r="5" spans="1:22" ht="36" customHeight="1" thickBot="1">
      <c r="A5" s="35"/>
      <c r="B5" s="36" t="str">
        <f>'Control Entry'!N27</f>
        <v/>
      </c>
      <c r="C5" s="36" t="str">
        <f>'Control Entry'!O27</f>
        <v/>
      </c>
      <c r="D5" s="37"/>
      <c r="E5" s="38" t="str">
        <f>IF(ISBLANK('Control Entry'!H27),"",'Control Entry'!H27)</f>
        <v/>
      </c>
      <c r="F5" s="113" t="str">
        <f>IF(ISBLANK('Control Entry'!K27),"",'Control Entry'!K27)</f>
        <v/>
      </c>
      <c r="G5" s="112"/>
      <c r="H5" s="29" t="s">
        <v>29</v>
      </c>
      <c r="K5" s="14"/>
      <c r="M5" s="15"/>
      <c r="N5" s="141" t="s">
        <v>47</v>
      </c>
      <c r="O5" s="141"/>
      <c r="P5" s="64">
        <f>IF(ISBLANK(Brevet_Number),"",Brevet_Number)</f>
        <v>5246</v>
      </c>
      <c r="Q5" s="65"/>
      <c r="R5" s="133">
        <f>IF(ISBLANK('Control Entry'!$B9),"",'Control Entry'!$B9)</f>
        <v>45087</v>
      </c>
      <c r="S5" s="133"/>
      <c r="T5" s="133"/>
      <c r="U5" s="133"/>
      <c r="V5" s="46"/>
    </row>
    <row r="6" spans="1:22" ht="36" customHeight="1">
      <c r="A6" s="31"/>
      <c r="B6" s="32" t="str">
        <f>'Control Entry'!N28</f>
        <v/>
      </c>
      <c r="C6" s="32" t="str">
        <f>'Control Entry'!O28</f>
        <v/>
      </c>
      <c r="D6" s="39"/>
      <c r="E6" s="34" t="str">
        <f>IF(ISBLANK('Control Entry'!F28),"",'Control Entry'!F28)</f>
        <v/>
      </c>
      <c r="F6" s="108" t="str">
        <f>IF(ISBLANK('Control Entry'!I28),"",'Control Entry'!I28)</f>
        <v/>
      </c>
      <c r="G6" s="109"/>
      <c r="H6" s="29" t="s">
        <v>29</v>
      </c>
      <c r="K6" s="14"/>
      <c r="L6" s="146" t="str">
        <f>IF(ISBLANK(Brevet_Description),"",Brevet_Description)</f>
        <v>Coffee, Ice Cream &amp; Beer</v>
      </c>
      <c r="M6" s="146"/>
      <c r="N6" s="146"/>
      <c r="O6" s="146"/>
      <c r="P6" s="146"/>
      <c r="Q6" s="146"/>
      <c r="R6" s="146"/>
      <c r="S6" s="146"/>
      <c r="T6" s="146"/>
      <c r="U6" s="146"/>
    </row>
    <row r="7" spans="1:22" ht="36" customHeight="1">
      <c r="A7" s="40" t="str">
        <f>IF(ISBLANK('Control Entry'!D28),"",'Control Entry'!D28)</f>
        <v/>
      </c>
      <c r="B7" s="41" t="str">
        <f>'Control Entry'!N28</f>
        <v/>
      </c>
      <c r="C7" s="41" t="str">
        <f>'Control Entry'!O28</f>
        <v/>
      </c>
      <c r="D7" s="42" t="str">
        <f>IF(ISBLANK('Control Entry'!E28),"",'Control Entry'!E28)</f>
        <v/>
      </c>
      <c r="E7" s="34" t="str">
        <f>IF(ISBLANK('Control Entry'!G28),"",'Control Entry'!G28)</f>
        <v/>
      </c>
      <c r="F7" s="108" t="str">
        <f>IF(ISBLANK('Control Entry'!J28),"",'Control Entry'!J28)</f>
        <v/>
      </c>
      <c r="G7" s="109"/>
      <c r="H7" s="29" t="s">
        <v>29</v>
      </c>
    </row>
    <row r="8" spans="1:22" ht="36" customHeight="1" thickBot="1">
      <c r="A8" s="35"/>
      <c r="B8" s="36" t="str">
        <f>'Control Entry'!N28</f>
        <v/>
      </c>
      <c r="C8" s="36" t="str">
        <f>'Control Entry'!O28</f>
        <v/>
      </c>
      <c r="D8" s="37"/>
      <c r="E8" s="38" t="str">
        <f>IF(ISBLANK('Control Entry'!H28),"",'Control Entry'!H28)</f>
        <v/>
      </c>
      <c r="F8" s="113" t="str">
        <f>IF(ISBLANK('Control Entry'!K28),"",'Control Entry'!K28)</f>
        <v/>
      </c>
      <c r="G8" s="112"/>
      <c r="H8" s="29" t="s">
        <v>29</v>
      </c>
      <c r="J8" s="15" t="s">
        <v>34</v>
      </c>
      <c r="L8" s="135"/>
      <c r="M8" s="135"/>
      <c r="N8" s="135"/>
      <c r="O8" s="135"/>
      <c r="P8" s="135"/>
      <c r="Q8" s="135"/>
      <c r="R8" s="30"/>
      <c r="S8" s="47" t="s">
        <v>46</v>
      </c>
      <c r="T8" s="147"/>
      <c r="U8" s="147"/>
    </row>
    <row r="9" spans="1:22" ht="36" customHeight="1" thickBot="1">
      <c r="A9" s="31"/>
      <c r="B9" s="32" t="str">
        <f>'Control Entry'!N29</f>
        <v/>
      </c>
      <c r="C9" s="32" t="str">
        <f>'Control Entry'!O29</f>
        <v/>
      </c>
      <c r="D9" s="39"/>
      <c r="E9" s="34" t="str">
        <f>IF(ISBLANK('Control Entry'!F29),"",'Control Entry'!F29)</f>
        <v/>
      </c>
      <c r="F9" s="108" t="str">
        <f>IF(ISBLANK('Control Entry'!I29),"",'Control Entry'!I29)</f>
        <v/>
      </c>
      <c r="G9" s="109"/>
      <c r="H9" s="29" t="s">
        <v>29</v>
      </c>
      <c r="J9" s="15" t="s">
        <v>35</v>
      </c>
      <c r="K9" s="15"/>
      <c r="L9" s="129" t="s">
        <v>54</v>
      </c>
      <c r="M9" s="129"/>
      <c r="N9" s="129"/>
      <c r="O9" s="129"/>
      <c r="P9" s="129"/>
      <c r="Q9" s="129"/>
      <c r="R9" s="129"/>
      <c r="S9" s="129"/>
      <c r="T9" s="129"/>
      <c r="U9" s="129"/>
    </row>
    <row r="10" spans="1:22" ht="36" customHeight="1" thickBot="1">
      <c r="A10" s="40" t="str">
        <f>IF(ISBLANK('Control Entry'!D29),"",'Control Entry'!D29)</f>
        <v/>
      </c>
      <c r="B10" s="41" t="str">
        <f>'Control Entry'!N29</f>
        <v/>
      </c>
      <c r="C10" s="41" t="str">
        <f>'Control Entry'!O29</f>
        <v/>
      </c>
      <c r="D10" s="42" t="str">
        <f>IF(ISBLANK('Control Entry'!E29),"",'Control Entry'!E29)</f>
        <v/>
      </c>
      <c r="E10" s="34" t="str">
        <f>IF(ISBLANK('Control Entry'!G29),"",'Control Entry'!G29)</f>
        <v/>
      </c>
      <c r="F10" s="108" t="str">
        <f>IF(ISBLANK('Control Entry'!J29),"",'Control Entry'!J29)</f>
        <v/>
      </c>
      <c r="G10" s="109"/>
      <c r="H10" s="29" t="s">
        <v>29</v>
      </c>
      <c r="J10" s="15"/>
      <c r="K10" s="15"/>
      <c r="L10" s="130"/>
      <c r="M10" s="130"/>
      <c r="N10" s="130"/>
      <c r="O10" s="130"/>
      <c r="P10" s="130"/>
      <c r="Q10" s="130"/>
      <c r="R10" s="130"/>
      <c r="S10" s="130"/>
      <c r="T10" s="130"/>
      <c r="U10" s="130"/>
    </row>
    <row r="11" spans="1:22" ht="36" customHeight="1" thickBot="1">
      <c r="A11" s="35"/>
      <c r="B11" s="36" t="str">
        <f>'Control Entry'!N29</f>
        <v/>
      </c>
      <c r="C11" s="36" t="str">
        <f>'Control Entry'!O29</f>
        <v/>
      </c>
      <c r="D11" s="37"/>
      <c r="E11" s="38" t="str">
        <f>IF(ISBLANK('Control Entry'!H29),"",'Control Entry'!H29)</f>
        <v/>
      </c>
      <c r="F11" s="113" t="str">
        <f>IF(ISBLANK('Control Entry'!K29),"",'Control Entry'!K29)</f>
        <v/>
      </c>
      <c r="G11" s="112"/>
      <c r="H11" s="29" t="s">
        <v>29</v>
      </c>
      <c r="J11" s="15" t="s">
        <v>36</v>
      </c>
      <c r="K11" s="15"/>
      <c r="L11" s="130"/>
      <c r="M11" s="130"/>
      <c r="N11" s="130"/>
      <c r="O11" s="18"/>
      <c r="P11" s="18" t="s">
        <v>37</v>
      </c>
      <c r="Q11" s="18"/>
      <c r="R11" s="18"/>
      <c r="S11" s="155"/>
      <c r="T11" s="155"/>
      <c r="U11" s="155"/>
    </row>
    <row r="12" spans="1:22" ht="36" customHeight="1" thickBot="1">
      <c r="A12" s="31"/>
      <c r="B12" s="32" t="str">
        <f>'Control Entry'!N30</f>
        <v/>
      </c>
      <c r="C12" s="32" t="str">
        <f>'Control Entry'!O30</f>
        <v/>
      </c>
      <c r="D12" s="39"/>
      <c r="E12" s="34" t="str">
        <f>IF(ISBLANK('Control Entry'!F30),"",'Control Entry'!F30)</f>
        <v/>
      </c>
      <c r="F12" s="108" t="str">
        <f>IF(ISBLANK('Control Entry'!I30),"",'Control Entry'!I30)</f>
        <v/>
      </c>
      <c r="G12" s="109"/>
      <c r="H12" s="29" t="s">
        <v>29</v>
      </c>
      <c r="J12" s="15" t="s">
        <v>38</v>
      </c>
      <c r="K12" s="15"/>
      <c r="L12" s="130"/>
      <c r="M12" s="130"/>
      <c r="N12" s="130"/>
      <c r="O12" s="18"/>
      <c r="P12" s="18" t="s">
        <v>39</v>
      </c>
      <c r="Q12" s="18"/>
      <c r="R12" s="18"/>
      <c r="S12" s="155"/>
      <c r="T12" s="155"/>
      <c r="U12" s="155"/>
    </row>
    <row r="13" spans="1:22" ht="36" customHeight="1" thickBot="1">
      <c r="A13" s="40" t="str">
        <f>IF(ISBLANK('Control Entry'!D30),"",'Control Entry'!D30)</f>
        <v/>
      </c>
      <c r="B13" s="41" t="str">
        <f>'Control Entry'!N30</f>
        <v/>
      </c>
      <c r="C13" s="41" t="str">
        <f>'Control Entry'!O30</f>
        <v/>
      </c>
      <c r="D13" s="42" t="str">
        <f>IF(ISBLANK('Control Entry'!E30),"",'Control Entry'!E30)</f>
        <v/>
      </c>
      <c r="E13" s="34" t="str">
        <f>IF(ISBLANK('Control Entry'!G30),"",'Control Entry'!G30)</f>
        <v/>
      </c>
      <c r="F13" s="108" t="str">
        <f>IF(ISBLANK('Control Entry'!J30),"",'Control Entry'!J30)</f>
        <v/>
      </c>
      <c r="G13" s="109"/>
      <c r="H13" s="29" t="s">
        <v>29</v>
      </c>
      <c r="J13" s="15" t="s">
        <v>40</v>
      </c>
      <c r="L13" s="154"/>
      <c r="M13" s="154"/>
      <c r="N13" s="154"/>
      <c r="O13" s="19"/>
      <c r="P13" s="18" t="s">
        <v>41</v>
      </c>
      <c r="Q13" s="18"/>
      <c r="R13" s="156"/>
      <c r="S13" s="156"/>
      <c r="T13" s="156"/>
      <c r="U13" s="156"/>
    </row>
    <row r="14" spans="1:22" ht="36" customHeight="1" thickBot="1">
      <c r="A14" s="35"/>
      <c r="B14" s="36" t="str">
        <f>'Control Entry'!N30</f>
        <v/>
      </c>
      <c r="C14" s="36" t="str">
        <f>'Control Entry'!O30</f>
        <v/>
      </c>
      <c r="D14" s="37"/>
      <c r="E14" s="38" t="str">
        <f>IF(ISBLANK('Control Entry'!H30),"",'Control Entry'!H30)</f>
        <v/>
      </c>
      <c r="F14" s="113" t="str">
        <f>IF(ISBLANK('Control Entry'!K30),"",'Control Entry'!K30)</f>
        <v/>
      </c>
      <c r="G14" s="112"/>
      <c r="H14" s="29" t="s">
        <v>29</v>
      </c>
    </row>
    <row r="15" spans="1:22" ht="36" customHeight="1">
      <c r="A15" s="31"/>
      <c r="B15" s="32" t="str">
        <f>'Control Entry'!N31</f>
        <v/>
      </c>
      <c r="C15" s="32" t="str">
        <f>'Control Entry'!O31</f>
        <v/>
      </c>
      <c r="D15" s="39"/>
      <c r="E15" s="34" t="str">
        <f>IF(ISBLANK('Control Entry'!F31),"",'Control Entry'!F31)</f>
        <v/>
      </c>
      <c r="F15" s="108" t="str">
        <f>IF(ISBLANK('Control Entry'!I31),"",'Control Entry'!I31)</f>
        <v/>
      </c>
      <c r="G15" s="109"/>
      <c r="H15" s="29" t="s">
        <v>29</v>
      </c>
      <c r="J15" s="15"/>
      <c r="L15" s="145" t="s">
        <v>58</v>
      </c>
      <c r="M15" s="145"/>
      <c r="N15" s="145"/>
      <c r="O15" s="145"/>
      <c r="P15" s="145"/>
      <c r="Q15" s="145"/>
      <c r="R15" s="145"/>
      <c r="S15" s="145"/>
      <c r="T15" s="145"/>
      <c r="U15" s="145"/>
    </row>
    <row r="16" spans="1:22" ht="36" customHeight="1" thickBot="1">
      <c r="A16" s="40" t="str">
        <f>IF(ISBLANK('Control Entry'!D31),"",'Control Entry'!D31)</f>
        <v/>
      </c>
      <c r="B16" s="41" t="str">
        <f>'Control Entry'!N31</f>
        <v/>
      </c>
      <c r="C16" s="41" t="str">
        <f>'Control Entry'!O31</f>
        <v/>
      </c>
      <c r="D16" s="42" t="str">
        <f>IF(ISBLANK('Control Entry'!E31),"",'Control Entry'!E31)</f>
        <v/>
      </c>
      <c r="E16" s="34" t="str">
        <f>IF(ISBLANK('Control Entry'!G31),"",'Control Entry'!G31)</f>
        <v/>
      </c>
      <c r="F16" s="108" t="str">
        <f>IF(ISBLANK('Control Entry'!J31),"",'Control Entry'!J31)</f>
        <v/>
      </c>
      <c r="G16" s="109"/>
      <c r="H16" s="29" t="s">
        <v>29</v>
      </c>
      <c r="L16" s="131"/>
      <c r="M16" s="131"/>
      <c r="N16" s="131"/>
      <c r="O16" s="131"/>
      <c r="P16" s="131"/>
      <c r="Q16" s="131"/>
      <c r="R16" s="131"/>
      <c r="S16" s="131"/>
      <c r="T16" s="131"/>
      <c r="U16" s="131"/>
    </row>
    <row r="17" spans="1:22" ht="36" customHeight="1" thickBot="1">
      <c r="A17" s="35"/>
      <c r="B17" s="36" t="str">
        <f>'Control Entry'!N31</f>
        <v/>
      </c>
      <c r="C17" s="36" t="str">
        <f>'Control Entry'!O31</f>
        <v/>
      </c>
      <c r="D17" s="37"/>
      <c r="E17" s="38" t="str">
        <f>IF(ISBLANK('Control Entry'!H31),"",'Control Entry'!H31)</f>
        <v/>
      </c>
      <c r="F17" s="113" t="str">
        <f>IF(ISBLANK('Control Entry'!K31),"",'Control Entry'!K31)</f>
        <v/>
      </c>
      <c r="G17" s="112"/>
      <c r="H17" s="29" t="s">
        <v>29</v>
      </c>
    </row>
    <row r="18" spans="1:22" ht="36" customHeight="1">
      <c r="A18" s="31"/>
      <c r="B18" s="32" t="str">
        <f>'Control Entry'!N32</f>
        <v/>
      </c>
      <c r="C18" s="32" t="str">
        <f>'Control Entry'!O32</f>
        <v/>
      </c>
      <c r="D18" s="39"/>
      <c r="E18" s="34" t="str">
        <f>IF(ISBLANK('Control Entry'!F32),"",'Control Entry'!F32)</f>
        <v/>
      </c>
      <c r="F18" s="108" t="str">
        <f>IF(ISBLANK('Control Entry'!I32),"",'Control Entry'!I32)</f>
        <v/>
      </c>
      <c r="G18" s="109"/>
      <c r="H18" s="29" t="s">
        <v>29</v>
      </c>
    </row>
    <row r="19" spans="1:22" ht="36" customHeight="1">
      <c r="A19" s="40" t="str">
        <f>IF(ISBLANK('Control Entry'!D32),"",'Control Entry'!D32)</f>
        <v/>
      </c>
      <c r="B19" s="41" t="str">
        <f>'Control Entry'!N32</f>
        <v/>
      </c>
      <c r="C19" s="41" t="str">
        <f>'Control Entry'!O32</f>
        <v/>
      </c>
      <c r="D19" s="42" t="str">
        <f>IF(ISBLANK('Control Entry'!E32),"",'Control Entry'!E32)</f>
        <v/>
      </c>
      <c r="E19" s="34" t="str">
        <f>IF(ISBLANK('Control Entry'!G32),"",'Control Entry'!G32)</f>
        <v/>
      </c>
      <c r="F19" s="108" t="str">
        <f>IF(ISBLANK('Control Entry'!J32),"",'Control Entry'!J32)</f>
        <v/>
      </c>
      <c r="G19" s="109"/>
      <c r="H19" s="29" t="s">
        <v>29</v>
      </c>
    </row>
    <row r="20" spans="1:22" ht="36" customHeight="1" thickBot="1">
      <c r="A20" s="35"/>
      <c r="B20" s="36" t="str">
        <f>'Control Entry'!N32</f>
        <v/>
      </c>
      <c r="C20" s="36" t="str">
        <f>'Control Entry'!O32</f>
        <v/>
      </c>
      <c r="D20" s="37"/>
      <c r="E20" s="38" t="str">
        <f>IF(ISBLANK('Control Entry'!H32),"",'Control Entry'!H32)</f>
        <v/>
      </c>
      <c r="F20" s="113" t="str">
        <f>IF(ISBLANK('Control Entry'!K32),"",'Control Entry'!K32)</f>
        <v/>
      </c>
      <c r="G20" s="112"/>
      <c r="H20" s="29" t="s">
        <v>29</v>
      </c>
      <c r="J20" s="62" t="s">
        <v>44</v>
      </c>
      <c r="K20" s="62"/>
      <c r="L20" s="157">
        <f>IF(ISBLANK('Control Entry'!B11),"",'Control Entry'!B11)</f>
        <v>45087</v>
      </c>
      <c r="M20" s="157"/>
      <c r="N20" s="157"/>
      <c r="P20" s="18" t="s">
        <v>0</v>
      </c>
      <c r="Q20" s="18"/>
      <c r="S20" s="144">
        <f>IF(ISBLANK('Control Entry'!B12),"",'Control Entry'!B12)</f>
        <v>0.29166666666666669</v>
      </c>
      <c r="T20" s="144"/>
      <c r="U20" s="144"/>
    </row>
    <row r="21" spans="1:22" ht="36" customHeight="1">
      <c r="A21" s="31"/>
      <c r="B21" s="32" t="str">
        <f>'Control Entry'!N33</f>
        <v/>
      </c>
      <c r="C21" s="32" t="str">
        <f>'Control Entry'!O33</f>
        <v/>
      </c>
      <c r="D21" s="39"/>
      <c r="E21" s="34" t="str">
        <f>IF(ISBLANK('Control Entry'!F33),"",'Control Entry'!F33)</f>
        <v/>
      </c>
      <c r="F21" s="108" t="str">
        <f>IF(ISBLANK('Control Entry'!I33),"",'Control Entry'!I33)</f>
        <v/>
      </c>
      <c r="G21" s="109"/>
      <c r="H21" s="29" t="s">
        <v>29</v>
      </c>
      <c r="J21" s="62"/>
      <c r="K21" s="62"/>
      <c r="L21" s="60"/>
      <c r="M21" s="60"/>
      <c r="N21" s="60"/>
      <c r="P21" s="18"/>
      <c r="Q21" s="18"/>
      <c r="R21" s="23"/>
      <c r="S21" s="63"/>
      <c r="T21" s="63"/>
      <c r="U21" s="63"/>
      <c r="V21" s="30"/>
    </row>
    <row r="22" spans="1:22" ht="36" customHeight="1" thickBot="1">
      <c r="A22" s="40" t="str">
        <f>IF(ISBLANK('Control Entry'!D33),"",'Control Entry'!D33)</f>
        <v/>
      </c>
      <c r="B22" s="41" t="str">
        <f>'Control Entry'!N33</f>
        <v/>
      </c>
      <c r="C22" s="41" t="str">
        <f>'Control Entry'!O33</f>
        <v/>
      </c>
      <c r="D22" s="42" t="str">
        <f>IF(ISBLANK('Control Entry'!E33),"",'Control Entry'!E33)</f>
        <v/>
      </c>
      <c r="E22" s="34" t="str">
        <f>IF(ISBLANK('Control Entry'!G33),"",'Control Entry'!G33)</f>
        <v/>
      </c>
      <c r="F22" s="108" t="str">
        <f>IF(ISBLANK('Control Entry'!J33),"",'Control Entry'!J33)</f>
        <v/>
      </c>
      <c r="G22" s="109"/>
      <c r="H22" s="29" t="s">
        <v>29</v>
      </c>
      <c r="J22" s="90" t="s">
        <v>45</v>
      </c>
      <c r="K22" s="90"/>
      <c r="L22" s="132"/>
      <c r="M22" s="132"/>
      <c r="N22" s="132"/>
      <c r="O22" s="19"/>
      <c r="P22" s="18" t="s">
        <v>1</v>
      </c>
      <c r="Q22" s="18"/>
      <c r="R22" s="19"/>
      <c r="S22" s="128"/>
      <c r="T22" s="128"/>
      <c r="U22" s="128"/>
    </row>
    <row r="23" spans="1:22" ht="36" customHeight="1" thickBot="1">
      <c r="A23" s="35"/>
      <c r="B23" s="36" t="str">
        <f>'Control Entry'!N33</f>
        <v/>
      </c>
      <c r="C23" s="36" t="str">
        <f>'Control Entry'!O33</f>
        <v/>
      </c>
      <c r="D23" s="37"/>
      <c r="E23" s="38" t="str">
        <f>IF(ISBLANK('Control Entry'!H33),"",'Control Entry'!H33)</f>
        <v/>
      </c>
      <c r="F23" s="113" t="str">
        <f>IF(ISBLANK('Control Entry'!K33),"",'Control Entry'!K33)</f>
        <v/>
      </c>
      <c r="G23" s="112"/>
      <c r="H23" s="29" t="s">
        <v>29</v>
      </c>
      <c r="J23" s="90"/>
      <c r="K23" s="90"/>
      <c r="L23" s="60"/>
      <c r="M23" s="60"/>
      <c r="N23" s="60"/>
      <c r="O23" s="23"/>
      <c r="P23" s="59"/>
      <c r="Q23" s="59"/>
      <c r="R23" s="23"/>
      <c r="S23" s="23"/>
      <c r="T23" s="23"/>
      <c r="U23" s="23"/>
      <c r="V23" s="30"/>
    </row>
    <row r="24" spans="1:22" ht="36" customHeight="1" thickBot="1">
      <c r="A24" s="31"/>
      <c r="B24" s="32" t="str">
        <f>'Control Entry'!N34</f>
        <v/>
      </c>
      <c r="C24" s="32" t="str">
        <f>'Control Entry'!O34</f>
        <v/>
      </c>
      <c r="D24" s="39"/>
      <c r="E24" s="34" t="str">
        <f>IF(ISBLANK('Control Entry'!F34),"",'Control Entry'!F34)</f>
        <v/>
      </c>
      <c r="F24" s="108" t="str">
        <f>IF(ISBLANK('Control Entry'!I34),"",'Control Entry'!I34)</f>
        <v/>
      </c>
      <c r="G24" s="109"/>
      <c r="H24" s="29" t="s">
        <v>29</v>
      </c>
      <c r="J24" s="128"/>
      <c r="K24" s="128"/>
      <c r="L24" s="128"/>
      <c r="M24" s="128"/>
      <c r="N24" s="128"/>
      <c r="O24" s="19"/>
      <c r="P24" s="18" t="s">
        <v>2</v>
      </c>
      <c r="Q24" s="18"/>
      <c r="R24" s="19"/>
      <c r="S24" s="128"/>
      <c r="T24" s="128"/>
      <c r="U24" s="128"/>
    </row>
    <row r="25" spans="1:22" ht="36" customHeight="1">
      <c r="A25" s="40" t="str">
        <f>IF(ISBLANK('Control Entry'!D34),"",'Control Entry'!D34)</f>
        <v/>
      </c>
      <c r="B25" s="41" t="str">
        <f>'Control Entry'!N34</f>
        <v/>
      </c>
      <c r="C25" s="41" t="str">
        <f>'Control Entry'!O34</f>
        <v/>
      </c>
      <c r="D25" s="42" t="str">
        <f>IF(ISBLANK('Control Entry'!E34),"",'Control Entry'!E34)</f>
        <v/>
      </c>
      <c r="E25" s="34" t="str">
        <f>IF(ISBLANK('Control Entry'!G34),"",'Control Entry'!G34)</f>
        <v/>
      </c>
      <c r="F25" s="108" t="str">
        <f>IF(ISBLANK('Control Entry'!J34),"",'Control Entry'!J34)</f>
        <v/>
      </c>
      <c r="G25" s="109"/>
      <c r="H25" s="29" t="s">
        <v>29</v>
      </c>
      <c r="J25" s="142" t="s">
        <v>17</v>
      </c>
      <c r="K25" s="142"/>
      <c r="L25" s="142"/>
      <c r="M25" s="142"/>
      <c r="N25" s="142"/>
      <c r="O25" s="53"/>
      <c r="P25" s="139"/>
      <c r="Q25" s="139"/>
      <c r="R25" s="53"/>
      <c r="S25" s="140"/>
      <c r="T25" s="140"/>
      <c r="U25" s="140"/>
      <c r="V25" s="140"/>
    </row>
    <row r="26" spans="1:22" ht="36" customHeight="1" thickBot="1">
      <c r="A26" s="35"/>
      <c r="B26" s="36" t="str">
        <f>'Control Entry'!N34</f>
        <v/>
      </c>
      <c r="C26" s="36" t="str">
        <f>'Control Entry'!O34</f>
        <v/>
      </c>
      <c r="D26" s="37"/>
      <c r="E26" s="38" t="str">
        <f>IF(ISBLANK('Control Entry'!H34),"",'Control Entry'!H34)</f>
        <v/>
      </c>
      <c r="F26" s="113" t="str">
        <f>IF(ISBLANK('Control Entry'!K34),"",'Control Entry'!K34)</f>
        <v/>
      </c>
      <c r="G26" s="112"/>
      <c r="H26" s="29" t="s">
        <v>29</v>
      </c>
    </row>
    <row r="27" spans="1:22" ht="36" customHeight="1">
      <c r="A27" s="31"/>
      <c r="B27" s="32" t="str">
        <f>'Control Entry'!N35</f>
        <v/>
      </c>
      <c r="C27" s="32" t="str">
        <f>'Control Entry'!O35</f>
        <v/>
      </c>
      <c r="D27" s="39"/>
      <c r="E27" s="34" t="str">
        <f>IF(ISBLANK('Control Entry'!F35),"",'Control Entry'!F35)</f>
        <v/>
      </c>
      <c r="F27" s="108" t="str">
        <f>IF(ISBLANK('Control Entry'!I35),"",'Control Entry'!I35)</f>
        <v/>
      </c>
      <c r="G27" s="109"/>
      <c r="H27" s="29" t="s">
        <v>29</v>
      </c>
      <c r="K27" s="138" t="s">
        <v>56</v>
      </c>
      <c r="L27" s="139"/>
      <c r="M27" s="52" t="s">
        <v>57</v>
      </c>
      <c r="N27" s="139" t="s">
        <v>49</v>
      </c>
      <c r="O27" s="139"/>
      <c r="P27" s="139" t="s">
        <v>50</v>
      </c>
      <c r="Q27" s="139"/>
      <c r="R27" s="53" t="s">
        <v>51</v>
      </c>
      <c r="S27" s="140" t="s">
        <v>52</v>
      </c>
      <c r="T27" s="140"/>
      <c r="U27" s="140" t="s">
        <v>53</v>
      </c>
      <c r="V27" s="140"/>
    </row>
    <row r="28" spans="1:22" ht="36" customHeight="1">
      <c r="A28" s="40" t="str">
        <f>IF(ISBLANK('Control Entry'!D35),"",'Control Entry'!D35)</f>
        <v/>
      </c>
      <c r="B28" s="41" t="str">
        <f>'Control Entry'!N35</f>
        <v/>
      </c>
      <c r="C28" s="41" t="str">
        <f>'Control Entry'!O35</f>
        <v/>
      </c>
      <c r="D28" s="42" t="str">
        <f>IF(ISBLANK('Control Entry'!E35),"",'Control Entry'!E35)</f>
        <v/>
      </c>
      <c r="E28" s="34" t="str">
        <f>IF(ISBLANK('Control Entry'!G35),"",'Control Entry'!G35)</f>
        <v/>
      </c>
      <c r="F28" s="108" t="str">
        <f>IF(ISBLANK('Control Entry'!J35),"",'Control Entry'!J35)</f>
        <v/>
      </c>
      <c r="G28" s="109"/>
      <c r="H28" s="29" t="s">
        <v>29</v>
      </c>
    </row>
    <row r="29" spans="1:22" ht="36" customHeight="1" thickBot="1">
      <c r="A29" s="35"/>
      <c r="B29" s="36" t="str">
        <f>'Control Entry'!N35</f>
        <v/>
      </c>
      <c r="C29" s="36" t="str">
        <f>'Control Entry'!O35</f>
        <v/>
      </c>
      <c r="D29" s="37"/>
      <c r="E29" s="38" t="str">
        <f>IF(ISBLANK('Control Entry'!H35),"",'Control Entry'!H35)</f>
        <v/>
      </c>
      <c r="F29" s="113" t="str">
        <f>IF(ISBLANK('Control Entry'!K35),"",'Control Entry'!K35)</f>
        <v/>
      </c>
      <c r="G29" s="112"/>
      <c r="H29" s="29" t="s">
        <v>29</v>
      </c>
      <c r="M29" s="148" t="s">
        <v>42</v>
      </c>
      <c r="N29" s="148"/>
      <c r="O29" s="148"/>
      <c r="P29" s="148"/>
      <c r="Q29" s="148"/>
      <c r="R29" s="148"/>
      <c r="S29" s="148"/>
      <c r="T29" s="148"/>
      <c r="U29" s="57"/>
    </row>
    <row r="30" spans="1:22" ht="36" customHeight="1">
      <c r="A30" s="31"/>
      <c r="B30" s="32" t="str">
        <f>'Control Entry'!N36</f>
        <v/>
      </c>
      <c r="C30" s="32" t="str">
        <f>'Control Entry'!O36</f>
        <v/>
      </c>
      <c r="D30" s="39"/>
      <c r="E30" s="34" t="str">
        <f>IF(ISBLANK('Control Entry'!F36),"",'Control Entry'!F36)</f>
        <v/>
      </c>
      <c r="F30" s="108" t="str">
        <f>IF(ISBLANK('Control Entry'!I36),"",'Control Entry'!I36)</f>
        <v/>
      </c>
      <c r="G30" s="109"/>
      <c r="H30" s="29" t="s">
        <v>29</v>
      </c>
      <c r="M30" s="16"/>
      <c r="N30" s="21"/>
      <c r="O30" s="21"/>
      <c r="P30" s="22"/>
      <c r="Q30" s="21"/>
      <c r="R30" s="21"/>
      <c r="S30" s="21"/>
      <c r="T30" s="22"/>
      <c r="U30" s="23"/>
    </row>
    <row r="31" spans="1:22" ht="36" customHeight="1">
      <c r="A31" s="40" t="str">
        <f>IF(ISBLANK('Control Entry'!D36),"",'Control Entry'!D36)</f>
        <v/>
      </c>
      <c r="B31" s="41" t="str">
        <f>'Control Entry'!N36</f>
        <v/>
      </c>
      <c r="C31" s="41" t="str">
        <f>'Control Entry'!O36</f>
        <v/>
      </c>
      <c r="D31" s="42" t="str">
        <f>IF(ISBLANK('Control Entry'!E36),"",'Control Entry'!E36)</f>
        <v/>
      </c>
      <c r="E31" s="34" t="str">
        <f>IF(ISBLANK('Control Entry'!G36),"",'Control Entry'!G36)</f>
        <v/>
      </c>
      <c r="F31" s="108" t="str">
        <f>IF(ISBLANK('Control Entry'!J36),"",'Control Entry'!J36)</f>
        <v/>
      </c>
      <c r="G31" s="109"/>
      <c r="H31" s="29" t="s">
        <v>29</v>
      </c>
      <c r="M31" s="17"/>
      <c r="N31" s="23"/>
      <c r="O31" s="23"/>
      <c r="P31" s="24"/>
      <c r="Q31" s="23"/>
      <c r="R31" s="23"/>
      <c r="S31" s="23"/>
      <c r="T31" s="24"/>
      <c r="U31" s="23"/>
    </row>
    <row r="32" spans="1:22" ht="36" customHeight="1" thickBot="1">
      <c r="A32" s="35"/>
      <c r="B32" s="36" t="str">
        <f>'Control Entry'!N36</f>
        <v/>
      </c>
      <c r="C32" s="36" t="str">
        <f>'Control Entry'!O36</f>
        <v/>
      </c>
      <c r="D32" s="37"/>
      <c r="E32" s="38" t="str">
        <f>IF(ISBLANK('Control Entry'!H36),"",'Control Entry'!H36)</f>
        <v/>
      </c>
      <c r="F32" s="113" t="str">
        <f>IF(ISBLANK('Control Entry'!K36),"",'Control Entry'!K36)</f>
        <v/>
      </c>
      <c r="G32" s="112"/>
      <c r="H32" s="29" t="s">
        <v>29</v>
      </c>
      <c r="M32" s="55"/>
      <c r="N32" s="20"/>
      <c r="O32" s="20"/>
      <c r="P32" s="25"/>
      <c r="Q32" s="20"/>
      <c r="R32" s="20"/>
      <c r="S32" s="20"/>
      <c r="T32" s="25"/>
      <c r="U32" s="23"/>
    </row>
    <row r="33" spans="1:22" ht="36" customHeight="1">
      <c r="A33" s="137" t="s">
        <v>43</v>
      </c>
      <c r="B33" s="137"/>
      <c r="C33" s="137"/>
      <c r="D33" s="137"/>
      <c r="E33" s="137"/>
      <c r="F33" s="137"/>
      <c r="G33" s="137"/>
      <c r="H33" s="43"/>
      <c r="I33" s="43"/>
      <c r="M33" s="149" t="s">
        <v>82</v>
      </c>
      <c r="N33" s="150"/>
      <c r="O33" s="150"/>
      <c r="P33" s="150"/>
      <c r="Q33" s="151">
        <f>'Control Entry'!B3</f>
        <v>44674</v>
      </c>
      <c r="R33" s="152"/>
      <c r="S33" s="152"/>
      <c r="T33" s="152"/>
      <c r="U33" s="104"/>
      <c r="V33" s="60"/>
    </row>
    <row r="34" spans="1:22" ht="36" customHeight="1">
      <c r="A34"/>
      <c r="O34" s="49"/>
      <c r="P34" s="49"/>
      <c r="Q34" s="49"/>
      <c r="R34" s="48"/>
    </row>
    <row r="35" spans="1:22" ht="36" customHeight="1">
      <c r="A35"/>
      <c r="N35" s="148"/>
      <c r="O35" s="148"/>
      <c r="P35" s="148"/>
      <c r="Q35" s="148"/>
      <c r="R35" s="148"/>
      <c r="S35" s="148"/>
      <c r="T35" s="148"/>
      <c r="U35" s="148"/>
    </row>
    <row r="36" spans="1:22" ht="36" customHeight="1">
      <c r="A36"/>
      <c r="N36" s="30"/>
      <c r="O36" s="23"/>
      <c r="P36" s="23"/>
      <c r="Q36" s="23"/>
      <c r="R36" s="23"/>
      <c r="S36" s="23"/>
      <c r="T36" s="23"/>
      <c r="U36" s="23"/>
    </row>
    <row r="37" spans="1:22" ht="36" customHeight="1">
      <c r="A37"/>
      <c r="N37" s="30"/>
      <c r="O37" s="23"/>
      <c r="P37" s="23"/>
      <c r="Q37" s="23"/>
      <c r="R37" s="23"/>
      <c r="S37" s="23"/>
      <c r="T37" s="23"/>
      <c r="U37" s="23"/>
    </row>
    <row r="38" spans="1:22" ht="36" customHeight="1">
      <c r="A38"/>
      <c r="N38" s="58"/>
      <c r="O38" s="23"/>
      <c r="P38" s="23"/>
      <c r="Q38" s="23"/>
      <c r="R38" s="23"/>
      <c r="S38" s="23"/>
      <c r="T38" s="23"/>
      <c r="U38" s="23"/>
    </row>
    <row r="39" spans="1:22" ht="36" customHeight="1">
      <c r="A39"/>
    </row>
    <row r="40" spans="1:22" ht="36" customHeight="1">
      <c r="A40"/>
    </row>
  </sheetData>
  <sheetProtection algorithmName="SHA-512" hashValue="iSFPuqAqE6+8VyiozruXJoR0qw+BhLOka06RpuEl+NEbHzoKtGxcXBR0xAT9porKkYsihwmQXc6z1GyM7R9v2A==" saltValue="p5OooFQccywreS3mUMh78Q==" spinCount="100000" sheet="1" objects="1" scenarios="1" formatCells="0" selectLockedCells="1"/>
  <mergeCells count="39">
    <mergeCell ref="M33:P33"/>
    <mergeCell ref="S24:U24"/>
    <mergeCell ref="A33:G33"/>
    <mergeCell ref="N35:U35"/>
    <mergeCell ref="L8:Q8"/>
    <mergeCell ref="M29:T29"/>
    <mergeCell ref="L15:U15"/>
    <mergeCell ref="S20:U20"/>
    <mergeCell ref="J25:N25"/>
    <mergeCell ref="P25:Q25"/>
    <mergeCell ref="S25:T25"/>
    <mergeCell ref="U25:V25"/>
    <mergeCell ref="K27:L27"/>
    <mergeCell ref="N27:O27"/>
    <mergeCell ref="P27:Q27"/>
    <mergeCell ref="S27:T27"/>
    <mergeCell ref="U27:V27"/>
    <mergeCell ref="A1:G1"/>
    <mergeCell ref="K2:U2"/>
    <mergeCell ref="M4:T4"/>
    <mergeCell ref="N5:O5"/>
    <mergeCell ref="R5:U5"/>
    <mergeCell ref="O3:R3"/>
    <mergeCell ref="Q33:T33"/>
    <mergeCell ref="L20:N20"/>
    <mergeCell ref="L6:U6"/>
    <mergeCell ref="T8:U8"/>
    <mergeCell ref="L9:U9"/>
    <mergeCell ref="L10:U10"/>
    <mergeCell ref="L11:N11"/>
    <mergeCell ref="S11:U11"/>
    <mergeCell ref="L12:N12"/>
    <mergeCell ref="S12:U12"/>
    <mergeCell ref="L13:N13"/>
    <mergeCell ref="R13:U13"/>
    <mergeCell ref="L16:U16"/>
    <mergeCell ref="L22:N22"/>
    <mergeCell ref="S22:U22"/>
    <mergeCell ref="J24:N24"/>
  </mergeCells>
  <phoneticPr fontId="16" type="noConversion"/>
  <printOptions horizontalCentered="1" verticalCentered="1"/>
  <pageMargins left="0.2" right="0.2" top="0.2" bottom="0.2" header="0.51" footer="0.51"/>
  <pageSetup scale="44" orientation="landscape" horizontalDpi="4294967292" verticalDpi="4294967292"/>
  <drawing r:id="rId1"/>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40"/>
  <sheetViews>
    <sheetView showGridLines="0" topLeftCell="A2" zoomScale="92" zoomScaleNormal="92" zoomScalePageLayoutView="92" workbookViewId="0">
      <selection activeCell="F5" sqref="F5"/>
    </sheetView>
  </sheetViews>
  <sheetFormatPr baseColWidth="10" defaultColWidth="8.83203125" defaultRowHeight="12" x14ac:dyDescent="0"/>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style="30" customWidth="1"/>
    <col min="9" max="9" width="12" customWidth="1"/>
    <col min="18" max="19" width="8.83203125" customWidth="1"/>
  </cols>
  <sheetData>
    <row r="1" spans="1:22" ht="19" thickBot="1">
      <c r="A1" s="136" t="s">
        <v>74</v>
      </c>
      <c r="B1" s="136"/>
      <c r="C1" s="136"/>
      <c r="D1" s="136"/>
      <c r="E1" s="136"/>
      <c r="F1" s="136"/>
      <c r="G1" s="136"/>
      <c r="H1" s="29" t="s">
        <v>29</v>
      </c>
    </row>
    <row r="2" spans="1:22" ht="33.75" customHeight="1" thickBot="1">
      <c r="A2" s="77" t="s">
        <v>30</v>
      </c>
      <c r="B2" s="9" t="s">
        <v>3</v>
      </c>
      <c r="C2" s="9" t="s">
        <v>4</v>
      </c>
      <c r="D2" s="9" t="s">
        <v>25</v>
      </c>
      <c r="E2" s="9" t="s">
        <v>31</v>
      </c>
      <c r="F2" s="9" t="s">
        <v>59</v>
      </c>
      <c r="G2" s="77" t="s">
        <v>32</v>
      </c>
      <c r="H2" s="29" t="s">
        <v>29</v>
      </c>
      <c r="K2" s="134" t="s">
        <v>55</v>
      </c>
      <c r="L2" s="134"/>
      <c r="M2" s="134"/>
      <c r="N2" s="134"/>
      <c r="O2" s="134"/>
      <c r="P2" s="134"/>
      <c r="Q2" s="134"/>
      <c r="R2" s="134"/>
      <c r="S2" s="134"/>
      <c r="T2" s="134"/>
      <c r="U2" s="134"/>
    </row>
    <row r="3" spans="1:22" ht="36" customHeight="1">
      <c r="A3" s="31"/>
      <c r="B3" s="32" t="str">
        <f>'Control Entry'!N40</f>
        <v/>
      </c>
      <c r="C3" s="32" t="str">
        <f>'Control Entry'!O40</f>
        <v/>
      </c>
      <c r="D3" s="33"/>
      <c r="E3" s="34" t="str">
        <f>IF(ISBLANK('Control Entry'!F40),"",'Control Entry'!F40)</f>
        <v/>
      </c>
      <c r="F3" s="108" t="str">
        <f>IF(ISBLANK('Control Entry'!I40),"",'Control Entry'!I40)</f>
        <v/>
      </c>
      <c r="G3" s="109"/>
      <c r="H3" s="29" t="s">
        <v>29</v>
      </c>
      <c r="K3" s="14"/>
      <c r="O3" s="143" t="s">
        <v>73</v>
      </c>
      <c r="P3" s="143"/>
      <c r="Q3" s="143"/>
      <c r="R3" s="143"/>
      <c r="S3" s="94" t="str">
        <f>IF('Control Entry'!D40=0,"","#3")</f>
        <v/>
      </c>
      <c r="T3" s="95"/>
      <c r="U3" s="44"/>
    </row>
    <row r="4" spans="1:22" ht="36" customHeight="1">
      <c r="A4" s="40" t="str">
        <f>IF(ISBLANK('Control Entry'!D40),"",'Control Entry'!D40)</f>
        <v/>
      </c>
      <c r="B4" s="41" t="str">
        <f>'Control Entry'!N40</f>
        <v/>
      </c>
      <c r="C4" s="41" t="str">
        <f>'Control Entry'!O40</f>
        <v/>
      </c>
      <c r="D4" s="42" t="str">
        <f>IF(ISBLANK('Control Entry'!E40),"",'Control Entry'!E40)</f>
        <v/>
      </c>
      <c r="E4" s="34" t="str">
        <f>IF(ISBLANK('Control Entry'!G40),"",'Control Entry'!G40)</f>
        <v/>
      </c>
      <c r="F4" s="108" t="str">
        <f>IF(ISBLANK('Control Entry'!J40),"",'Control Entry'!J40)</f>
        <v/>
      </c>
      <c r="G4" s="109"/>
      <c r="H4" s="29" t="s">
        <v>29</v>
      </c>
      <c r="K4" s="14"/>
      <c r="M4" s="138" t="str">
        <f>IF(ISBLANK(brevet),"",brevet&amp;" km Randonnée")</f>
        <v>200 km Randonnée</v>
      </c>
      <c r="N4" s="138"/>
      <c r="O4" s="138"/>
      <c r="P4" s="138"/>
      <c r="Q4" s="138"/>
      <c r="R4" s="138"/>
      <c r="S4" s="138"/>
      <c r="T4" s="138"/>
      <c r="U4" s="45"/>
    </row>
    <row r="5" spans="1:22" ht="36" customHeight="1" thickBot="1">
      <c r="A5" s="35"/>
      <c r="B5" s="36" t="str">
        <f>'Control Entry'!N40</f>
        <v/>
      </c>
      <c r="C5" s="36" t="str">
        <f>'Control Entry'!O40</f>
        <v/>
      </c>
      <c r="D5" s="37"/>
      <c r="E5" s="38" t="str">
        <f>IF(ISBLANK('Control Entry'!H27),"",'Control Entry'!H27)</f>
        <v/>
      </c>
      <c r="F5" s="113" t="str">
        <f>IF(ISBLANK('Control Entry'!K40),"",'Control Entry'!K40)</f>
        <v/>
      </c>
      <c r="G5" s="112"/>
      <c r="H5" s="29" t="s">
        <v>29</v>
      </c>
      <c r="K5" s="14"/>
      <c r="M5" s="15"/>
      <c r="N5" s="141" t="s">
        <v>47</v>
      </c>
      <c r="O5" s="141"/>
      <c r="P5" s="64">
        <f>IF(ISBLANK(Brevet_Number),"",Brevet_Number)</f>
        <v>5246</v>
      </c>
      <c r="Q5" s="65"/>
      <c r="R5" s="133">
        <f>IF(ISBLANK('Control Entry'!$B9),"",'Control Entry'!$B9)</f>
        <v>45087</v>
      </c>
      <c r="S5" s="133"/>
      <c r="T5" s="133"/>
      <c r="U5" s="133"/>
      <c r="V5" s="46"/>
    </row>
    <row r="6" spans="1:22" ht="36" customHeight="1">
      <c r="A6" s="31"/>
      <c r="B6" s="32" t="str">
        <f>'Control Entry'!N41</f>
        <v/>
      </c>
      <c r="C6" s="32" t="str">
        <f>'Control Entry'!O41</f>
        <v/>
      </c>
      <c r="D6" s="39"/>
      <c r="E6" s="34" t="str">
        <f>IF(ISBLANK('Control Entry'!F41),"",'Control Entry'!F41)</f>
        <v/>
      </c>
      <c r="F6" s="108" t="str">
        <f>IF(ISBLANK('Control Entry'!I41),"",'Control Entry'!I41)</f>
        <v/>
      </c>
      <c r="G6" s="109"/>
      <c r="H6" s="29" t="s">
        <v>29</v>
      </c>
      <c r="K6" s="14"/>
      <c r="L6" s="146" t="str">
        <f>IF(ISBLANK(Brevet_Description),"",Brevet_Description)</f>
        <v>Coffee, Ice Cream &amp; Beer</v>
      </c>
      <c r="M6" s="146"/>
      <c r="N6" s="146"/>
      <c r="O6" s="146"/>
      <c r="P6" s="146"/>
      <c r="Q6" s="146"/>
      <c r="R6" s="146"/>
      <c r="S6" s="146"/>
      <c r="T6" s="146"/>
      <c r="U6" s="146"/>
    </row>
    <row r="7" spans="1:22" ht="36" customHeight="1">
      <c r="A7" s="40" t="str">
        <f>IF(ISBLANK('Control Entry'!D41),"",'Control Entry'!D41)</f>
        <v/>
      </c>
      <c r="B7" s="41" t="str">
        <f>'Control Entry'!N41</f>
        <v/>
      </c>
      <c r="C7" s="41" t="str">
        <f>'Control Entry'!O41</f>
        <v/>
      </c>
      <c r="D7" s="42" t="str">
        <f>IF(ISBLANK('Control Entry'!E41),"",'Control Entry'!E41)</f>
        <v/>
      </c>
      <c r="E7" s="34" t="str">
        <f>IF(ISBLANK('Control Entry'!G41),"",'Control Entry'!G41)</f>
        <v/>
      </c>
      <c r="F7" s="108" t="str">
        <f>IF(ISBLANK('Control Entry'!J41),"",'Control Entry'!J41)</f>
        <v/>
      </c>
      <c r="G7" s="109"/>
      <c r="H7" s="29" t="s">
        <v>29</v>
      </c>
    </row>
    <row r="8" spans="1:22" ht="36" customHeight="1" thickBot="1">
      <c r="A8" s="35"/>
      <c r="B8" s="36" t="str">
        <f>'Control Entry'!N41</f>
        <v/>
      </c>
      <c r="C8" s="36" t="str">
        <f>'Control Entry'!O41</f>
        <v/>
      </c>
      <c r="D8" s="37"/>
      <c r="E8" s="38" t="str">
        <f>IF(ISBLANK('Control Entry'!H41),"",'Control Entry'!H41)</f>
        <v/>
      </c>
      <c r="F8" s="113" t="str">
        <f>IF(ISBLANK('Control Entry'!K41),"",'Control Entry'!K41)</f>
        <v/>
      </c>
      <c r="G8" s="112"/>
      <c r="H8" s="29" t="s">
        <v>29</v>
      </c>
      <c r="J8" s="15" t="s">
        <v>34</v>
      </c>
      <c r="L8" s="135"/>
      <c r="M8" s="135"/>
      <c r="N8" s="135"/>
      <c r="O8" s="135"/>
      <c r="P8" s="135"/>
      <c r="Q8" s="135"/>
      <c r="R8" s="30"/>
      <c r="S8" s="47" t="s">
        <v>46</v>
      </c>
      <c r="T8" s="147"/>
      <c r="U8" s="147"/>
    </row>
    <row r="9" spans="1:22" ht="36" customHeight="1" thickBot="1">
      <c r="A9" s="31"/>
      <c r="B9" s="32" t="str">
        <f>'Control Entry'!N42</f>
        <v/>
      </c>
      <c r="C9" s="32" t="str">
        <f>'Control Entry'!O42</f>
        <v/>
      </c>
      <c r="D9" s="39"/>
      <c r="E9" s="34" t="str">
        <f>IF(ISBLANK('Control Entry'!F42),"",'Control Entry'!F42)</f>
        <v/>
      </c>
      <c r="F9" s="108" t="str">
        <f>IF(ISBLANK('Control Entry'!I42),"",'Control Entry'!I42)</f>
        <v/>
      </c>
      <c r="G9" s="109"/>
      <c r="H9" s="29" t="s">
        <v>29</v>
      </c>
      <c r="J9" s="15" t="s">
        <v>35</v>
      </c>
      <c r="K9" s="15"/>
      <c r="L9" s="129" t="s">
        <v>54</v>
      </c>
      <c r="M9" s="129"/>
      <c r="N9" s="129"/>
      <c r="O9" s="129"/>
      <c r="P9" s="129"/>
      <c r="Q9" s="129"/>
      <c r="R9" s="129"/>
      <c r="S9" s="129"/>
      <c r="T9" s="129"/>
      <c r="U9" s="129"/>
    </row>
    <row r="10" spans="1:22" ht="36" customHeight="1" thickBot="1">
      <c r="A10" s="40" t="str">
        <f>IF(ISBLANK('Control Entry'!D42),"",'Control Entry'!D42)</f>
        <v/>
      </c>
      <c r="B10" s="41" t="str">
        <f>'Control Entry'!N42</f>
        <v/>
      </c>
      <c r="C10" s="41" t="str">
        <f>'Control Entry'!O42</f>
        <v/>
      </c>
      <c r="D10" s="42" t="str">
        <f>IF(ISBLANK('Control Entry'!E42),"",'Control Entry'!E42)</f>
        <v/>
      </c>
      <c r="E10" s="34" t="str">
        <f>IF(ISBLANK('Control Entry'!G42),"",'Control Entry'!G42)</f>
        <v/>
      </c>
      <c r="F10" s="108" t="str">
        <f>IF(ISBLANK('Control Entry'!J42),"",'Control Entry'!J42)</f>
        <v/>
      </c>
      <c r="G10" s="109"/>
      <c r="H10" s="29" t="s">
        <v>29</v>
      </c>
      <c r="J10" s="15"/>
      <c r="K10" s="15"/>
      <c r="L10" s="130"/>
      <c r="M10" s="130"/>
      <c r="N10" s="130"/>
      <c r="O10" s="130"/>
      <c r="P10" s="130"/>
      <c r="Q10" s="130"/>
      <c r="R10" s="130"/>
      <c r="S10" s="130"/>
      <c r="T10" s="130"/>
      <c r="U10" s="130"/>
    </row>
    <row r="11" spans="1:22" ht="36" customHeight="1" thickBot="1">
      <c r="A11" s="35"/>
      <c r="B11" s="36" t="str">
        <f>'Control Entry'!N42</f>
        <v/>
      </c>
      <c r="C11" s="36" t="str">
        <f>'Control Entry'!O42</f>
        <v/>
      </c>
      <c r="D11" s="37"/>
      <c r="E11" s="38" t="str">
        <f>IF(ISBLANK('Control Entry'!H42),"",'Control Entry'!H42)</f>
        <v/>
      </c>
      <c r="F11" s="113" t="str">
        <f>IF(ISBLANK('Control Entry'!K42),"",'Control Entry'!K42)</f>
        <v/>
      </c>
      <c r="G11" s="112"/>
      <c r="H11" s="29" t="s">
        <v>29</v>
      </c>
      <c r="J11" s="15" t="s">
        <v>36</v>
      </c>
      <c r="K11" s="15"/>
      <c r="L11" s="130"/>
      <c r="M11" s="130"/>
      <c r="N11" s="130"/>
      <c r="O11" s="18"/>
      <c r="P11" s="18" t="s">
        <v>37</v>
      </c>
      <c r="Q11" s="18"/>
      <c r="R11" s="18"/>
      <c r="S11" s="155"/>
      <c r="T11" s="155"/>
      <c r="U11" s="155"/>
    </row>
    <row r="12" spans="1:22" ht="36" customHeight="1" thickBot="1">
      <c r="A12" s="31"/>
      <c r="B12" s="32" t="str">
        <f>'Control Entry'!N43</f>
        <v/>
      </c>
      <c r="C12" s="32" t="str">
        <f>'Control Entry'!O43</f>
        <v/>
      </c>
      <c r="D12" s="39"/>
      <c r="E12" s="34" t="str">
        <f>IF(ISBLANK('Control Entry'!F43),"",'Control Entry'!F43)</f>
        <v/>
      </c>
      <c r="F12" s="108" t="str">
        <f>IF(ISBLANK('Control Entry'!I43),"",'Control Entry'!I43)</f>
        <v/>
      </c>
      <c r="G12" s="109"/>
      <c r="H12" s="29" t="s">
        <v>29</v>
      </c>
      <c r="J12" s="15" t="s">
        <v>38</v>
      </c>
      <c r="K12" s="15"/>
      <c r="L12" s="130"/>
      <c r="M12" s="130"/>
      <c r="N12" s="130"/>
      <c r="O12" s="18"/>
      <c r="P12" s="18" t="s">
        <v>39</v>
      </c>
      <c r="Q12" s="18"/>
      <c r="R12" s="18"/>
      <c r="S12" s="155"/>
      <c r="T12" s="155"/>
      <c r="U12" s="155"/>
    </row>
    <row r="13" spans="1:22" ht="36" customHeight="1" thickBot="1">
      <c r="A13" s="40" t="str">
        <f>IF(ISBLANK('Control Entry'!D43),"",'Control Entry'!D43)</f>
        <v/>
      </c>
      <c r="B13" s="41" t="str">
        <f>'Control Entry'!N43</f>
        <v/>
      </c>
      <c r="C13" s="41" t="str">
        <f>'Control Entry'!O43</f>
        <v/>
      </c>
      <c r="D13" s="42" t="str">
        <f>IF(ISBLANK('Control Entry'!E43),"",'Control Entry'!E43)</f>
        <v/>
      </c>
      <c r="E13" s="34" t="str">
        <f>IF(ISBLANK('Control Entry'!G43),"",'Control Entry'!G43)</f>
        <v/>
      </c>
      <c r="F13" s="108" t="str">
        <f>IF(ISBLANK('Control Entry'!J43),"",'Control Entry'!J43)</f>
        <v/>
      </c>
      <c r="G13" s="109"/>
      <c r="H13" s="29" t="s">
        <v>29</v>
      </c>
      <c r="J13" s="15" t="s">
        <v>40</v>
      </c>
      <c r="L13" s="154"/>
      <c r="M13" s="154"/>
      <c r="N13" s="154"/>
      <c r="O13" s="19"/>
      <c r="P13" s="18" t="s">
        <v>41</v>
      </c>
      <c r="Q13" s="18"/>
      <c r="R13" s="156"/>
      <c r="S13" s="156"/>
      <c r="T13" s="156"/>
      <c r="U13" s="156"/>
    </row>
    <row r="14" spans="1:22" ht="36" customHeight="1" thickBot="1">
      <c r="A14" s="35"/>
      <c r="B14" s="36" t="str">
        <f>'Control Entry'!N43</f>
        <v/>
      </c>
      <c r="C14" s="36" t="str">
        <f>'Control Entry'!O43</f>
        <v/>
      </c>
      <c r="D14" s="37"/>
      <c r="E14" s="38" t="str">
        <f>IF(ISBLANK('Control Entry'!H43),"",'Control Entry'!H43)</f>
        <v/>
      </c>
      <c r="F14" s="113" t="str">
        <f>IF(ISBLANK('Control Entry'!K43),"",'Control Entry'!K43)</f>
        <v/>
      </c>
      <c r="G14" s="112"/>
      <c r="H14" s="29" t="s">
        <v>29</v>
      </c>
    </row>
    <row r="15" spans="1:22" ht="36" customHeight="1">
      <c r="A15" s="31"/>
      <c r="B15" s="32" t="str">
        <f>'Control Entry'!N44</f>
        <v/>
      </c>
      <c r="C15" s="32" t="str">
        <f>'Control Entry'!O44</f>
        <v/>
      </c>
      <c r="D15" s="39"/>
      <c r="E15" s="34" t="str">
        <f>IF(ISBLANK('Control Entry'!F44),"",'Control Entry'!F44)</f>
        <v/>
      </c>
      <c r="F15" s="108" t="str">
        <f>IF(ISBLANK('Control Entry'!I44),"",'Control Entry'!I44)</f>
        <v/>
      </c>
      <c r="G15" s="109"/>
      <c r="H15" s="29" t="s">
        <v>29</v>
      </c>
      <c r="J15" s="15"/>
      <c r="L15" s="145" t="s">
        <v>58</v>
      </c>
      <c r="M15" s="145"/>
      <c r="N15" s="145"/>
      <c r="O15" s="145"/>
      <c r="P15" s="145"/>
      <c r="Q15" s="145"/>
      <c r="R15" s="145"/>
      <c r="S15" s="145"/>
      <c r="T15" s="145"/>
      <c r="U15" s="145"/>
    </row>
    <row r="16" spans="1:22" ht="36" customHeight="1" thickBot="1">
      <c r="A16" s="40" t="str">
        <f>IF(ISBLANK('Control Entry'!D44),"",'Control Entry'!D44)</f>
        <v/>
      </c>
      <c r="B16" s="41" t="str">
        <f>'Control Entry'!N44</f>
        <v/>
      </c>
      <c r="C16" s="41" t="str">
        <f>'Control Entry'!O44</f>
        <v/>
      </c>
      <c r="D16" s="42" t="str">
        <f>IF(ISBLANK('Control Entry'!E44),"",'Control Entry'!E44)</f>
        <v/>
      </c>
      <c r="E16" s="34" t="str">
        <f>IF(ISBLANK('Control Entry'!G44),"",'Control Entry'!G44)</f>
        <v/>
      </c>
      <c r="F16" s="108" t="str">
        <f>IF(ISBLANK('Control Entry'!J44),"",'Control Entry'!J44)</f>
        <v/>
      </c>
      <c r="G16" s="109"/>
      <c r="H16" s="29" t="s">
        <v>29</v>
      </c>
      <c r="L16" s="158"/>
      <c r="M16" s="158"/>
      <c r="N16" s="158"/>
      <c r="O16" s="158"/>
      <c r="P16" s="158"/>
      <c r="Q16" s="158"/>
      <c r="R16" s="158"/>
      <c r="S16" s="158"/>
      <c r="T16" s="158"/>
      <c r="U16" s="158"/>
    </row>
    <row r="17" spans="1:22" ht="36" customHeight="1" thickBot="1">
      <c r="A17" s="35"/>
      <c r="B17" s="36" t="str">
        <f>'Control Entry'!N44</f>
        <v/>
      </c>
      <c r="C17" s="36" t="str">
        <f>'Control Entry'!O44</f>
        <v/>
      </c>
      <c r="D17" s="37"/>
      <c r="E17" s="38" t="str">
        <f>IF(ISBLANK('Control Entry'!H44),"",'Control Entry'!H44)</f>
        <v/>
      </c>
      <c r="F17" s="113" t="str">
        <f>IF(ISBLANK('Control Entry'!K44),"",'Control Entry'!K44)</f>
        <v/>
      </c>
      <c r="G17" s="112"/>
      <c r="H17" s="29" t="s">
        <v>29</v>
      </c>
    </row>
    <row r="18" spans="1:22" ht="36" customHeight="1">
      <c r="A18" s="31"/>
      <c r="B18" s="32" t="str">
        <f>'Control Entry'!N45</f>
        <v/>
      </c>
      <c r="C18" s="32" t="str">
        <f>'Control Entry'!O45</f>
        <v/>
      </c>
      <c r="D18" s="39"/>
      <c r="E18" s="34" t="str">
        <f>IF(ISBLANK('Control Entry'!F45),"",'Control Entry'!F45)</f>
        <v/>
      </c>
      <c r="F18" s="108" t="str">
        <f>IF(ISBLANK('Control Entry'!I45),"",'Control Entry'!I45)</f>
        <v/>
      </c>
      <c r="G18" s="109"/>
      <c r="H18" s="29" t="s">
        <v>29</v>
      </c>
    </row>
    <row r="19" spans="1:22" ht="36" customHeight="1">
      <c r="A19" s="40" t="str">
        <f>IF(ISBLANK('Control Entry'!D45),"",'Control Entry'!D45)</f>
        <v/>
      </c>
      <c r="B19" s="41" t="str">
        <f>'Control Entry'!N45</f>
        <v/>
      </c>
      <c r="C19" s="41" t="str">
        <f>'Control Entry'!O45</f>
        <v/>
      </c>
      <c r="D19" s="42" t="str">
        <f>IF(ISBLANK('Control Entry'!E45),"",'Control Entry'!E45)</f>
        <v/>
      </c>
      <c r="E19" s="34" t="str">
        <f>IF(ISBLANK('Control Entry'!G45),"",'Control Entry'!G45)</f>
        <v/>
      </c>
      <c r="F19" s="108" t="str">
        <f>IF(ISBLANK('Control Entry'!J45),"",'Control Entry'!J415)</f>
        <v/>
      </c>
      <c r="G19" s="109"/>
      <c r="H19" s="29" t="s">
        <v>29</v>
      </c>
    </row>
    <row r="20" spans="1:22" ht="36" customHeight="1" thickBot="1">
      <c r="A20" s="35"/>
      <c r="B20" s="36" t="str">
        <f>'Control Entry'!N45</f>
        <v/>
      </c>
      <c r="C20" s="36" t="str">
        <f>'Control Entry'!O45</f>
        <v/>
      </c>
      <c r="D20" s="37"/>
      <c r="E20" s="38" t="str">
        <f>IF(ISBLANK('Control Entry'!H45),"",'Control Entry'!H45)</f>
        <v/>
      </c>
      <c r="F20" s="113" t="str">
        <f>IF(ISBLANK('Control Entry'!K45),"",'Control Entry'!K45)</f>
        <v/>
      </c>
      <c r="G20" s="112"/>
      <c r="H20" s="29" t="s">
        <v>29</v>
      </c>
      <c r="J20" s="62" t="s">
        <v>44</v>
      </c>
      <c r="K20" s="62"/>
      <c r="L20" s="153">
        <f>IF(ISBLANK('Control Entry'!B11),"",'Control Entry'!B11)</f>
        <v>45087</v>
      </c>
      <c r="M20" s="153"/>
      <c r="N20" s="153"/>
      <c r="P20" s="18" t="s">
        <v>0</v>
      </c>
      <c r="Q20" s="18"/>
      <c r="S20" s="144">
        <f>IF(ISBLANK('Control Entry'!B12),"",'Control Entry'!B12)</f>
        <v>0.29166666666666669</v>
      </c>
      <c r="T20" s="144"/>
      <c r="U20" s="144"/>
    </row>
    <row r="21" spans="1:22" ht="36" customHeight="1">
      <c r="A21" s="31"/>
      <c r="B21" s="32" t="str">
        <f>'Control Entry'!N46</f>
        <v/>
      </c>
      <c r="C21" s="32" t="str">
        <f>'Control Entry'!O46</f>
        <v/>
      </c>
      <c r="D21" s="39"/>
      <c r="E21" s="34" t="str">
        <f>IF(ISBLANK('Control Entry'!F46),"",'Control Entry'!F46)</f>
        <v/>
      </c>
      <c r="F21" s="108" t="str">
        <f>IF(ISBLANK('Control Entry'!I46),"",'Control Entry'!I46)</f>
        <v/>
      </c>
      <c r="G21" s="109"/>
      <c r="H21" s="29" t="s">
        <v>29</v>
      </c>
      <c r="J21" s="62"/>
      <c r="K21" s="62"/>
      <c r="L21" s="60"/>
      <c r="M21" s="60"/>
      <c r="N21" s="60"/>
      <c r="P21" s="18"/>
      <c r="Q21" s="18"/>
      <c r="R21" s="23"/>
      <c r="S21" s="63"/>
      <c r="T21" s="63"/>
      <c r="U21" s="63"/>
      <c r="V21" s="30"/>
    </row>
    <row r="22" spans="1:22" ht="36" customHeight="1" thickBot="1">
      <c r="A22" s="40" t="str">
        <f>IF(ISBLANK('Control Entry'!D46),"",'Control Entry'!D46)</f>
        <v/>
      </c>
      <c r="B22" s="41" t="str">
        <f>'Control Entry'!N46</f>
        <v/>
      </c>
      <c r="C22" s="41" t="str">
        <f>'Control Entry'!O46</f>
        <v/>
      </c>
      <c r="D22" s="42" t="str">
        <f>IF(ISBLANK('Control Entry'!E46),"",'Control Entry'!E46)</f>
        <v/>
      </c>
      <c r="E22" s="34" t="str">
        <f>IF(ISBLANK('Control Entry'!G46),"",'Control Entry'!G46)</f>
        <v/>
      </c>
      <c r="F22" s="108" t="str">
        <f>IF(ISBLANK('Control Entry'!J46),"",'Control Entry'!J46)</f>
        <v/>
      </c>
      <c r="G22" s="109"/>
      <c r="H22" s="29" t="s">
        <v>29</v>
      </c>
      <c r="J22" s="90" t="s">
        <v>45</v>
      </c>
      <c r="K22" s="90"/>
      <c r="L22" s="114"/>
      <c r="M22" s="114"/>
      <c r="N22" s="114"/>
      <c r="O22" s="19"/>
      <c r="P22" s="18" t="s">
        <v>1</v>
      </c>
      <c r="Q22" s="18"/>
      <c r="R22" s="19"/>
      <c r="S22" s="128"/>
      <c r="T22" s="128"/>
      <c r="U22" s="128"/>
    </row>
    <row r="23" spans="1:22" ht="36" customHeight="1" thickBot="1">
      <c r="A23" s="35"/>
      <c r="B23" s="36" t="str">
        <f>'Control Entry'!N46</f>
        <v/>
      </c>
      <c r="C23" s="36" t="str">
        <f>'Control Entry'!O46</f>
        <v/>
      </c>
      <c r="D23" s="37"/>
      <c r="E23" s="38" t="str">
        <f>IF(ISBLANK('Control Entry'!H46),"",'Control Entry'!H46)</f>
        <v/>
      </c>
      <c r="F23" s="113" t="str">
        <f>IF(ISBLANK('Control Entry'!K46),"",'Control Entry'!K46)</f>
        <v/>
      </c>
      <c r="G23" s="112"/>
      <c r="H23" s="29" t="s">
        <v>29</v>
      </c>
      <c r="J23" s="90"/>
      <c r="K23" s="90"/>
      <c r="L23" s="60"/>
      <c r="M23" s="60"/>
      <c r="N23" s="60"/>
      <c r="O23" s="23"/>
      <c r="P23" s="59"/>
      <c r="Q23" s="59"/>
      <c r="R23" s="23"/>
      <c r="S23" s="23"/>
      <c r="T23" s="23"/>
      <c r="U23" s="23"/>
      <c r="V23" s="30"/>
    </row>
    <row r="24" spans="1:22" ht="36" customHeight="1" thickBot="1">
      <c r="A24" s="31"/>
      <c r="B24" s="32" t="str">
        <f>'Control Entry'!N47</f>
        <v/>
      </c>
      <c r="C24" s="32" t="str">
        <f>'Control Entry'!O47</f>
        <v/>
      </c>
      <c r="D24" s="39"/>
      <c r="E24" s="34" t="str">
        <f>IF(ISBLANK('Control Entry'!F47),"",'Control Entry'!F47)</f>
        <v/>
      </c>
      <c r="F24" s="108" t="str">
        <f>IF(ISBLANK('Control Entry'!I34),"",'Control Entry'!I34)</f>
        <v/>
      </c>
      <c r="G24" s="109"/>
      <c r="H24" s="29" t="s">
        <v>29</v>
      </c>
      <c r="J24" s="128"/>
      <c r="K24" s="128"/>
      <c r="L24" s="128"/>
      <c r="M24" s="128"/>
      <c r="N24" s="128"/>
      <c r="O24" s="19"/>
      <c r="P24" s="18" t="s">
        <v>2</v>
      </c>
      <c r="Q24" s="18"/>
      <c r="R24" s="19"/>
      <c r="S24" s="128"/>
      <c r="T24" s="128"/>
      <c r="U24" s="128"/>
    </row>
    <row r="25" spans="1:22" ht="36" customHeight="1">
      <c r="A25" s="40" t="str">
        <f>IF(ISBLANK('Control Entry'!D47),"",'Control Entry'!D47)</f>
        <v/>
      </c>
      <c r="B25" s="41" t="str">
        <f>'Control Entry'!N47</f>
        <v/>
      </c>
      <c r="C25" s="41" t="str">
        <f>'Control Entry'!O47</f>
        <v/>
      </c>
      <c r="D25" s="42" t="str">
        <f>IF(ISBLANK('Control Entry'!E47),"",'Control Entry'!E47)</f>
        <v/>
      </c>
      <c r="E25" s="34" t="str">
        <f>IF(ISBLANK('Control Entry'!G47),"",'Control Entry'!G47)</f>
        <v/>
      </c>
      <c r="F25" s="108" t="str">
        <f>IF(ISBLANK('Control Entry'!J34),"",'Control Entry'!J34)</f>
        <v/>
      </c>
      <c r="G25" s="109"/>
      <c r="H25" s="29" t="s">
        <v>29</v>
      </c>
      <c r="J25" s="142" t="s">
        <v>17</v>
      </c>
      <c r="K25" s="142"/>
      <c r="L25" s="142"/>
      <c r="M25" s="142"/>
      <c r="N25" s="142"/>
      <c r="O25" s="53"/>
      <c r="P25" s="139"/>
      <c r="Q25" s="139"/>
      <c r="R25" s="53"/>
      <c r="S25" s="140"/>
      <c r="T25" s="140"/>
      <c r="U25" s="140"/>
      <c r="V25" s="140"/>
    </row>
    <row r="26" spans="1:22" ht="36" customHeight="1" thickBot="1">
      <c r="A26" s="35"/>
      <c r="B26" s="36" t="str">
        <f>'Control Entry'!N47</f>
        <v/>
      </c>
      <c r="C26" s="36" t="str">
        <f>'Control Entry'!O47</f>
        <v/>
      </c>
      <c r="D26" s="37"/>
      <c r="E26" s="38" t="str">
        <f>IF(ISBLANK('Control Entry'!H47),"",'Control Entry'!H47)</f>
        <v/>
      </c>
      <c r="F26" s="113" t="str">
        <f>IF(ISBLANK('Control Entry'!K34),"",'Control Entry'!K34)</f>
        <v/>
      </c>
      <c r="G26" s="112"/>
      <c r="H26" s="29" t="s">
        <v>29</v>
      </c>
    </row>
    <row r="27" spans="1:22" ht="36" customHeight="1">
      <c r="A27" s="31"/>
      <c r="B27" s="32" t="str">
        <f>'Control Entry'!N48</f>
        <v/>
      </c>
      <c r="C27" s="32" t="str">
        <f>'Control Entry'!O48</f>
        <v/>
      </c>
      <c r="D27" s="39"/>
      <c r="E27" s="34" t="str">
        <f>IF(ISBLANK('Control Entry'!F48),"",'Control Entry'!F48)</f>
        <v/>
      </c>
      <c r="F27" s="108" t="str">
        <f>IF(ISBLANK('Control Entry'!I48),"",'Control Entry'!I48)</f>
        <v/>
      </c>
      <c r="G27" s="109"/>
      <c r="H27" s="29" t="s">
        <v>29</v>
      </c>
      <c r="K27" s="138" t="s">
        <v>56</v>
      </c>
      <c r="L27" s="139"/>
      <c r="M27" s="52" t="s">
        <v>57</v>
      </c>
      <c r="N27" s="139" t="s">
        <v>49</v>
      </c>
      <c r="O27" s="139"/>
      <c r="P27" s="139" t="s">
        <v>50</v>
      </c>
      <c r="Q27" s="139"/>
      <c r="R27" s="53" t="s">
        <v>51</v>
      </c>
      <c r="S27" s="140" t="s">
        <v>52</v>
      </c>
      <c r="T27" s="140"/>
      <c r="U27" s="140" t="s">
        <v>53</v>
      </c>
      <c r="V27" s="140"/>
    </row>
    <row r="28" spans="1:22" ht="36" customHeight="1">
      <c r="A28" s="40" t="str">
        <f>IF(ISBLANK('Control Entry'!D48),"",'Control Entry'!D48)</f>
        <v/>
      </c>
      <c r="B28" s="41" t="str">
        <f>'Control Entry'!N48</f>
        <v/>
      </c>
      <c r="C28" s="41" t="str">
        <f>'Control Entry'!O48</f>
        <v/>
      </c>
      <c r="D28" s="42" t="str">
        <f>IF(ISBLANK('Control Entry'!E48),"",'Control Entry'!E48)</f>
        <v/>
      </c>
      <c r="E28" s="34" t="str">
        <f>IF(ISBLANK('Control Entry'!G48),"",'Control Entry'!G48)</f>
        <v/>
      </c>
      <c r="F28" s="108" t="str">
        <f>IF(ISBLANK('Control Entry'!J48),"",'Control Entry'!J48)</f>
        <v/>
      </c>
      <c r="G28" s="109"/>
      <c r="H28" s="29" t="s">
        <v>29</v>
      </c>
    </row>
    <row r="29" spans="1:22" ht="36" customHeight="1" thickBot="1">
      <c r="A29" s="35"/>
      <c r="B29" s="36" t="str">
        <f>'Control Entry'!N48</f>
        <v/>
      </c>
      <c r="C29" s="36" t="str">
        <f>'Control Entry'!O48</f>
        <v/>
      </c>
      <c r="D29" s="37"/>
      <c r="E29" s="38" t="str">
        <f>IF(ISBLANK('Control Entry'!H48),"",'Control Entry'!H48)</f>
        <v/>
      </c>
      <c r="F29" s="113" t="str">
        <f>IF(ISBLANK('Control Entry'!K48),"",'Control Entry'!K48)</f>
        <v/>
      </c>
      <c r="G29" s="112"/>
      <c r="H29" s="29" t="s">
        <v>29</v>
      </c>
      <c r="M29" s="148" t="s">
        <v>42</v>
      </c>
      <c r="N29" s="148"/>
      <c r="O29" s="148"/>
      <c r="P29" s="148"/>
      <c r="Q29" s="148"/>
      <c r="R29" s="148"/>
      <c r="S29" s="148"/>
      <c r="T29" s="148"/>
      <c r="U29" s="57"/>
    </row>
    <row r="30" spans="1:22" ht="36" customHeight="1">
      <c r="A30" s="31"/>
      <c r="B30" s="32" t="str">
        <f>'Control Entry'!N49</f>
        <v/>
      </c>
      <c r="C30" s="32" t="str">
        <f>'Control Entry'!O49</f>
        <v/>
      </c>
      <c r="D30" s="39"/>
      <c r="E30" s="34" t="str">
        <f>IF(ISBLANK('Control Entry'!F49),"",'Control Entry'!F49)</f>
        <v/>
      </c>
      <c r="F30" s="108" t="str">
        <f>IF(ISBLANK('Control Entry'!I49),"",'Control Entry'!I49)</f>
        <v/>
      </c>
      <c r="G30" s="109"/>
      <c r="H30" s="29" t="s">
        <v>29</v>
      </c>
      <c r="M30" s="16"/>
      <c r="N30" s="21"/>
      <c r="O30" s="21"/>
      <c r="P30" s="22"/>
      <c r="Q30" s="21"/>
      <c r="R30" s="21"/>
      <c r="S30" s="21"/>
      <c r="T30" s="22"/>
      <c r="U30" s="23"/>
    </row>
    <row r="31" spans="1:22" ht="36" customHeight="1">
      <c r="A31" s="40" t="str">
        <f>IF(ISBLANK('Control Entry'!D49),"",'Control Entry'!D49)</f>
        <v/>
      </c>
      <c r="B31" s="41" t="str">
        <f>'Control Entry'!N49</f>
        <v/>
      </c>
      <c r="C31" s="41" t="str">
        <f>'Control Entry'!O49</f>
        <v/>
      </c>
      <c r="D31" s="42" t="str">
        <f>IF(ISBLANK('Control Entry'!E49),"",'Control Entry'!E49)</f>
        <v/>
      </c>
      <c r="E31" s="34" t="str">
        <f>IF(ISBLANK('Control Entry'!G49),"",'Control Entry'!G49)</f>
        <v/>
      </c>
      <c r="F31" s="108" t="str">
        <f>IF(ISBLANK('Control Entry'!J49),"",'Control Entry'!J49)</f>
        <v/>
      </c>
      <c r="G31" s="109"/>
      <c r="H31" s="29" t="s">
        <v>29</v>
      </c>
      <c r="M31" s="17"/>
      <c r="N31" s="23"/>
      <c r="O31" s="23"/>
      <c r="P31" s="24"/>
      <c r="Q31" s="23"/>
      <c r="R31" s="23"/>
      <c r="S31" s="23"/>
      <c r="T31" s="24"/>
      <c r="U31" s="23"/>
    </row>
    <row r="32" spans="1:22" ht="36" customHeight="1" thickBot="1">
      <c r="A32" s="35"/>
      <c r="B32" s="36" t="str">
        <f>'Control Entry'!N49</f>
        <v/>
      </c>
      <c r="C32" s="36" t="str">
        <f>'Control Entry'!O49</f>
        <v/>
      </c>
      <c r="D32" s="37"/>
      <c r="E32" s="38" t="str">
        <f>IF(ISBLANK('Control Entry'!H49),"",'Control Entry'!H49)</f>
        <v/>
      </c>
      <c r="F32" s="113" t="str">
        <f>IF(ISBLANK('Control Entry'!K49),"",'Control Entry'!K49)</f>
        <v/>
      </c>
      <c r="G32" s="112"/>
      <c r="H32" s="29" t="s">
        <v>29</v>
      </c>
      <c r="M32" s="55"/>
      <c r="N32" s="20"/>
      <c r="O32" s="20"/>
      <c r="P32" s="25"/>
      <c r="Q32" s="20"/>
      <c r="R32" s="20"/>
      <c r="S32" s="20"/>
      <c r="T32" s="25"/>
      <c r="U32" s="23"/>
    </row>
    <row r="33" spans="1:22" ht="36" customHeight="1">
      <c r="A33" s="137" t="s">
        <v>43</v>
      </c>
      <c r="B33" s="137"/>
      <c r="C33" s="137"/>
      <c r="D33" s="137"/>
      <c r="E33" s="137"/>
      <c r="F33" s="137"/>
      <c r="G33" s="137"/>
      <c r="H33" s="43"/>
      <c r="I33" s="43"/>
      <c r="M33" s="149" t="s">
        <v>82</v>
      </c>
      <c r="N33" s="150"/>
      <c r="O33" s="150"/>
      <c r="P33" s="150"/>
      <c r="Q33" s="151">
        <f>'Control Entry'!B3</f>
        <v>44674</v>
      </c>
      <c r="R33" s="152"/>
      <c r="S33" s="152"/>
      <c r="T33" s="152"/>
      <c r="U33" s="103"/>
      <c r="V33" s="60"/>
    </row>
    <row r="34" spans="1:22" ht="36" customHeight="1">
      <c r="A34"/>
      <c r="O34" s="49"/>
      <c r="P34" s="49"/>
      <c r="Q34" s="49"/>
      <c r="R34" s="48"/>
    </row>
    <row r="35" spans="1:22" ht="36" customHeight="1">
      <c r="A35"/>
      <c r="N35" s="148"/>
      <c r="O35" s="148"/>
      <c r="P35" s="148"/>
      <c r="Q35" s="148"/>
      <c r="R35" s="148"/>
      <c r="S35" s="148"/>
      <c r="T35" s="148"/>
      <c r="U35" s="148"/>
    </row>
    <row r="36" spans="1:22" ht="36" customHeight="1">
      <c r="A36"/>
      <c r="N36" s="30"/>
      <c r="O36" s="23"/>
      <c r="P36" s="23"/>
      <c r="Q36" s="23"/>
      <c r="R36" s="23"/>
      <c r="S36" s="23"/>
      <c r="T36" s="23"/>
      <c r="U36" s="23"/>
    </row>
    <row r="37" spans="1:22" ht="36" customHeight="1">
      <c r="A37"/>
      <c r="N37" s="30"/>
      <c r="O37" s="23"/>
      <c r="P37" s="23"/>
      <c r="Q37" s="23"/>
      <c r="R37" s="23"/>
      <c r="S37" s="23"/>
      <c r="T37" s="23"/>
      <c r="U37" s="23"/>
    </row>
    <row r="38" spans="1:22" ht="36" customHeight="1">
      <c r="A38"/>
      <c r="N38" s="58"/>
      <c r="O38" s="23"/>
      <c r="P38" s="23"/>
      <c r="Q38" s="23"/>
      <c r="R38" s="23"/>
      <c r="S38" s="23"/>
      <c r="T38" s="23"/>
      <c r="U38" s="23"/>
    </row>
    <row r="39" spans="1:22" ht="36" customHeight="1">
      <c r="A39"/>
    </row>
    <row r="40" spans="1:22" ht="36" customHeight="1">
      <c r="A40"/>
    </row>
  </sheetData>
  <sheetProtection algorithmName="SHA-512" hashValue="vS8Nfr8VGpVlu2phSomYuDllIMXKtgeLOce5QrncbaEzTT7A9k+2ah4UXLrWyIJaepcEXrAZLNH1gMQQx1XN4A==" saltValue="aFKfIqubodztTPz17uvu/Q==" spinCount="100000" sheet="1" objects="1" scenarios="1" formatCells="0" selectLockedCells="1"/>
  <mergeCells count="38">
    <mergeCell ref="A1:G1"/>
    <mergeCell ref="K2:U2"/>
    <mergeCell ref="M4:T4"/>
    <mergeCell ref="N5:O5"/>
    <mergeCell ref="R5:U5"/>
    <mergeCell ref="O3:R3"/>
    <mergeCell ref="L6:U6"/>
    <mergeCell ref="L8:Q8"/>
    <mergeCell ref="T8:U8"/>
    <mergeCell ref="L15:U15"/>
    <mergeCell ref="S20:U20"/>
    <mergeCell ref="L9:U9"/>
    <mergeCell ref="L10:U10"/>
    <mergeCell ref="L11:N11"/>
    <mergeCell ref="L16:U16"/>
    <mergeCell ref="M33:P33"/>
    <mergeCell ref="Q33:T33"/>
    <mergeCell ref="L20:N20"/>
    <mergeCell ref="A33:G33"/>
    <mergeCell ref="N35:U35"/>
    <mergeCell ref="U27:V27"/>
    <mergeCell ref="M29:T29"/>
    <mergeCell ref="K27:L27"/>
    <mergeCell ref="N27:O27"/>
    <mergeCell ref="P27:Q27"/>
    <mergeCell ref="S27:T27"/>
    <mergeCell ref="J25:N25"/>
    <mergeCell ref="P25:Q25"/>
    <mergeCell ref="S25:T25"/>
    <mergeCell ref="U25:V25"/>
    <mergeCell ref="S22:U22"/>
    <mergeCell ref="J24:N24"/>
    <mergeCell ref="S24:U24"/>
    <mergeCell ref="S11:U11"/>
    <mergeCell ref="L12:N12"/>
    <mergeCell ref="S12:U12"/>
    <mergeCell ref="L13:N13"/>
    <mergeCell ref="R13:U13"/>
  </mergeCells>
  <phoneticPr fontId="16" type="noConversion"/>
  <printOptions horizontalCentered="1" verticalCentered="1"/>
  <pageMargins left="0.2" right="0.2" top="0.2" bottom="0.2" header="0.51" footer="0.51"/>
  <pageSetup scale="44" orientation="landscape" horizontalDpi="4294967292" verticalDpi="4294967292"/>
  <ignoredErrors>
    <ignoredError sqref="L20" unlockedFormula="1"/>
  </ignoredErrors>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Control Entry</vt:lpstr>
      <vt:lpstr>Control Card #1</vt:lpstr>
      <vt:lpstr>Control Card #2</vt:lpstr>
      <vt:lpstr>Control Card #3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Nigel</cp:lastModifiedBy>
  <cp:lastPrinted>2023-06-06T13:34:49Z</cp:lastPrinted>
  <dcterms:created xsi:type="dcterms:W3CDTF">1997-11-12T04:43:39Z</dcterms:created>
  <dcterms:modified xsi:type="dcterms:W3CDTF">2023-06-06T13:35:01Z</dcterms:modified>
</cp:coreProperties>
</file>