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autoCompressPictures="0"/>
  <mc:AlternateContent xmlns:mc="http://schemas.openxmlformats.org/markup-compatibility/2006">
    <mc:Choice Requires="x15">
      <x15ac:absPath xmlns:x15ac="http://schemas.microsoft.com/office/spreadsheetml/2010/11/ac" url="/Users/stephencarol/Documents/BCR/2023/5277 CVCC/"/>
    </mc:Choice>
  </mc:AlternateContent>
  <xr:revisionPtr revIDLastSave="0" documentId="13_ncr:1_{9EB11F88-AC5B-D449-ACE7-E395A6F0E4C5}" xr6:coauthVersionLast="36" xr6:coauthVersionMax="36" xr10:uidLastSave="{00000000-0000-0000-0000-000000000000}"/>
  <bookViews>
    <workbookView xWindow="0" yWindow="500" windowWidth="25600" windowHeight="15500" tabRatio="509" xr2:uid="{00000000-000D-0000-FFFF-FFFF00000000}"/>
  </bookViews>
  <sheets>
    <sheet name="Control Entry" sheetId="1" r:id="rId1"/>
    <sheet name="Card #1" sheetId="7" r:id="rId2"/>
    <sheet name="Control Card #1" sheetId="2" r:id="rId3"/>
    <sheet name="Control Card #2" sheetId="3" r:id="rId4"/>
    <sheet name="Control Card #3" sheetId="4" r:id="rId5"/>
    <sheet name="Control Card #4" sheetId="5" r:id="rId6"/>
  </sheets>
  <definedNames>
    <definedName name="Address_1" localSheetId="1">#REF!</definedName>
    <definedName name="Address_1" localSheetId="3">#REF!</definedName>
    <definedName name="Address_1" localSheetId="4">#REF!</definedName>
    <definedName name="Address_1" localSheetId="5">#REF!</definedName>
    <definedName name="Address_1">#REF!</definedName>
    <definedName name="Address_2" localSheetId="1">#REF!</definedName>
    <definedName name="Address_2" localSheetId="3">#REF!</definedName>
    <definedName name="Address_2" localSheetId="4">#REF!</definedName>
    <definedName name="Address_2" localSheetId="5">#REF!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3">#REF!</definedName>
    <definedName name="City" localSheetId="4">#REF!</definedName>
    <definedName name="City" localSheetId="5">#REF!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3">'Control Entry'!#REF!</definedName>
    <definedName name="Control_11" localSheetId="4">'Control Entry'!#REF!</definedName>
    <definedName name="Control_11" localSheetId="5">'Control Entry'!#REF!</definedName>
    <definedName name="Control_11">'Control Entry'!#REF!</definedName>
    <definedName name="Control_12" localSheetId="1">'Control Entry'!#REF!</definedName>
    <definedName name="Control_12" localSheetId="3">'Control Entry'!#REF!</definedName>
    <definedName name="Control_12" localSheetId="4">'Control Entry'!#REF!</definedName>
    <definedName name="Control_12" localSheetId="5">'Control Entry'!#REF!</definedName>
    <definedName name="Control_12">'Control Entry'!#REF!</definedName>
    <definedName name="Control_13" localSheetId="1">'Control Entry'!#REF!</definedName>
    <definedName name="Control_13" localSheetId="3">'Control Entry'!#REF!</definedName>
    <definedName name="Control_13" localSheetId="4">'Control Entry'!#REF!</definedName>
    <definedName name="Control_13" localSheetId="5">'Control Entry'!#REF!</definedName>
    <definedName name="Control_13">'Control Entry'!#REF!</definedName>
    <definedName name="Control_14" localSheetId="1">'Control Entry'!#REF!</definedName>
    <definedName name="Control_14" localSheetId="3">'Control Entry'!#REF!</definedName>
    <definedName name="Control_14" localSheetId="4">'Control Entry'!#REF!</definedName>
    <definedName name="Control_14" localSheetId="5">'Control Entry'!#REF!</definedName>
    <definedName name="Control_14">'Control Entry'!#REF!</definedName>
    <definedName name="Control_15" localSheetId="1">'Control Entry'!#REF!</definedName>
    <definedName name="Control_15" localSheetId="3">'Control Entry'!#REF!</definedName>
    <definedName name="Control_15" localSheetId="4">'Control Entry'!#REF!</definedName>
    <definedName name="Control_15" localSheetId="5">'Control Entry'!#REF!</definedName>
    <definedName name="Control_15">'Control Entry'!#REF!</definedName>
    <definedName name="Control_16" localSheetId="1">'Control Entry'!#REF!</definedName>
    <definedName name="Control_16" localSheetId="3">'Control Entry'!#REF!</definedName>
    <definedName name="Control_16" localSheetId="4">'Control Entry'!#REF!</definedName>
    <definedName name="Control_16" localSheetId="5">'Control Entry'!#REF!</definedName>
    <definedName name="Control_16">'Control Entry'!#REF!</definedName>
    <definedName name="Control_17" localSheetId="1">'Control Entry'!#REF!</definedName>
    <definedName name="Control_17" localSheetId="3">'Control Entry'!#REF!</definedName>
    <definedName name="Control_17" localSheetId="4">'Control Entry'!#REF!</definedName>
    <definedName name="Control_17" localSheetId="5">'Control Entry'!#REF!</definedName>
    <definedName name="Control_17">'Control Entry'!#REF!</definedName>
    <definedName name="Control_18" localSheetId="1">'Control Entry'!#REF!</definedName>
    <definedName name="Control_18" localSheetId="3">'Control Entry'!#REF!</definedName>
    <definedName name="Control_18" localSheetId="4">'Control Entry'!#REF!</definedName>
    <definedName name="Control_18" localSheetId="5">'Control Entry'!#REF!</definedName>
    <definedName name="Control_18">'Control Entry'!#REF!</definedName>
    <definedName name="Control_19" localSheetId="1">'Control Entry'!#REF!</definedName>
    <definedName name="Control_19" localSheetId="3">'Control Entry'!#REF!</definedName>
    <definedName name="Control_19" localSheetId="4">'Control Entry'!#REF!</definedName>
    <definedName name="Control_19" localSheetId="5">'Control Entry'!#REF!</definedName>
    <definedName name="Control_19">'Control Entry'!#REF!</definedName>
    <definedName name="Control_2">'Control Entry'!$D$16:$O$16</definedName>
    <definedName name="Control_20" localSheetId="1">'Control Entry'!#REF!</definedName>
    <definedName name="Control_20" localSheetId="3">'Control Entry'!#REF!</definedName>
    <definedName name="Control_20" localSheetId="4">'Control Entry'!#REF!</definedName>
    <definedName name="Control_20" localSheetId="5">'Control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3">#REF!</definedName>
    <definedName name="Country" localSheetId="4">#REF!</definedName>
    <definedName name="Country" localSheetId="5">#REF!</definedName>
    <definedName name="Country">#REF!</definedName>
    <definedName name="Distance">'Control Entry'!$D$15:$D$24</definedName>
    <definedName name="email" localSheetId="1">#REF!</definedName>
    <definedName name="email" localSheetId="3">#REF!</definedName>
    <definedName name="email" localSheetId="4">#REF!</definedName>
    <definedName name="email" localSheetId="5">#REF!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3">#REF!</definedName>
    <definedName name="Fax" localSheetId="4">#REF!</definedName>
    <definedName name="Fax" localSheetId="5">#REF!</definedName>
    <definedName name="Fax">#REF!</definedName>
    <definedName name="First_Name" localSheetId="1">#REF!</definedName>
    <definedName name="First_Name" localSheetId="3">#REF!</definedName>
    <definedName name="First_Name" localSheetId="4">#REF!</definedName>
    <definedName name="First_Name" localSheetId="5">#REF!</definedName>
    <definedName name="First_Name">#REF!</definedName>
    <definedName name="Home_telephone" localSheetId="1">#REF!</definedName>
    <definedName name="Home_telephone" localSheetId="3">#REF!</definedName>
    <definedName name="Home_telephone" localSheetId="4">#REF!</definedName>
    <definedName name="Home_telephone" localSheetId="5">#REF!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3">#REF!</definedName>
    <definedName name="Initial" localSheetId="4">#REF!</definedName>
    <definedName name="Initial" localSheetId="5">#REF!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3">#REF!</definedName>
    <definedName name="Postal_Code" localSheetId="4">#REF!</definedName>
    <definedName name="Postal_Code" localSheetId="5">#REF!</definedName>
    <definedName name="Postal_Code">#REF!</definedName>
    <definedName name="_xlnm.Print_Area" localSheetId="1">'Card #1'!$A$1:$K$55</definedName>
    <definedName name="_xlnm.Print_Titles" localSheetId="2">'Control Card #1'!$1:$2</definedName>
    <definedName name="_xlnm.Print_Titles" localSheetId="3">'Control Card #2'!$1:$2</definedName>
    <definedName name="_xlnm.Print_Titles" localSheetId="4">'Control Card #3'!$1:$2</definedName>
    <definedName name="_xlnm.Print_Titles" localSheetId="5">'Control Card #4'!$1:$2</definedName>
    <definedName name="Province_State" localSheetId="1">#REF!</definedName>
    <definedName name="Province_State" localSheetId="3">#REF!</definedName>
    <definedName name="Province_State" localSheetId="4">#REF!</definedName>
    <definedName name="Province_State" localSheetId="5">#REF!</definedName>
    <definedName name="Province_State">#REF!</definedName>
    <definedName name="Start_date">'Control Entry'!$B$12</definedName>
    <definedName name="Start_time">'Control Entry'!$B$13</definedName>
    <definedName name="surname" localSheetId="1">#REF!</definedName>
    <definedName name="surname" localSheetId="3">#REF!</definedName>
    <definedName name="surname" localSheetId="4">#REF!</definedName>
    <definedName name="surname" localSheetId="5">#REF!</definedName>
    <definedName name="surname">#REF!</definedName>
    <definedName name="Work_telephone" localSheetId="1">#REF!</definedName>
    <definedName name="Work_telephone" localSheetId="3">#REF!</definedName>
    <definedName name="Work_telephone" localSheetId="4">#REF!</definedName>
    <definedName name="Work_telephone" localSheetId="5">#REF!</definedName>
    <definedName name="Work_telephone">#REF!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L7" i="1" l="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l="1"/>
  <c r="I12" i="7"/>
  <c r="F12" i="7"/>
  <c r="J2" i="7"/>
  <c r="C54" i="7"/>
  <c r="J3" i="7"/>
  <c r="S3" i="2"/>
  <c r="E4" i="7" l="1"/>
  <c r="M4" i="5" l="1"/>
  <c r="M4" i="4"/>
  <c r="M4" i="3"/>
  <c r="M4" i="2"/>
  <c r="F32" i="5" l="1"/>
  <c r="F31" i="5"/>
  <c r="F30" i="5"/>
  <c r="E32" i="5"/>
  <c r="E31" i="5"/>
  <c r="E30" i="5"/>
  <c r="D31" i="5"/>
  <c r="A31" i="5"/>
  <c r="F29" i="5"/>
  <c r="F28" i="5"/>
  <c r="F27" i="5"/>
  <c r="E29" i="5"/>
  <c r="E28" i="5"/>
  <c r="E27" i="5"/>
  <c r="D28" i="5"/>
  <c r="A28" i="5"/>
  <c r="F26" i="5"/>
  <c r="F25" i="5"/>
  <c r="F24" i="5"/>
  <c r="E26" i="5"/>
  <c r="E25" i="5"/>
  <c r="E24" i="5"/>
  <c r="D25" i="5"/>
  <c r="A25" i="5"/>
  <c r="F23" i="5"/>
  <c r="F22" i="5"/>
  <c r="F21" i="5"/>
  <c r="E23" i="5"/>
  <c r="E22" i="5"/>
  <c r="E21" i="5"/>
  <c r="D22" i="5"/>
  <c r="A22" i="5"/>
  <c r="F20" i="5"/>
  <c r="F19" i="5"/>
  <c r="F18" i="5"/>
  <c r="E20" i="5"/>
  <c r="E19" i="5"/>
  <c r="E18" i="5"/>
  <c r="D19" i="5"/>
  <c r="A19" i="5" l="1"/>
  <c r="F17" i="5"/>
  <c r="F16" i="5"/>
  <c r="F15" i="5"/>
  <c r="E17" i="5"/>
  <c r="E16" i="5"/>
  <c r="E15" i="5"/>
  <c r="D16" i="5"/>
  <c r="A16" i="5"/>
  <c r="F14" i="5"/>
  <c r="F13" i="5"/>
  <c r="F12" i="5"/>
  <c r="E14" i="5"/>
  <c r="E13" i="5"/>
  <c r="E12" i="5"/>
  <c r="D13" i="5"/>
  <c r="A13" i="5"/>
  <c r="F11" i="5"/>
  <c r="F10" i="5"/>
  <c r="F9" i="5"/>
  <c r="E11" i="5"/>
  <c r="E10" i="5"/>
  <c r="E9" i="5"/>
  <c r="D10" i="5"/>
  <c r="A10" i="5"/>
  <c r="F8" i="5"/>
  <c r="F7" i="5"/>
  <c r="F6" i="5"/>
  <c r="E8" i="5"/>
  <c r="E7" i="5"/>
  <c r="E6" i="5"/>
  <c r="D7" i="5"/>
  <c r="A7" i="5"/>
  <c r="F26" i="4"/>
  <c r="F25" i="4"/>
  <c r="F24" i="4"/>
  <c r="F19" i="4"/>
  <c r="F5" i="5"/>
  <c r="F4" i="5"/>
  <c r="F3" i="5"/>
  <c r="E5" i="4"/>
  <c r="E5" i="5"/>
  <c r="E4" i="5"/>
  <c r="E3" i="5"/>
  <c r="D4" i="5"/>
  <c r="A4" i="5"/>
  <c r="S3" i="5"/>
  <c r="S3" i="4"/>
  <c r="S3" i="3"/>
  <c r="Q33" i="5"/>
  <c r="Q32" i="5"/>
  <c r="S20" i="5"/>
  <c r="L20" i="5"/>
  <c r="L6" i="5"/>
  <c r="R5" i="5"/>
  <c r="P5" i="5"/>
  <c r="L63" i="1"/>
  <c r="L62" i="1"/>
  <c r="L61" i="1"/>
  <c r="L60" i="1"/>
  <c r="L59" i="1"/>
  <c r="L58" i="1"/>
  <c r="L57" i="1"/>
  <c r="L56" i="1"/>
  <c r="L55" i="1"/>
  <c r="M54" i="1"/>
  <c r="L54" i="1"/>
  <c r="Q33" i="4"/>
  <c r="Q32" i="4"/>
  <c r="Q33" i="3"/>
  <c r="Q32" i="3"/>
  <c r="Q33" i="2"/>
  <c r="Q32" i="2"/>
  <c r="M46" i="1" l="1"/>
  <c r="M47" i="1"/>
  <c r="M48" i="1"/>
  <c r="M49" i="1"/>
  <c r="M50" i="1"/>
  <c r="M41" i="1"/>
  <c r="M33" i="1"/>
  <c r="M34" i="1"/>
  <c r="M35" i="1"/>
  <c r="M36" i="1"/>
  <c r="M37" i="1"/>
  <c r="S20" i="4" l="1"/>
  <c r="L20" i="4"/>
  <c r="S20" i="3"/>
  <c r="L20" i="3"/>
  <c r="S20" i="2"/>
  <c r="L20" i="2"/>
  <c r="F32" i="4" l="1"/>
  <c r="F31" i="4"/>
  <c r="F30" i="4"/>
  <c r="E32" i="4"/>
  <c r="E31" i="4"/>
  <c r="E30" i="4"/>
  <c r="D31" i="4"/>
  <c r="A31" i="4"/>
  <c r="F29" i="4"/>
  <c r="F28" i="4"/>
  <c r="F27" i="4"/>
  <c r="E29" i="4"/>
  <c r="E28" i="4"/>
  <c r="E27" i="4"/>
  <c r="D28" i="4"/>
  <c r="A28" i="4"/>
  <c r="E26" i="4"/>
  <c r="E25" i="4"/>
  <c r="E24" i="4"/>
  <c r="D25" i="4"/>
  <c r="A25" i="4"/>
  <c r="F23" i="4"/>
  <c r="F22" i="4"/>
  <c r="F21" i="4"/>
  <c r="E23" i="4"/>
  <c r="E22" i="4"/>
  <c r="E21" i="4"/>
  <c r="D22" i="4"/>
  <c r="A22" i="4"/>
  <c r="F20" i="4"/>
  <c r="F18" i="4"/>
  <c r="E20" i="4"/>
  <c r="E19" i="4"/>
  <c r="E18" i="4"/>
  <c r="D19" i="4"/>
  <c r="A19" i="4"/>
  <c r="F17" i="4"/>
  <c r="F16" i="4"/>
  <c r="F15" i="4"/>
  <c r="E17" i="4"/>
  <c r="E16" i="4"/>
  <c r="E15" i="4"/>
  <c r="D16" i="4"/>
  <c r="A16" i="4"/>
  <c r="F13" i="4"/>
  <c r="F14" i="4"/>
  <c r="F12" i="4"/>
  <c r="E14" i="4"/>
  <c r="E13" i="4"/>
  <c r="E12" i="4"/>
  <c r="D13" i="4"/>
  <c r="A13" i="4"/>
  <c r="A7" i="2" l="1"/>
  <c r="F11" i="4"/>
  <c r="F10" i="4"/>
  <c r="F9" i="4"/>
  <c r="E11" i="4"/>
  <c r="E10" i="4"/>
  <c r="E9" i="4"/>
  <c r="D10" i="4"/>
  <c r="A10" i="4"/>
  <c r="F8" i="4"/>
  <c r="F7" i="4"/>
  <c r="F6" i="4"/>
  <c r="E8" i="4"/>
  <c r="E7" i="4"/>
  <c r="E6" i="4"/>
  <c r="D7" i="4"/>
  <c r="A7" i="4"/>
  <c r="F5" i="4"/>
  <c r="F4" i="4"/>
  <c r="F3" i="4"/>
  <c r="E4" i="4"/>
  <c r="E3" i="4"/>
  <c r="D4" i="4"/>
  <c r="A4" i="4"/>
  <c r="L50" i="1" l="1"/>
  <c r="L49" i="1"/>
  <c r="L48" i="1"/>
  <c r="L47" i="1"/>
  <c r="L46" i="1"/>
  <c r="L45" i="1"/>
  <c r="L44" i="1"/>
  <c r="L43" i="1"/>
  <c r="L42" i="1"/>
  <c r="L41" i="1"/>
  <c r="L6" i="4"/>
  <c r="R5" i="4"/>
  <c r="P5" i="4"/>
  <c r="E8" i="3" l="1"/>
  <c r="E7" i="3"/>
  <c r="E5" i="3"/>
  <c r="F5" i="2" l="1"/>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5" i="1"/>
  <c r="N15" i="1" s="1"/>
  <c r="L37" i="1"/>
  <c r="L36" i="1"/>
  <c r="L35" i="1"/>
  <c r="L34" i="1"/>
  <c r="L33" i="1"/>
  <c r="L32" i="1"/>
  <c r="L31" i="1"/>
  <c r="L30" i="1"/>
  <c r="L29" i="1"/>
  <c r="L28"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C6" i="1"/>
  <c r="E4" i="3"/>
  <c r="E3" i="3"/>
  <c r="D31" i="3"/>
  <c r="D28" i="3"/>
  <c r="D25" i="3"/>
  <c r="D22" i="3"/>
  <c r="D19" i="3"/>
  <c r="D16" i="3"/>
  <c r="D13" i="3"/>
  <c r="D10" i="3"/>
  <c r="D7" i="3"/>
  <c r="D4" i="3"/>
  <c r="A31" i="3"/>
  <c r="A28" i="3"/>
  <c r="A25" i="3"/>
  <c r="A22" i="3"/>
  <c r="A19" i="3"/>
  <c r="A16" i="3"/>
  <c r="A13" i="3"/>
  <c r="A10" i="3"/>
  <c r="A7" i="3"/>
  <c r="A4" i="3"/>
  <c r="L24" i="1"/>
  <c r="L23" i="1"/>
  <c r="L22" i="1"/>
  <c r="L21" i="1"/>
  <c r="L20" i="1"/>
  <c r="L19" i="1"/>
  <c r="L18" i="1"/>
  <c r="L17" i="1"/>
  <c r="L16" i="1"/>
  <c r="L6" i="3"/>
  <c r="R5" i="3"/>
  <c r="P5" i="3"/>
  <c r="L6" i="2"/>
  <c r="R5" i="2"/>
  <c r="P5"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M16" i="1" l="1"/>
  <c r="C22" i="7"/>
  <c r="C23" i="7"/>
  <c r="C21" i="7"/>
  <c r="B7" i="1"/>
  <c r="M21" i="1" s="1"/>
  <c r="O21" i="1" s="1"/>
  <c r="O50" i="1"/>
  <c r="N50" i="1"/>
  <c r="N61" i="1"/>
  <c r="N60" i="1"/>
  <c r="N59" i="1"/>
  <c r="N63" i="1"/>
  <c r="N58" i="1"/>
  <c r="N62" i="1"/>
  <c r="M63" i="1"/>
  <c r="O63" i="1" s="1"/>
  <c r="M61" i="1"/>
  <c r="O61" i="1" s="1"/>
  <c r="M59" i="1"/>
  <c r="O59" i="1" s="1"/>
  <c r="M62" i="1"/>
  <c r="O62" i="1" s="1"/>
  <c r="M60" i="1"/>
  <c r="O60" i="1" s="1"/>
  <c r="M58" i="1"/>
  <c r="O58" i="1" s="1"/>
  <c r="M28" i="1"/>
  <c r="O28" i="1" s="1"/>
  <c r="M57" i="1"/>
  <c r="O57" i="1" s="1"/>
  <c r="M55" i="1"/>
  <c r="O55" i="1" s="1"/>
  <c r="M56" i="1"/>
  <c r="O56" i="1"/>
  <c r="N56" i="1"/>
  <c r="N57" i="1"/>
  <c r="N55" i="1"/>
  <c r="O54" i="1"/>
  <c r="N54" i="1"/>
  <c r="M42" i="1"/>
  <c r="M31" i="1"/>
  <c r="O16" i="1"/>
  <c r="M43" i="1"/>
  <c r="O43" i="1" s="1"/>
  <c r="M32" i="1"/>
  <c r="M19" i="1"/>
  <c r="O19" i="1" s="1"/>
  <c r="M44" i="1"/>
  <c r="O44" i="1" s="1"/>
  <c r="M29" i="1"/>
  <c r="M18" i="1"/>
  <c r="O18" i="1" s="1"/>
  <c r="M45" i="1"/>
  <c r="M30" i="1"/>
  <c r="M17" i="1"/>
  <c r="O17" i="1" s="1"/>
  <c r="O46" i="1"/>
  <c r="O45" i="1"/>
  <c r="O47" i="1"/>
  <c r="O48" i="1"/>
  <c r="O49" i="1"/>
  <c r="N48" i="1"/>
  <c r="N42" i="1"/>
  <c r="N47" i="1"/>
  <c r="N43" i="1"/>
  <c r="N45" i="1"/>
  <c r="N49" i="1"/>
  <c r="N46" i="1"/>
  <c r="N44" i="1"/>
  <c r="O42" i="1"/>
  <c r="N41" i="1"/>
  <c r="O41" i="1"/>
  <c r="M15" i="1"/>
  <c r="O15" i="1" s="1"/>
  <c r="N31" i="1"/>
  <c r="B4" i="2"/>
  <c r="N18" i="1"/>
  <c r="N28" i="1"/>
  <c r="N34" i="1"/>
  <c r="N22" i="1"/>
  <c r="O34" i="1"/>
  <c r="B3" i="2"/>
  <c r="O33" i="1"/>
  <c r="B5" i="2"/>
  <c r="N17" i="1"/>
  <c r="N21" i="1"/>
  <c r="N24" i="1"/>
  <c r="N35" i="1"/>
  <c r="O37" i="1"/>
  <c r="N37" i="1"/>
  <c r="N16" i="1"/>
  <c r="N20" i="1"/>
  <c r="N29" i="1"/>
  <c r="N32" i="1"/>
  <c r="N19" i="1"/>
  <c r="N23" i="1"/>
  <c r="N30" i="1"/>
  <c r="N33" i="1"/>
  <c r="N36" i="1"/>
  <c r="O30" i="1"/>
  <c r="O29" i="1"/>
  <c r="O36" i="1"/>
  <c r="O32" i="1"/>
  <c r="O35" i="1"/>
  <c r="O31" i="1"/>
  <c r="M24" i="1" l="1"/>
  <c r="O24" i="1" s="1"/>
  <c r="D50" i="7" s="1"/>
  <c r="M23" i="1"/>
  <c r="O23" i="1" s="1"/>
  <c r="D47" i="7" s="1"/>
  <c r="M20" i="1"/>
  <c r="O20" i="1" s="1"/>
  <c r="D37" i="7" s="1"/>
  <c r="M22" i="1"/>
  <c r="O22" i="1" s="1"/>
  <c r="D44" i="7" s="1"/>
  <c r="D29" i="7"/>
  <c r="D28" i="7"/>
  <c r="D27" i="7"/>
  <c r="B6" i="2"/>
  <c r="C26" i="7"/>
  <c r="C25" i="7"/>
  <c r="C24" i="7"/>
  <c r="D26" i="7"/>
  <c r="D24" i="7"/>
  <c r="D25" i="7"/>
  <c r="B27" i="2"/>
  <c r="C47" i="7"/>
  <c r="C45" i="7"/>
  <c r="C46" i="7"/>
  <c r="C23" i="2"/>
  <c r="D41" i="7"/>
  <c r="D40" i="7"/>
  <c r="D39" i="7"/>
  <c r="B22" i="2"/>
  <c r="C39" i="7"/>
  <c r="C41" i="7"/>
  <c r="C40" i="7"/>
  <c r="B25" i="2"/>
  <c r="C43" i="7"/>
  <c r="C42" i="7"/>
  <c r="C44" i="7"/>
  <c r="B14" i="2"/>
  <c r="C31" i="7"/>
  <c r="C32" i="7"/>
  <c r="C30" i="7"/>
  <c r="C3" i="2"/>
  <c r="D23" i="7"/>
  <c r="D21" i="7"/>
  <c r="D22" i="7"/>
  <c r="B31" i="2"/>
  <c r="C50" i="7"/>
  <c r="C49" i="7"/>
  <c r="C48" i="7"/>
  <c r="B17" i="2"/>
  <c r="C35" i="7"/>
  <c r="C33" i="7"/>
  <c r="C34" i="7"/>
  <c r="B19" i="2"/>
  <c r="C38" i="7"/>
  <c r="C37" i="7"/>
  <c r="C36" i="7"/>
  <c r="B11" i="2"/>
  <c r="C29" i="7"/>
  <c r="C27" i="7"/>
  <c r="C28" i="7"/>
  <c r="C17" i="2"/>
  <c r="D35" i="7"/>
  <c r="D33" i="7"/>
  <c r="D34" i="7"/>
  <c r="D31" i="7"/>
  <c r="D32" i="7"/>
  <c r="D30" i="7"/>
  <c r="C27" i="5"/>
  <c r="C29" i="5"/>
  <c r="C28" i="5"/>
  <c r="B29" i="5"/>
  <c r="B28" i="5"/>
  <c r="B27" i="5"/>
  <c r="B22" i="5"/>
  <c r="B21" i="5"/>
  <c r="B23" i="5"/>
  <c r="C20" i="5"/>
  <c r="C19" i="5"/>
  <c r="C18" i="5"/>
  <c r="B25" i="5"/>
  <c r="B24" i="5"/>
  <c r="B26" i="5"/>
  <c r="C26" i="5"/>
  <c r="C25" i="5"/>
  <c r="C24" i="5"/>
  <c r="C21" i="5"/>
  <c r="C23" i="5"/>
  <c r="C22" i="5"/>
  <c r="C31" i="5"/>
  <c r="C30" i="5"/>
  <c r="C32" i="5"/>
  <c r="B19" i="5"/>
  <c r="B18" i="5"/>
  <c r="B20" i="5"/>
  <c r="B32" i="5"/>
  <c r="B31" i="5"/>
  <c r="B30" i="5"/>
  <c r="B8" i="5"/>
  <c r="B7" i="5"/>
  <c r="B6" i="5"/>
  <c r="B14" i="5"/>
  <c r="B13" i="5"/>
  <c r="B12" i="5"/>
  <c r="C7" i="5"/>
  <c r="C8" i="5"/>
  <c r="C6" i="5"/>
  <c r="B15" i="5"/>
  <c r="B17" i="5"/>
  <c r="B16" i="5"/>
  <c r="B9" i="5"/>
  <c r="B10" i="5"/>
  <c r="B11" i="5"/>
  <c r="C13" i="5"/>
  <c r="C12" i="5"/>
  <c r="C14" i="5"/>
  <c r="C16" i="5"/>
  <c r="C15" i="5"/>
  <c r="C17" i="5"/>
  <c r="C10" i="5"/>
  <c r="C9" i="5"/>
  <c r="C11" i="5"/>
  <c r="B4" i="5"/>
  <c r="B3" i="5"/>
  <c r="B5" i="5"/>
  <c r="B31" i="4"/>
  <c r="B30" i="4"/>
  <c r="B32" i="4"/>
  <c r="C5" i="5"/>
  <c r="C3" i="5"/>
  <c r="C4" i="5"/>
  <c r="C31" i="4"/>
  <c r="C30" i="4"/>
  <c r="C32" i="4"/>
  <c r="B13" i="4"/>
  <c r="B12" i="4"/>
  <c r="B14" i="4"/>
  <c r="B29" i="4"/>
  <c r="B28" i="4"/>
  <c r="B27" i="4"/>
  <c r="C15" i="4"/>
  <c r="C17" i="4"/>
  <c r="C16" i="4"/>
  <c r="B23" i="4"/>
  <c r="B22" i="4"/>
  <c r="B21" i="4"/>
  <c r="B17" i="4"/>
  <c r="B16" i="4"/>
  <c r="B15" i="4"/>
  <c r="B25" i="4"/>
  <c r="B24" i="4"/>
  <c r="B26" i="4"/>
  <c r="C29" i="4"/>
  <c r="C28" i="4"/>
  <c r="C27" i="4"/>
  <c r="C21" i="4"/>
  <c r="C23" i="4"/>
  <c r="C22" i="4"/>
  <c r="C4" i="2"/>
  <c r="C14" i="4"/>
  <c r="C13" i="4"/>
  <c r="C12" i="4"/>
  <c r="B19" i="4"/>
  <c r="B18" i="4"/>
  <c r="B20" i="4"/>
  <c r="C20" i="4"/>
  <c r="C19" i="4"/>
  <c r="C18" i="4"/>
  <c r="C26" i="4"/>
  <c r="C25" i="4"/>
  <c r="C24" i="4"/>
  <c r="C8" i="4"/>
  <c r="C7" i="4"/>
  <c r="C6" i="4"/>
  <c r="C10" i="4"/>
  <c r="C9" i="4"/>
  <c r="C11" i="4"/>
  <c r="B8" i="4"/>
  <c r="B7" i="4"/>
  <c r="B6" i="4"/>
  <c r="B9" i="4"/>
  <c r="B11" i="4"/>
  <c r="B10" i="4"/>
  <c r="B5" i="4"/>
  <c r="B4" i="4"/>
  <c r="B3" i="4"/>
  <c r="C3" i="4"/>
  <c r="C5" i="4"/>
  <c r="C4" i="4"/>
  <c r="C19" i="3"/>
  <c r="B21" i="3"/>
  <c r="B29" i="3"/>
  <c r="B6" i="3"/>
  <c r="B26" i="3"/>
  <c r="B5" i="3"/>
  <c r="B11" i="3"/>
  <c r="C23" i="3"/>
  <c r="B32" i="3"/>
  <c r="B16" i="3"/>
  <c r="C31" i="3"/>
  <c r="C5" i="2"/>
  <c r="B19" i="3"/>
  <c r="B14" i="3"/>
  <c r="B25" i="3"/>
  <c r="C16" i="2"/>
  <c r="B13" i="3"/>
  <c r="B12" i="3"/>
  <c r="B21" i="2"/>
  <c r="B26" i="2"/>
  <c r="C15" i="2"/>
  <c r="C30" i="3"/>
  <c r="B3" i="3"/>
  <c r="B8" i="2"/>
  <c r="B12" i="2"/>
  <c r="B13" i="2"/>
  <c r="B22" i="3"/>
  <c r="B30" i="3"/>
  <c r="B27" i="3"/>
  <c r="B8" i="3"/>
  <c r="B18" i="3"/>
  <c r="B29" i="2"/>
  <c r="B15" i="2"/>
  <c r="B31" i="3"/>
  <c r="B18" i="2"/>
  <c r="B10" i="3"/>
  <c r="B32" i="2"/>
  <c r="B20" i="2"/>
  <c r="C22" i="3"/>
  <c r="B24" i="3"/>
  <c r="B28" i="3"/>
  <c r="B7" i="3"/>
  <c r="B4" i="3"/>
  <c r="B16" i="2"/>
  <c r="B7" i="2"/>
  <c r="C13" i="2"/>
  <c r="C12" i="2"/>
  <c r="C14" i="2"/>
  <c r="B23" i="3"/>
  <c r="B9" i="2"/>
  <c r="B30" i="2"/>
  <c r="B10" i="2"/>
  <c r="B9" i="3"/>
  <c r="B24" i="2"/>
  <c r="C21" i="3"/>
  <c r="C18" i="3"/>
  <c r="B20" i="3"/>
  <c r="C9" i="2"/>
  <c r="C10" i="2"/>
  <c r="B28" i="2"/>
  <c r="B23" i="2"/>
  <c r="B17" i="3"/>
  <c r="C8" i="2"/>
  <c r="C7" i="2"/>
  <c r="C22" i="2"/>
  <c r="C21" i="2"/>
  <c r="C11" i="2"/>
  <c r="C20" i="3"/>
  <c r="B15" i="3"/>
  <c r="C32" i="3"/>
  <c r="C6" i="2"/>
  <c r="C6" i="3"/>
  <c r="C7" i="3"/>
  <c r="C8" i="3"/>
  <c r="C11" i="3"/>
  <c r="C9" i="3"/>
  <c r="C10" i="3"/>
  <c r="C13" i="3"/>
  <c r="C14" i="3"/>
  <c r="C12" i="3"/>
  <c r="C4" i="3"/>
  <c r="C5" i="3"/>
  <c r="C3" i="3"/>
  <c r="C25" i="3"/>
  <c r="C26" i="3"/>
  <c r="C24" i="3"/>
  <c r="C15" i="3"/>
  <c r="C16" i="3"/>
  <c r="C17" i="3"/>
  <c r="C27" i="3"/>
  <c r="C28" i="3"/>
  <c r="C29" i="3"/>
  <c r="C30" i="2" l="1"/>
  <c r="C32" i="2"/>
  <c r="C18" i="2"/>
  <c r="D48" i="7"/>
  <c r="D49" i="7"/>
  <c r="D38" i="7"/>
  <c r="C19" i="2"/>
  <c r="D36" i="7"/>
  <c r="C31" i="2"/>
  <c r="C20" i="2"/>
  <c r="D42" i="7"/>
  <c r="C25" i="2"/>
  <c r="D46" i="7"/>
  <c r="C27" i="2"/>
  <c r="C28" i="2"/>
  <c r="C29" i="2"/>
  <c r="D45" i="7"/>
  <c r="D43" i="7"/>
  <c r="C26" i="2"/>
  <c r="C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List>
</comments>
</file>

<file path=xl/sharedStrings.xml><?xml version="1.0" encoding="utf-8"?>
<sst xmlns="http://schemas.openxmlformats.org/spreadsheetml/2006/main" count="453" uniqueCount="142">
  <si>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</si>
  <si>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</si>
  <si>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</si>
  <si>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</si>
  <si>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</si>
  <si>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</si>
  <si>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</si>
  <si>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</si>
  <si>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</si>
  <si>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</si>
  <si>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</si>
  <si>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</si>
  <si>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</si>
  <si>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</si>
  <si>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</si>
  <si>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</si>
  <si>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</si>
  <si>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</si>
  <si>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</si>
  <si>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</si>
  <si>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</si>
  <si>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</si>
  <si>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</si>
  <si>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</si>
  <si>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</si>
  <si>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</si>
  <si>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</si>
  <si>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</si>
  <si>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</si>
  <si>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</si>
  <si>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</si>
  <si>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</si>
  <si>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</si>
  <si>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</si>
  <si>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</si>
  <si>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</si>
  <si>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</si>
  <si>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</si>
  <si>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</si>
  <si>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</si>
  <si>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</si>
  <si>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</si>
  <si>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</si>
  <si>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</si>
  <si>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</si>
  <si>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</si>
  <si>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</si>
  <si>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</si>
  <si>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</si>
  <si>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</si>
  <si>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</si>
  <si>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</si>
  <si>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</si>
  <si>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</si>
  <si>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</si>
  <si>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</si>
  <si>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</si>
  <si>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</si>
  <si>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</si>
  <si>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</si>
  <si>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</si>
  <si>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</si>
  <si>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</si>
  <si>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</si>
  <si>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</si>
  <si>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</si>
  <si>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</si>
  <si>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</si>
  <si>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</si>
  <si>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Fill in the control distance.  The opening and closing times will be automatically calculated based on the start time and the brevet distance.  If you need more than 10 controls, use card #2, otherwise leave that section blank.</t>
  </si>
  <si>
    <t>When using information controls, you can put your question in the Signature/Answer section eg Sig/Ans.1 Sign on main door  Sig/Ans. 2  This week's special is?  Sig/Ans. 3 ________________</t>
  </si>
  <si>
    <t>Control Card #1 Information Control Question (optional)</t>
  </si>
  <si>
    <t>Control Card #2 Information Control Question (optional)</t>
  </si>
  <si>
    <t xml:space="preserve">Control Card </t>
  </si>
  <si>
    <r>
      <t xml:space="preserve">At each control, please have signed or </t>
    </r>
    <r>
      <rPr>
        <b/>
        <i/>
        <sz val="16"/>
        <rFont val="Arial"/>
        <family val="2"/>
      </rPr>
      <t>answer question</t>
    </r>
    <r>
      <rPr>
        <i/>
        <sz val="16"/>
        <rFont val="Arial"/>
        <family val="2"/>
      </rPr>
      <t xml:space="preserve"> and</t>
    </r>
    <r>
      <rPr>
        <b/>
        <i/>
        <sz val="16"/>
        <rFont val="Arial"/>
        <family val="2"/>
      </rPr>
      <t xml:space="preserve"> note time of day</t>
    </r>
  </si>
  <si>
    <t>Enter the start time.  This will be the official ACP listed start time found on the event page, unless a ride window has been enabled.</t>
  </si>
  <si>
    <t>Enter the start date.  This will be the same as the schedule date, exceot for pre-rides or unless a ride window has been enabled.</t>
  </si>
  <si>
    <t>Control Card #2</t>
  </si>
  <si>
    <t>Control Card #3 Information Control Question (optional)</t>
  </si>
  <si>
    <t>Control Card #3</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</si>
  <si>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</si>
  <si>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</si>
  <si>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</si>
  <si>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</si>
  <si>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</si>
  <si>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Control Card #4</t>
  </si>
  <si>
    <t>Control Card #4 Information Control Question (optional)</t>
  </si>
  <si>
    <t>You can create 4 control cards  (upto 40 controls) for one event, or 4 control cards (up to 10 controls) with different start loctions for a single event, or 2 sets of 2 control cards.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</si>
  <si>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SIGN HERE AND RECORD RESULTS ON CARD #1</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</si>
  <si>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</si>
  <si>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</si>
  <si>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</si>
  <si>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</si>
  <si>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</si>
  <si>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</si>
  <si>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</si>
  <si>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</si>
  <si>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</si>
  <si>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</si>
  <si>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</si>
  <si>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</si>
  <si>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</si>
  <si>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Dairy Queen Est.2 817 Water Ave Est. 3 (left blank).  For a secret control, use SECRET as the locale.</t>
  </si>
  <si>
    <t>Comox Valley Crisscross</t>
  </si>
  <si>
    <t>COURTENAY</t>
  </si>
  <si>
    <t>STAFFED</t>
  </si>
  <si>
    <t>1744A Piercy Ave</t>
  </si>
  <si>
    <t>BEVAN</t>
  </si>
  <si>
    <t>BUCKLEY BAY</t>
  </si>
  <si>
    <t>COMOX</t>
  </si>
  <si>
    <t>LITTLE RIVER</t>
  </si>
  <si>
    <t>OYSTER RIVER</t>
  </si>
  <si>
    <t>HEADQUARTERS</t>
  </si>
  <si>
    <t>GRANTHAM</t>
  </si>
  <si>
    <t>Rest Area</t>
  </si>
  <si>
    <t>BUSINESS</t>
  </si>
  <si>
    <t>Your choice</t>
  </si>
  <si>
    <t>Discovery Foods Plaza</t>
  </si>
  <si>
    <t>INFORMATION</t>
  </si>
  <si>
    <t>4787 Lake Trail Rd</t>
  </si>
  <si>
    <t>6866 Buckley Bay Rd</t>
  </si>
  <si>
    <t>Boat Launch</t>
  </si>
  <si>
    <t>988 Lazo Rd</t>
  </si>
  <si>
    <t>Stop Sign</t>
  </si>
  <si>
    <t>S. Farnham Rd @ Dove Creek Rd</t>
  </si>
  <si>
    <t>Smith Rd @ Island Hwy</t>
  </si>
  <si>
    <t>POINT HOLMES</t>
  </si>
  <si>
    <t>1474 Hudson Rd</t>
  </si>
  <si>
    <t>Road sign at end of gravel</t>
  </si>
  <si>
    <t xml:space="preserve">Speed zone </t>
  </si>
  <si>
    <t>What kph?</t>
  </si>
  <si>
    <t>Mail box shape</t>
  </si>
  <si>
    <t>Single use fee for SUP?</t>
  </si>
  <si>
    <t>Back of stop sign, seen from Dove Ck</t>
  </si>
  <si>
    <t>What number?</t>
  </si>
  <si>
    <t>Recreation Association sign, ramp side</t>
  </si>
  <si>
    <t>Crosswalk across hwy</t>
  </si>
  <si>
    <t>On which side of Smith?</t>
  </si>
  <si>
    <t>LEFT       No crosswalk       RIGHT</t>
  </si>
  <si>
    <t>Free       $2       $5</t>
  </si>
  <si>
    <t>Barn       Bicycle       Birdhouse</t>
  </si>
  <si>
    <t>1938 Singing Sands 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</si>
</sst>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d/mmm/yy\ hh:mm\ AM/PM"/>
    <numFmt numFmtId="165" formatCode="d/mmm/yy"/>
    <numFmt numFmtId="166" formatCode="dddd"/>
    <numFmt numFmtId="167" formatCode="0.0"/>
    <numFmt numFmtId="168" formatCode="mmmm\ d\,\ yyyy"/>
    <numFmt numFmtId="169" formatCode="[&lt;=9999999]###\-####;\(###\)\ ###\-####"/>
    <numFmt numFmtId="170" formatCode="[&lt;=9999999]###\-####;###\-###\-####"/>
  </numFmts>
  <fonts count="40"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20"/>
      <color theme="0" tint="-0.249977111117893"/>
      <name val="Impact"/>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s>
  <fills count="3">
    <fill>
      <patternFill patternType="none"/>
    </fill>
    <fill>
      <patternFill patternType="gray125"/>
    </fill>
    <fill>
      <patternFill patternType="solid">
        <fgColor indexed="22"/>
        <bgColor indexed="64"/>
      </patternFill>
    </fill>
  </fills>
  <borders count="33">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4"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237">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10" fillId="0" borderId="0" xfId="0" applyFont="1"/>
    <xf numFmtId="0" fontId="0" fillId="0" borderId="19" xfId="0" applyBorder="1"/>
    <xf numFmtId="0" fontId="0" fillId="0" borderId="6" xfId="0" applyBorder="1"/>
    <xf numFmtId="0" fontId="10" fillId="0" borderId="0" xfId="0" applyFont="1" applyProtection="1"/>
    <xf numFmtId="0" fontId="0" fillId="0" borderId="0" xfId="0" applyProtection="1"/>
    <xf numFmtId="0" fontId="0" fillId="0" borderId="20" xfId="0" applyBorder="1" applyProtection="1"/>
    <xf numFmtId="0" fontId="0" fillId="0" borderId="21" xfId="0" applyBorder="1" applyProtection="1"/>
    <xf numFmtId="0" fontId="0" fillId="0" borderId="0" xfId="0" applyBorder="1" applyProtection="1"/>
    <xf numFmtId="0" fontId="0" fillId="0" borderId="17"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Border="1" applyAlignment="1" applyProtection="1">
      <alignment horizontal="right"/>
    </xf>
    <xf numFmtId="0" fontId="10" fillId="0" borderId="0" xfId="0" applyFont="1" applyBorder="1" applyAlignment="1" applyProtection="1">
      <alignment horizontal="left"/>
    </xf>
    <xf numFmtId="0" fontId="10" fillId="0" borderId="0" xfId="0" applyFont="1" applyAlignment="1" applyProtection="1"/>
    <xf numFmtId="0" fontId="5" fillId="2" borderId="3" xfId="0" applyFont="1" applyFill="1" applyBorder="1" applyAlignment="1">
      <alignment horizontal="right"/>
    </xf>
    <xf numFmtId="168" fontId="10" fillId="0" borderId="0" xfId="0" applyNumberFormat="1" applyFont="1" applyBorder="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4" xfId="0" applyNumberFormat="1" applyBorder="1" applyProtection="1">
      <protection locked="0"/>
    </xf>
    <xf numFmtId="0" fontId="14" fillId="0" borderId="16" xfId="0" applyFont="1" applyBorder="1" applyAlignment="1">
      <alignment horizontal="center" vertical="top" wrapText="1"/>
    </xf>
    <xf numFmtId="0" fontId="6" fillId="0" borderId="0" xfId="0" applyFont="1" applyBorder="1" applyAlignment="1" applyProtection="1">
      <alignment wrapText="1"/>
    </xf>
    <xf numFmtId="0" fontId="10" fillId="0" borderId="0" xfId="0" applyFont="1" applyBorder="1"/>
    <xf numFmtId="0" fontId="10" fillId="0" borderId="0" xfId="0" applyFont="1" applyBorder="1" applyProtection="1"/>
    <xf numFmtId="168" fontId="10" fillId="0" borderId="0" xfId="0" applyNumberFormat="1" applyFont="1" applyBorder="1" applyAlignment="1">
      <alignment horizontal="center"/>
    </xf>
    <xf numFmtId="0" fontId="10" fillId="0" borderId="0" xfId="0" applyFont="1" applyAlignment="1">
      <alignment horizontal="center"/>
    </xf>
    <xf numFmtId="0" fontId="10" fillId="0" borderId="0" xfId="0" applyFont="1" applyBorder="1" applyAlignment="1">
      <alignment horizontal="center"/>
    </xf>
    <xf numFmtId="18" fontId="23" fillId="0" borderId="0" xfId="0" applyNumberFormat="1" applyFont="1" applyBorder="1" applyAlignment="1">
      <alignment horizontal="center" wrapText="1"/>
    </xf>
    <xf numFmtId="0" fontId="10" fillId="0" borderId="0" xfId="0" applyNumberFormat="1" applyFont="1" applyBorder="1" applyAlignment="1" applyProtection="1">
      <alignment horizontal="left" vertical="center"/>
    </xf>
    <xf numFmtId="169" fontId="10" fillId="0" borderId="0" xfId="0" applyNumberFormat="1" applyFont="1" applyBorder="1" applyAlignment="1" applyProtection="1">
      <alignment horizontal="left" vertical="center"/>
    </xf>
    <xf numFmtId="0" fontId="27" fillId="2" borderId="12" xfId="0" applyFont="1" applyFill="1" applyBorder="1"/>
    <xf numFmtId="0" fontId="27"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1" fontId="13" fillId="0" borderId="4" xfId="0" applyNumberFormat="1" applyFont="1" applyBorder="1" applyProtection="1">
      <protection locked="0"/>
    </xf>
    <xf numFmtId="15" fontId="13" fillId="0" borderId="4" xfId="0" applyNumberFormat="1" applyFont="1" applyBorder="1" applyProtection="1">
      <protection locked="0"/>
    </xf>
    <xf numFmtId="20" fontId="13" fillId="0" borderId="8" xfId="0" applyNumberFormat="1" applyFont="1" applyBorder="1" applyProtection="1">
      <protection locked="0"/>
    </xf>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5" xfId="0" applyFont="1" applyBorder="1" applyProtection="1">
      <protection locked="0"/>
    </xf>
    <xf numFmtId="49" fontId="5" fillId="0" borderId="25"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0" fontId="10" fillId="0" borderId="0" xfId="0" applyFont="1" applyAlignment="1">
      <alignment horizontal="center"/>
    </xf>
    <xf numFmtId="167" fontId="0" fillId="0" borderId="0" xfId="0" applyNumberFormat="1"/>
    <xf numFmtId="0" fontId="14" fillId="0" borderId="7" xfId="0" applyFont="1" applyBorder="1" applyAlignment="1">
      <alignment horizontal="center" vertical="top" wrapText="1"/>
    </xf>
    <xf numFmtId="2" fontId="0" fillId="0" borderId="0" xfId="0" applyNumberFormat="1"/>
    <xf numFmtId="0" fontId="9" fillId="0" borderId="0" xfId="0" applyNumberFormat="1" applyFont="1" applyBorder="1" applyAlignment="1">
      <alignment horizontal="center" wrapText="1"/>
    </xf>
    <xf numFmtId="0" fontId="9" fillId="0" borderId="0" xfId="0" applyFont="1" applyAlignment="1"/>
    <xf numFmtId="0" fontId="5" fillId="0" borderId="0" xfId="0" applyFont="1"/>
    <xf numFmtId="0" fontId="27" fillId="2" borderId="26" xfId="0" applyFont="1" applyFill="1" applyBorder="1"/>
    <xf numFmtId="0" fontId="0" fillId="2" borderId="28" xfId="0" applyFill="1" applyBorder="1" applyAlignment="1">
      <alignment horizontal="right"/>
    </xf>
    <xf numFmtId="15" fontId="13" fillId="0" borderId="27" xfId="0" applyNumberFormat="1" applyFont="1" applyBorder="1" applyProtection="1">
      <protection locked="0"/>
    </xf>
    <xf numFmtId="0" fontId="5" fillId="2" borderId="29" xfId="0" applyFont="1" applyFill="1" applyBorder="1" applyAlignment="1">
      <alignment horizontal="right"/>
    </xf>
    <xf numFmtId="0" fontId="6" fillId="0" borderId="0" xfId="0" applyFont="1" applyBorder="1" applyAlignment="1" applyProtection="1">
      <alignment vertical="top" wrapText="1"/>
    </xf>
    <xf numFmtId="0" fontId="0" fillId="0" borderId="0" xfId="0" applyAlignment="1"/>
    <xf numFmtId="0" fontId="5" fillId="0" borderId="0" xfId="0" applyFont="1" applyAlignment="1"/>
    <xf numFmtId="0" fontId="5" fillId="0" borderId="0" xfId="0" applyFont="1" applyAlignment="1">
      <alignment wrapText="1"/>
    </xf>
    <xf numFmtId="0" fontId="0" fillId="0" borderId="0" xfId="0" applyProtection="1">
      <protection locked="0"/>
    </xf>
    <xf numFmtId="0" fontId="14" fillId="0" borderId="16" xfId="0" applyFont="1" applyBorder="1" applyAlignment="1" applyProtection="1">
      <alignment horizontal="center" vertical="center" wrapText="1"/>
      <protection locked="0"/>
    </xf>
    <xf numFmtId="0" fontId="7" fillId="0" borderId="16" xfId="0" applyFont="1" applyBorder="1" applyAlignment="1" applyProtection="1">
      <alignment horizontal="center" wrapText="1"/>
      <protection locked="0"/>
    </xf>
    <xf numFmtId="0" fontId="14" fillId="0" borderId="16" xfId="0" applyFont="1" applyBorder="1" applyAlignment="1" applyProtection="1">
      <alignment horizontal="center" vertical="top" wrapText="1"/>
      <protection locked="0"/>
    </xf>
    <xf numFmtId="0" fontId="14" fillId="0" borderId="7" xfId="0" applyFont="1" applyBorder="1" applyAlignment="1" applyProtection="1">
      <alignment horizontal="center" wrapText="1"/>
      <protection locked="0"/>
    </xf>
    <xf numFmtId="0" fontId="7" fillId="0" borderId="7" xfId="0" applyFont="1" applyBorder="1" applyProtection="1">
      <protection locked="0"/>
    </xf>
    <xf numFmtId="0" fontId="14" fillId="0" borderId="7" xfId="0" applyFont="1" applyBorder="1" applyAlignment="1" applyProtection="1">
      <alignment horizontal="center" vertical="center" wrapText="1"/>
      <protection locked="0"/>
    </xf>
    <xf numFmtId="168" fontId="10" fillId="0" borderId="18" xfId="0" applyNumberFormat="1" applyFont="1" applyBorder="1" applyAlignment="1" applyProtection="1">
      <alignment horizontal="center"/>
      <protection locked="0"/>
    </xf>
    <xf numFmtId="0" fontId="0" fillId="0" borderId="19" xfId="0" applyBorder="1" applyProtection="1"/>
    <xf numFmtId="0" fontId="0" fillId="0" borderId="6" xfId="0" applyBorder="1" applyProtection="1"/>
    <xf numFmtId="15" fontId="31" fillId="0" borderId="4" xfId="0" applyNumberFormat="1" applyFont="1" applyBorder="1" applyAlignment="1" applyProtection="1">
      <alignment horizontal="center"/>
      <protection locked="0"/>
    </xf>
    <xf numFmtId="0" fontId="30" fillId="2" borderId="29" xfId="0" applyFont="1" applyFill="1" applyBorder="1" applyAlignment="1">
      <alignment horizontal="right"/>
    </xf>
    <xf numFmtId="0" fontId="30" fillId="0" borderId="0" xfId="0" applyFont="1" applyAlignment="1"/>
    <xf numFmtId="0" fontId="30" fillId="0" borderId="0" xfId="0" applyFont="1"/>
    <xf numFmtId="0" fontId="30"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9" fillId="0" borderId="0" xfId="0" applyFont="1" applyAlignment="1"/>
    <xf numFmtId="0" fontId="10" fillId="0" borderId="0" xfId="0" applyFont="1" applyAlignment="1">
      <alignment horizontal="right"/>
    </xf>
    <xf numFmtId="0" fontId="10" fillId="0" borderId="0" xfId="0" applyFont="1" applyBorder="1" applyAlignment="1" applyProtection="1">
      <protection locked="0"/>
    </xf>
    <xf numFmtId="0" fontId="0" fillId="0" borderId="30" xfId="0" applyBorder="1"/>
    <xf numFmtId="0" fontId="0" fillId="0" borderId="7" xfId="0" applyBorder="1"/>
    <xf numFmtId="0" fontId="12" fillId="0" borderId="0" xfId="0" applyFont="1" applyAlignment="1">
      <alignment vertical="center"/>
    </xf>
    <xf numFmtId="0" fontId="6" fillId="0" borderId="0" xfId="0" applyFont="1" applyAlignment="1">
      <alignment vertical="top"/>
    </xf>
    <xf numFmtId="0" fontId="5" fillId="0" borderId="0" xfId="0" applyFont="1" applyBorder="1" applyAlignment="1">
      <alignment vertical="top"/>
    </xf>
    <xf numFmtId="0" fontId="0" fillId="0" borderId="0" xfId="0" applyBorder="1" applyAlignment="1">
      <alignment vertical="top"/>
    </xf>
    <xf numFmtId="0" fontId="12" fillId="0" borderId="0" xfId="0" applyFont="1" applyAlignment="1">
      <alignment horizontal="right" vertical="center"/>
    </xf>
    <xf numFmtId="0" fontId="5" fillId="0" borderId="0" xfId="0" applyFont="1" applyBorder="1" applyAlignment="1">
      <alignment horizontal="right"/>
    </xf>
    <xf numFmtId="0" fontId="12" fillId="0" borderId="0" xfId="0" applyFont="1" applyAlignment="1">
      <alignment horizontal="left" vertical="center"/>
    </xf>
    <xf numFmtId="0" fontId="12" fillId="0" borderId="31" xfId="0" applyFont="1" applyBorder="1" applyAlignment="1">
      <alignment horizontal="right" vertical="center"/>
    </xf>
    <xf numFmtId="0" fontId="12" fillId="0" borderId="31" xfId="0" applyFont="1" applyBorder="1" applyAlignment="1">
      <alignment vertical="center"/>
    </xf>
    <xf numFmtId="0" fontId="12" fillId="0" borderId="31" xfId="0" applyFont="1" applyBorder="1" applyAlignment="1">
      <alignment horizontal="left" vertical="center"/>
    </xf>
    <xf numFmtId="0" fontId="10" fillId="0" borderId="0" xfId="0" quotePrefix="1" applyFont="1" applyAlignment="1">
      <alignment horizontal="left" vertical="center"/>
    </xf>
    <xf numFmtId="0" fontId="10" fillId="0" borderId="0" xfId="0" applyFont="1" applyAlignment="1" applyProtection="1">
      <alignment horizontal="right"/>
    </xf>
    <xf numFmtId="0" fontId="0" fillId="0" borderId="18" xfId="0" applyBorder="1" applyAlignment="1" applyProtection="1">
      <protection locked="0"/>
    </xf>
    <xf numFmtId="0" fontId="0" fillId="0" borderId="0" xfId="0" applyBorder="1" applyAlignment="1" applyProtection="1">
      <protection locked="0"/>
    </xf>
    <xf numFmtId="0" fontId="32" fillId="0" borderId="0" xfId="0" applyFont="1" applyAlignment="1">
      <alignment horizontal="right" vertical="center"/>
    </xf>
    <xf numFmtId="0" fontId="19" fillId="0" borderId="0" xfId="0" applyFont="1" applyAlignment="1">
      <alignment vertical="top"/>
    </xf>
    <xf numFmtId="0" fontId="12" fillId="0" borderId="0" xfId="0" applyFont="1" applyBorder="1" applyAlignment="1">
      <alignment horizontal="right" vertical="center"/>
    </xf>
    <xf numFmtId="0" fontId="12" fillId="0" borderId="0" xfId="0" applyFont="1" applyBorder="1" applyAlignment="1">
      <alignment vertical="center"/>
    </xf>
    <xf numFmtId="0" fontId="12" fillId="0" borderId="0" xfId="0" applyFont="1" applyBorder="1" applyAlignment="1">
      <alignment horizontal="left" vertical="center"/>
    </xf>
    <xf numFmtId="18" fontId="23"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32" fillId="0" borderId="0" xfId="0" applyFont="1" applyAlignment="1">
      <alignment horizontal="left" vertical="center"/>
    </xf>
    <xf numFmtId="15" fontId="30" fillId="2" borderId="2" xfId="0" applyNumberFormat="1" applyFont="1" applyFill="1" applyBorder="1" applyAlignment="1">
      <alignment horizontal="center"/>
    </xf>
    <xf numFmtId="168" fontId="10" fillId="0" borderId="0" xfId="0" applyNumberFormat="1" applyFont="1" applyBorder="1" applyAlignment="1" applyProtection="1">
      <alignment horizontal="center"/>
      <protection locked="0"/>
    </xf>
    <xf numFmtId="0" fontId="19" fillId="0" borderId="0" xfId="0" applyFont="1" applyAlignment="1">
      <alignment vertical="center" wrapText="1"/>
    </xf>
    <xf numFmtId="0" fontId="0" fillId="0" borderId="0" xfId="0" applyBorder="1" applyAlignment="1">
      <alignment horizontal="left"/>
    </xf>
    <xf numFmtId="0" fontId="5" fillId="0" borderId="0" xfId="0" applyFont="1" applyAlignment="1">
      <alignment horizontal="right" vertical="top"/>
    </xf>
    <xf numFmtId="15" fontId="5" fillId="0" borderId="0" xfId="0" applyNumberFormat="1" applyFont="1" applyBorder="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7" xfId="0" applyFont="1" applyFill="1" applyBorder="1" applyAlignment="1">
      <alignment horizontal="right" vertical="center"/>
    </xf>
    <xf numFmtId="170" fontId="12" fillId="0" borderId="0" xfId="0" applyNumberFormat="1" applyFont="1" applyAlignment="1">
      <alignment vertical="center"/>
    </xf>
    <xf numFmtId="170" fontId="0" fillId="0" borderId="27" xfId="0" applyNumberFormat="1" applyBorder="1" applyAlignment="1" applyProtection="1">
      <alignment horizontal="left"/>
      <protection locked="0"/>
    </xf>
    <xf numFmtId="0" fontId="0" fillId="2" borderId="32" xfId="0" applyFill="1" applyBorder="1" applyAlignment="1">
      <alignment horizontal="right"/>
    </xf>
    <xf numFmtId="0" fontId="0" fillId="2" borderId="17" xfId="0" applyFill="1" applyBorder="1"/>
    <xf numFmtId="0" fontId="13" fillId="0" borderId="0" xfId="0" applyFont="1" applyBorder="1" applyAlignment="1" applyProtection="1">
      <protection locked="0"/>
    </xf>
    <xf numFmtId="0" fontId="36" fillId="0" borderId="0" xfId="0" applyFont="1"/>
    <xf numFmtId="0" fontId="35" fillId="0" borderId="0" xfId="0" applyFont="1"/>
    <xf numFmtId="0" fontId="35" fillId="0" borderId="0" xfId="0" applyFont="1" applyAlignment="1">
      <alignment vertical="top" wrapText="1"/>
    </xf>
    <xf numFmtId="167" fontId="38" fillId="0" borderId="16" xfId="0" applyNumberFormat="1" applyFont="1" applyBorder="1" applyAlignment="1">
      <alignment horizontal="center" wrapText="1"/>
    </xf>
    <xf numFmtId="166" fontId="38" fillId="0" borderId="16" xfId="0" applyNumberFormat="1" applyFont="1" applyBorder="1" applyAlignment="1">
      <alignment horizontal="center" vertical="center" wrapText="1"/>
    </xf>
    <xf numFmtId="0" fontId="38" fillId="0" borderId="17" xfId="0" applyFont="1" applyBorder="1" applyAlignment="1">
      <alignment horizontal="center" vertical="center"/>
    </xf>
    <xf numFmtId="0" fontId="39" fillId="0" borderId="16" xfId="0" applyFont="1" applyBorder="1" applyAlignment="1">
      <alignment horizontal="center" vertical="center" wrapText="1"/>
    </xf>
    <xf numFmtId="167" fontId="39" fillId="0" borderId="16" xfId="0" applyNumberFormat="1" applyFont="1" applyBorder="1" applyAlignment="1">
      <alignment horizontal="center" vertical="center"/>
    </xf>
    <xf numFmtId="18" fontId="39" fillId="0" borderId="16" xfId="0" applyNumberFormat="1" applyFont="1" applyBorder="1" applyAlignment="1">
      <alignment horizontal="center" vertical="center" wrapText="1"/>
    </xf>
    <xf numFmtId="167" fontId="38" fillId="0" borderId="7" xfId="0" applyNumberFormat="1" applyFont="1" applyBorder="1"/>
    <xf numFmtId="165" fontId="38" fillId="0" borderId="7" xfId="0" applyNumberFormat="1" applyFont="1" applyBorder="1" applyAlignment="1">
      <alignment horizontal="center" vertical="center" wrapText="1"/>
    </xf>
    <xf numFmtId="0" fontId="38" fillId="0" borderId="18" xfId="0" applyFont="1" applyBorder="1" applyAlignment="1">
      <alignment horizontal="center" vertical="center"/>
    </xf>
    <xf numFmtId="0" fontId="39" fillId="0" borderId="7" xfId="0" applyFont="1" applyBorder="1" applyAlignment="1">
      <alignment horizontal="center" vertical="center" wrapText="1"/>
    </xf>
    <xf numFmtId="166" fontId="23" fillId="0" borderId="16" xfId="0" applyNumberFormat="1" applyFont="1" applyBorder="1" applyAlignment="1">
      <alignment horizontal="center" vertical="center" wrapText="1"/>
    </xf>
    <xf numFmtId="165" fontId="23" fillId="0" borderId="7" xfId="0" applyNumberFormat="1" applyFont="1" applyBorder="1" applyAlignment="1">
      <alignment horizontal="center" vertical="center" wrapText="1"/>
    </xf>
    <xf numFmtId="0" fontId="29" fillId="0" borderId="0" xfId="0" applyFont="1" applyAlignment="1">
      <alignment horizontal="center"/>
    </xf>
    <xf numFmtId="0" fontId="13" fillId="0" borderId="27" xfId="0" applyFont="1" applyBorder="1" applyAlignment="1" applyProtection="1">
      <alignment horizontal="center"/>
      <protection locked="0"/>
    </xf>
    <xf numFmtId="0" fontId="35" fillId="0" borderId="0" xfId="0" applyFont="1" applyAlignment="1">
      <alignment horizontal="left" vertical="top" wrapText="1"/>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34" fillId="0" borderId="0" xfId="0" applyFont="1" applyAlignment="1">
      <alignment horizontal="right"/>
    </xf>
    <xf numFmtId="0" fontId="0" fillId="2" borderId="9" xfId="0" applyFill="1" applyBorder="1" applyAlignment="1">
      <alignment horizontal="center"/>
    </xf>
    <xf numFmtId="0" fontId="10" fillId="0" borderId="0" xfId="0" applyFont="1" applyAlignment="1">
      <alignment horizontal="right" vertical="center"/>
    </xf>
    <xf numFmtId="15" fontId="0" fillId="0" borderId="0" xfId="0" applyNumberFormat="1" applyBorder="1" applyAlignment="1">
      <alignment horizontal="left" vertical="top"/>
    </xf>
    <xf numFmtId="0" fontId="0" fillId="0" borderId="0" xfId="0" applyBorder="1" applyAlignment="1">
      <alignment horizontal="left" vertical="top"/>
    </xf>
    <xf numFmtId="0" fontId="39" fillId="0" borderId="19"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9" fillId="0" borderId="21" xfId="0"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39" fillId="0" borderId="0" xfId="0" applyFont="1" applyBorder="1" applyAlignment="1" applyProtection="1">
      <alignment horizontal="center" vertical="center" wrapText="1"/>
      <protection locked="0"/>
    </xf>
    <xf numFmtId="0" fontId="39" fillId="0" borderId="17" xfId="0" applyFont="1" applyBorder="1" applyAlignment="1" applyProtection="1">
      <alignment horizontal="center" vertical="center" wrapText="1"/>
      <protection locked="0"/>
    </xf>
    <xf numFmtId="0" fontId="39" fillId="0" borderId="22" xfId="0" applyFont="1" applyBorder="1" applyAlignment="1" applyProtection="1">
      <alignment horizontal="center" vertical="center" wrapText="1"/>
      <protection locked="0"/>
    </xf>
    <xf numFmtId="0" fontId="39" fillId="0" borderId="18" xfId="0" applyFont="1" applyBorder="1" applyAlignment="1" applyProtection="1">
      <alignment horizontal="center" vertical="center" wrapText="1"/>
      <protection locked="0"/>
    </xf>
    <xf numFmtId="0" fontId="39" fillId="0" borderId="8" xfId="0" applyFont="1" applyBorder="1" applyAlignment="1" applyProtection="1">
      <alignment horizontal="center" vertical="center" wrapText="1"/>
      <protection locked="0"/>
    </xf>
    <xf numFmtId="0" fontId="33" fillId="0" borderId="0" xfId="0" applyFont="1" applyAlignment="1">
      <alignment horizontal="left"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Border="1" applyAlignment="1">
      <alignment horizontal="right"/>
    </xf>
    <xf numFmtId="0" fontId="10" fillId="0" borderId="0" xfId="0" applyFont="1" applyAlignment="1">
      <alignment horizontal="right"/>
    </xf>
    <xf numFmtId="0" fontId="6" fillId="0" borderId="20" xfId="0" applyFont="1" applyBorder="1" applyAlignment="1">
      <alignment horizontal="center" vertical="top"/>
    </xf>
    <xf numFmtId="0" fontId="10" fillId="0" borderId="0" xfId="0" applyFont="1" applyAlignment="1">
      <alignment horizontal="center" vertical="center"/>
    </xf>
    <xf numFmtId="0" fontId="5" fillId="0" borderId="0" xfId="0" applyFont="1" applyAlignment="1">
      <alignment horizontal="left"/>
    </xf>
    <xf numFmtId="0" fontId="21"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7"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0" fontId="10" fillId="0" borderId="0" xfId="0" applyFont="1" applyAlignment="1" applyProtection="1">
      <alignment horizontal="right" vertic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0" fillId="0" borderId="18" xfId="0" applyBorder="1" applyAlignment="1" applyProtection="1">
      <alignment horizontal="left"/>
      <protection locked="0"/>
    </xf>
    <xf numFmtId="0" fontId="28" fillId="0" borderId="18" xfId="0" applyFont="1" applyBorder="1" applyAlignment="1" applyProtection="1">
      <alignment horizontal="left"/>
      <protection locked="0"/>
    </xf>
    <xf numFmtId="0" fontId="8" fillId="0" borderId="5" xfId="0" applyFont="1" applyBorder="1" applyAlignment="1" applyProtection="1">
      <alignment horizontal="left"/>
      <protection locked="0"/>
    </xf>
    <xf numFmtId="0" fontId="7" fillId="0" borderId="18" xfId="0" applyFont="1" applyFill="1" applyBorder="1" applyAlignment="1" applyProtection="1">
      <alignment horizontal="center" wrapText="1"/>
      <protection locked="0"/>
    </xf>
    <xf numFmtId="168" fontId="10" fillId="0" borderId="18" xfId="0" applyNumberFormat="1" applyFont="1" applyBorder="1" applyAlignment="1" applyProtection="1">
      <alignment horizontal="left"/>
      <protection locked="0"/>
    </xf>
    <xf numFmtId="169" fontId="12" fillId="0" borderId="5" xfId="0" applyNumberFormat="1" applyFont="1" applyBorder="1" applyAlignment="1" applyProtection="1">
      <alignment horizontal="left"/>
      <protection locked="0"/>
    </xf>
    <xf numFmtId="0" fontId="10" fillId="0" borderId="5" xfId="0" applyFont="1" applyBorder="1" applyAlignment="1" applyProtection="1">
      <alignment horizontal="left"/>
      <protection locked="0"/>
    </xf>
    <xf numFmtId="167" fontId="12" fillId="0" borderId="20" xfId="0" applyNumberFormat="1" applyFont="1" applyBorder="1" applyAlignment="1">
      <alignment horizontal="center" vertical="center"/>
    </xf>
    <xf numFmtId="0" fontId="12" fillId="0" borderId="18" xfId="0" applyFont="1" applyBorder="1" applyAlignment="1" applyProtection="1">
      <alignment horizontal="left"/>
      <protection locked="0"/>
    </xf>
    <xf numFmtId="168" fontId="10" fillId="0" borderId="0" xfId="0" applyNumberFormat="1" applyFont="1" applyBorder="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protection locked="0"/>
    </xf>
    <xf numFmtId="0" fontId="5" fillId="0" borderId="22" xfId="0" applyFont="1" applyBorder="1" applyAlignment="1">
      <alignment horizontal="right"/>
    </xf>
    <xf numFmtId="0" fontId="0" fillId="0" borderId="18" xfId="0" applyBorder="1" applyAlignment="1">
      <alignment horizontal="right"/>
    </xf>
    <xf numFmtId="0" fontId="0" fillId="0" borderId="8" xfId="0" applyBorder="1" applyAlignment="1">
      <alignment horizontal="right"/>
    </xf>
    <xf numFmtId="15" fontId="0" fillId="0" borderId="22" xfId="0" applyNumberFormat="1" applyBorder="1" applyAlignment="1">
      <alignment horizontal="left"/>
    </xf>
    <xf numFmtId="0" fontId="0" fillId="0" borderId="18" xfId="0" applyBorder="1" applyAlignment="1">
      <alignment horizontal="left"/>
    </xf>
    <xf numFmtId="0" fontId="0" fillId="0" borderId="8" xfId="0" applyBorder="1" applyAlignment="1">
      <alignment horizontal="left"/>
    </xf>
    <xf numFmtId="0" fontId="10" fillId="0" borderId="18" xfId="0" applyFont="1" applyBorder="1" applyProtection="1">
      <protection locked="0"/>
    </xf>
    <xf numFmtId="168" fontId="10" fillId="0" borderId="18" xfId="0" applyNumberFormat="1" applyFont="1" applyBorder="1" applyAlignment="1" applyProtection="1">
      <alignment horizontal="center"/>
      <protection locked="0"/>
    </xf>
    <xf numFmtId="0" fontId="6" fillId="0" borderId="0" xfId="0" applyFont="1" applyBorder="1" applyAlignment="1" applyProtection="1">
      <alignment horizontal="center" wrapText="1"/>
    </xf>
    <xf numFmtId="0" fontId="5" fillId="0" borderId="0" xfId="0" applyFont="1" applyBorder="1" applyAlignment="1">
      <alignment horizontal="right" vertical="top"/>
    </xf>
    <xf numFmtId="0" fontId="0" fillId="0" borderId="0" xfId="0" applyBorder="1" applyAlignment="1">
      <alignment horizontal="right" vertical="top"/>
    </xf>
    <xf numFmtId="0" fontId="19" fillId="0" borderId="0" xfId="0" applyFont="1" applyBorder="1" applyAlignment="1">
      <alignment horizontal="center"/>
    </xf>
    <xf numFmtId="168" fontId="10" fillId="0" borderId="18" xfId="0" applyNumberFormat="1" applyFont="1" applyBorder="1" applyAlignment="1">
      <alignment horizontal="center"/>
    </xf>
    <xf numFmtId="0" fontId="7" fillId="0" borderId="18" xfId="0" applyFont="1" applyFill="1" applyBorder="1" applyAlignment="1" applyProtection="1">
      <alignment horizontal="left" wrapText="1"/>
      <protection locked="0"/>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15">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border>
        <left/>
        <right/>
        <top/>
        <bottom/>
      </border>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7243A14B-4D96-E346-B75C-AEE5C2592045}"/>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5EEAACE2-AD57-BD48-BB33-9A5E9F368AED}"/>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3"/>
  <sheetViews>
    <sheetView showGridLines="0" tabSelected="1" zoomScale="140" zoomScaleNormal="140" zoomScalePageLayoutView="135" workbookViewId="0">
      <selection activeCell="G20" sqref="G20"/>
    </sheetView>
  </sheetViews>
  <sheetFormatPr baseColWidth="10" defaultColWidth="8.83203125" defaultRowHeight="13" x14ac:dyDescent="0.15"/>
  <cols>
    <col min="1" max="1" width="16.5" style="2" customWidth="1"/>
    <col min="2" max="2" width="10.83203125" customWidth="1"/>
    <col min="3" max="3" width="1" style="3"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168" t="s">
        <v>89</v>
      </c>
      <c r="B1" s="168"/>
      <c r="C1" s="168"/>
      <c r="D1" s="168"/>
      <c r="E1" s="168"/>
      <c r="F1" s="168"/>
      <c r="G1" s="168"/>
      <c r="H1" s="92" t="s">
        <v>83</v>
      </c>
      <c r="Q1" s="170" t="s">
        <v>87</v>
      </c>
      <c r="R1" s="170"/>
      <c r="S1" s="170"/>
      <c r="T1" s="170"/>
      <c r="U1" s="170"/>
      <c r="V1" s="170"/>
      <c r="W1" s="170"/>
      <c r="X1" s="170"/>
      <c r="Y1" s="170"/>
      <c r="Z1" s="170"/>
      <c r="AA1" s="170"/>
      <c r="AB1" s="170"/>
      <c r="AC1" s="170"/>
      <c r="AD1" s="170"/>
      <c r="AE1" s="170"/>
      <c r="AF1" s="170"/>
      <c r="AG1" s="155"/>
    </row>
    <row r="2" spans="1:33" ht="13" customHeight="1" thickBot="1" x14ac:dyDescent="0.2">
      <c r="H2" s="93"/>
      <c r="I2" s="93"/>
      <c r="Q2" s="170"/>
      <c r="R2" s="170"/>
      <c r="S2" s="170"/>
      <c r="T2" s="170"/>
      <c r="U2" s="170"/>
      <c r="V2" s="170"/>
      <c r="W2" s="170"/>
      <c r="X2" s="170"/>
      <c r="Y2" s="170"/>
      <c r="Z2" s="170"/>
      <c r="AA2" s="170"/>
      <c r="AB2" s="170"/>
      <c r="AC2" s="170"/>
      <c r="AD2" s="170"/>
      <c r="AE2" s="170"/>
      <c r="AF2" s="170"/>
      <c r="AG2" s="155"/>
    </row>
    <row r="3" spans="1:33" s="107" customFormat="1" ht="13" customHeight="1" thickBot="1" x14ac:dyDescent="0.2">
      <c r="A3" s="105" t="s">
        <v>82</v>
      </c>
      <c r="B3" s="139">
        <v>45163</v>
      </c>
      <c r="C3" s="106"/>
      <c r="D3" s="106"/>
      <c r="G3" s="106"/>
      <c r="H3" s="108"/>
      <c r="I3" s="108"/>
      <c r="Q3" s="170"/>
      <c r="R3" s="170"/>
      <c r="S3" s="170"/>
      <c r="T3" s="170"/>
      <c r="U3" s="170"/>
      <c r="V3" s="170"/>
      <c r="W3" s="170"/>
      <c r="X3" s="170"/>
      <c r="Y3" s="170"/>
      <c r="Z3" s="170"/>
      <c r="AA3" s="170"/>
      <c r="AB3" s="170"/>
      <c r="AC3" s="170"/>
      <c r="AD3" s="170"/>
      <c r="AE3" s="170"/>
      <c r="AF3" s="170"/>
      <c r="AG3" s="155"/>
    </row>
    <row r="4" spans="1:33" ht="13" customHeight="1" x14ac:dyDescent="0.15">
      <c r="A4" s="89" t="s">
        <v>84</v>
      </c>
      <c r="B4" s="104">
        <v>45170</v>
      </c>
      <c r="C4" s="91"/>
      <c r="D4" s="91"/>
      <c r="G4" s="91"/>
      <c r="H4" s="93"/>
      <c r="I4" s="93"/>
      <c r="Q4" s="170"/>
      <c r="R4" s="170"/>
      <c r="S4" s="170"/>
      <c r="T4" s="170"/>
      <c r="U4" s="170"/>
      <c r="V4" s="170"/>
      <c r="W4" s="170"/>
      <c r="X4" s="170"/>
      <c r="Y4" s="170"/>
      <c r="Z4" s="170"/>
      <c r="AA4" s="170"/>
      <c r="AB4" s="170"/>
      <c r="AC4" s="170"/>
      <c r="AD4" s="170"/>
      <c r="AE4" s="170"/>
      <c r="AF4" s="170"/>
      <c r="AG4" s="155"/>
    </row>
    <row r="5" spans="1:33" ht="7" customHeight="1" thickBot="1" x14ac:dyDescent="0.2">
      <c r="H5" s="93"/>
      <c r="I5" s="93"/>
      <c r="Q5" s="155"/>
      <c r="R5" s="155"/>
      <c r="S5" s="155"/>
      <c r="T5" s="155"/>
      <c r="U5" s="155"/>
      <c r="V5" s="155"/>
      <c r="W5" s="155"/>
      <c r="X5" s="155"/>
      <c r="Y5" s="155"/>
      <c r="Z5" s="155"/>
      <c r="AA5" s="155"/>
      <c r="AB5" s="155"/>
      <c r="AC5" s="155"/>
      <c r="AD5" s="155"/>
      <c r="AE5" s="155"/>
      <c r="AF5" s="155"/>
      <c r="AG5" s="155"/>
    </row>
    <row r="6" spans="1:33" ht="18" x14ac:dyDescent="0.2">
      <c r="A6" s="11" t="s">
        <v>18</v>
      </c>
      <c r="B6" s="68">
        <v>200</v>
      </c>
      <c r="C6">
        <f>IF(Brevet_Length&gt;=1200,Brevet_Length,IF(Brevet_Length&gt;=1000,1000,IF(Brevet_Length&gt;=600,600,IF(Brevet_Length&gt;=400,400,IF(Brevet_Length&gt;=300,300,IF(Brevet_Length&gt;=200,200,100))))))</f>
        <v>200</v>
      </c>
      <c r="J6" s="174" t="s">
        <v>63</v>
      </c>
      <c r="K6" s="174"/>
      <c r="Q6" s="153" t="s">
        <v>64</v>
      </c>
      <c r="R6" s="153"/>
      <c r="S6" s="153"/>
      <c r="T6" s="153"/>
      <c r="U6" s="153"/>
      <c r="V6" s="153"/>
      <c r="W6" s="153"/>
      <c r="X6" s="154"/>
      <c r="Y6" s="154"/>
      <c r="Z6" s="154"/>
    </row>
    <row r="7" spans="1:33" ht="14" x14ac:dyDescent="0.15">
      <c r="A7" s="12" t="s">
        <v>19</v>
      </c>
      <c r="B7" s="151">
        <f>IF(brevet=1200,90,IF(brevet=1000,75,IF(brevet=600,40,IF(brevet=400,27,IF(brevet=300,20,IF(brevet=200,13.5,IF(brevet&lt;200,L7,0)))))))</f>
        <v>13.5</v>
      </c>
      <c r="L7">
        <f>IF(Brevet_Length=150,10.5,IF(Brevet_Length=100,7,IF(Brevet_Length=50,3.5,IF(Brevet_Length=25, 2,0))))</f>
        <v>0</v>
      </c>
      <c r="Q7" s="154" t="s">
        <v>65</v>
      </c>
      <c r="R7" s="154"/>
      <c r="S7" s="154"/>
      <c r="T7" s="154"/>
      <c r="U7" s="154"/>
      <c r="V7" s="154"/>
      <c r="W7" s="154"/>
      <c r="X7" s="154"/>
      <c r="Y7" s="154"/>
      <c r="Z7" s="154"/>
    </row>
    <row r="8" spans="1:33" ht="18" x14ac:dyDescent="0.2">
      <c r="A8" s="150" t="s">
        <v>20</v>
      </c>
      <c r="B8" s="169" t="s">
        <v>103</v>
      </c>
      <c r="C8" s="169"/>
      <c r="D8" s="169"/>
      <c r="E8" s="169"/>
      <c r="F8" s="169"/>
      <c r="G8" s="152"/>
      <c r="H8" s="152"/>
      <c r="I8" s="26"/>
      <c r="J8" s="26"/>
      <c r="K8" s="26"/>
      <c r="O8" s="27"/>
      <c r="P8" s="27"/>
      <c r="Q8" s="153" t="s">
        <v>66</v>
      </c>
      <c r="R8" s="154"/>
      <c r="S8" s="154"/>
      <c r="T8" s="154"/>
      <c r="U8" s="154"/>
      <c r="V8" s="154"/>
      <c r="W8" s="154"/>
      <c r="X8" s="154"/>
      <c r="Y8" s="154"/>
      <c r="Z8" s="154"/>
    </row>
    <row r="9" spans="1:33" ht="18" x14ac:dyDescent="0.2">
      <c r="A9" s="12" t="s">
        <v>21</v>
      </c>
      <c r="B9" s="69">
        <v>5277</v>
      </c>
      <c r="C9" s="23"/>
      <c r="F9" s="24"/>
      <c r="G9" s="24"/>
      <c r="H9" s="24"/>
      <c r="I9" s="24"/>
      <c r="J9" s="24"/>
      <c r="K9" s="24"/>
      <c r="Q9" s="153" t="s">
        <v>67</v>
      </c>
      <c r="R9" s="154"/>
      <c r="S9" s="154"/>
      <c r="T9" s="154"/>
      <c r="U9" s="154"/>
      <c r="V9" s="154"/>
      <c r="W9" s="154"/>
      <c r="X9" s="154"/>
      <c r="Y9" s="154"/>
      <c r="Z9" s="154"/>
    </row>
    <row r="10" spans="1:33" ht="18" x14ac:dyDescent="0.2">
      <c r="A10" s="47" t="s">
        <v>48</v>
      </c>
      <c r="B10" s="70">
        <v>45178</v>
      </c>
      <c r="E10" s="147" t="s">
        <v>100</v>
      </c>
      <c r="F10" s="149">
        <v>2507923126</v>
      </c>
      <c r="Q10" s="153" t="s">
        <v>68</v>
      </c>
      <c r="R10" s="154"/>
      <c r="S10" s="154"/>
      <c r="T10" s="154"/>
      <c r="U10" s="154"/>
      <c r="V10" s="154"/>
      <c r="W10" s="154"/>
      <c r="X10" s="154"/>
      <c r="Y10" s="154"/>
      <c r="Z10" s="154"/>
    </row>
    <row r="11" spans="1:33" ht="6" customHeight="1" x14ac:dyDescent="0.15">
      <c r="B11" s="94"/>
      <c r="Q11" s="154"/>
      <c r="R11" s="154"/>
      <c r="S11" s="154"/>
      <c r="T11" s="154"/>
      <c r="U11" s="154"/>
      <c r="V11" s="154"/>
      <c r="W11" s="154"/>
      <c r="X11" s="154"/>
      <c r="Y11" s="154"/>
      <c r="Z11" s="154"/>
    </row>
    <row r="12" spans="1:33" ht="18" customHeight="1" thickBot="1" x14ac:dyDescent="0.25">
      <c r="A12" s="87" t="s">
        <v>22</v>
      </c>
      <c r="B12" s="88">
        <v>45178</v>
      </c>
      <c r="Q12" s="153" t="s">
        <v>76</v>
      </c>
      <c r="R12" s="154"/>
      <c r="S12" s="154"/>
      <c r="T12" s="154"/>
      <c r="U12" s="154"/>
      <c r="V12" s="154"/>
      <c r="W12" s="154"/>
      <c r="X12" s="154"/>
      <c r="Y12" s="154"/>
      <c r="Z12" s="154"/>
    </row>
    <row r="13" spans="1:33" ht="19" thickBot="1" x14ac:dyDescent="0.25">
      <c r="A13" s="10" t="s">
        <v>23</v>
      </c>
      <c r="B13" s="71">
        <v>0.29166666666666669</v>
      </c>
      <c r="D13" s="171" t="s">
        <v>81</v>
      </c>
      <c r="E13" s="172"/>
      <c r="F13" s="172"/>
      <c r="G13" s="172"/>
      <c r="H13" s="172"/>
      <c r="I13" s="175" t="s">
        <v>71</v>
      </c>
      <c r="J13" s="172"/>
      <c r="K13" s="173"/>
      <c r="Q13" s="153" t="s">
        <v>75</v>
      </c>
      <c r="R13" s="154"/>
      <c r="S13" s="154"/>
      <c r="T13" s="154"/>
      <c r="U13" s="154"/>
      <c r="V13" s="154"/>
      <c r="W13" s="154"/>
      <c r="X13" s="154"/>
      <c r="Y13" s="154"/>
      <c r="Z13" s="154"/>
    </row>
    <row r="14" spans="1:33" ht="15" thickBot="1" x14ac:dyDescent="0.2">
      <c r="D14" s="6" t="s">
        <v>24</v>
      </c>
      <c r="E14" s="7" t="s">
        <v>25</v>
      </c>
      <c r="F14" s="62" t="s">
        <v>26</v>
      </c>
      <c r="G14" s="62" t="s">
        <v>27</v>
      </c>
      <c r="H14" s="63" t="s">
        <v>28</v>
      </c>
      <c r="I14" s="7" t="s">
        <v>60</v>
      </c>
      <c r="J14" s="7" t="s">
        <v>61</v>
      </c>
      <c r="K14" s="8" t="s">
        <v>62</v>
      </c>
      <c r="L14" t="s">
        <v>3</v>
      </c>
      <c r="M14" t="s">
        <v>4</v>
      </c>
      <c r="N14" t="s">
        <v>5</v>
      </c>
      <c r="O14" t="s">
        <v>6</v>
      </c>
      <c r="Q14" s="153" t="s">
        <v>101</v>
      </c>
      <c r="R14" s="154"/>
      <c r="S14" s="154"/>
      <c r="T14" s="154"/>
      <c r="U14" s="154"/>
      <c r="V14" s="154"/>
      <c r="W14" s="154"/>
      <c r="X14" s="154"/>
      <c r="Y14" s="154"/>
      <c r="Z14" s="154"/>
    </row>
    <row r="15" spans="1:33" ht="17" customHeight="1" x14ac:dyDescent="0.15">
      <c r="C15" s="3" t="s">
        <v>7</v>
      </c>
      <c r="D15" s="25">
        <v>0</v>
      </c>
      <c r="E15" s="73" t="s">
        <v>104</v>
      </c>
      <c r="F15" s="74" t="s">
        <v>105</v>
      </c>
      <c r="G15" s="74" t="s">
        <v>106</v>
      </c>
      <c r="H15" s="75"/>
      <c r="I15" s="74"/>
      <c r="J15" s="74"/>
      <c r="K15" s="75"/>
      <c r="L15" s="4">
        <f>Start_date+Start_time</f>
        <v>45178.291666666664</v>
      </c>
      <c r="M15" s="4">
        <f>L15+"1:00"</f>
        <v>45178.333333333328</v>
      </c>
      <c r="N15" s="5">
        <f>IF(ISBLANK(Distance),"",Open Control_1)</f>
        <v>45178.291666666664</v>
      </c>
      <c r="O15" s="5">
        <f>IF(ISBLANK(Distance),"",Close Control_1)</f>
        <v>45178.333333333328</v>
      </c>
      <c r="Q15" s="153" t="s">
        <v>69</v>
      </c>
      <c r="R15" s="154"/>
      <c r="S15" s="154"/>
      <c r="T15" s="154"/>
      <c r="U15" s="154"/>
      <c r="V15" s="154"/>
      <c r="W15" s="154"/>
      <c r="X15" s="154"/>
      <c r="Y15" s="154"/>
      <c r="Z15" s="154"/>
    </row>
    <row r="16" spans="1:33" ht="17" customHeight="1" x14ac:dyDescent="0.15">
      <c r="B16" s="80"/>
      <c r="C16" s="3" t="s">
        <v>8</v>
      </c>
      <c r="D16" s="25">
        <v>12.7</v>
      </c>
      <c r="E16" s="73" t="s">
        <v>107</v>
      </c>
      <c r="F16" s="74" t="s">
        <v>118</v>
      </c>
      <c r="G16" s="74" t="s">
        <v>128</v>
      </c>
      <c r="H16" s="75" t="s">
        <v>119</v>
      </c>
      <c r="I16" s="74" t="s">
        <v>129</v>
      </c>
      <c r="J16" s="74" t="s">
        <v>130</v>
      </c>
      <c r="K16" s="75"/>
      <c r="L16">
        <f>IF(ISBLANK(Distance),"",IF(Distance&gt;1000,(Distance-1000)/26+33.0847,(IF(Distance&gt;600,(Distance-600)/28+18.799,(IF(Distance&gt;400,(Distance-400)/30+12.1324,(IF(Distance&gt;200,(Distance-200)/32+5.8824,Distance/34))))))))</f>
        <v>0.37352941176470589</v>
      </c>
      <c r="M16">
        <f>IF(ISBLANK(Distance),"",IF(Distance&gt;=brevet,D16200IF(brevet&gt;1200,(brevet-1200)*75/1000+90,Max_time),IF(Distance&gt;1200,(Distance-1200)*75/1000+90,IF(Distance&gt;1000,(Distance-1000)/(1000/75)+75,IF(Distance&gt;600,(Distance-600)/(400/35)+40,IF(Distance&lt;=60,(Distance/20+1),Distance/15))))))</f>
        <v>1.635</v>
      </c>
      <c r="N16" s="5">
        <f>IF(ISBLANK(Distance),"",Open_time Control_1+(INT(Open)&amp;":"&amp;IF(ROUND(((Open-INT(Open))*60),0)&lt;10,0,"")&amp;ROUND(((Open-INT(Open))*60),0)))</f>
        <v>45178.306944444441</v>
      </c>
      <c r="O16" s="5">
        <f>IF(ISBLANK(Distance),"",Open_time Control_1+(INT(Close)&amp;":"&amp;IF(ROUND(((Close-INT(Close))*60),0)&lt;10,0,"")&amp;ROUND(((Close-INT(Close))*60),0)))</f>
        <v>45178.359722222223</v>
      </c>
      <c r="Q16" s="153" t="s">
        <v>102</v>
      </c>
      <c r="R16" s="154"/>
      <c r="S16" s="154"/>
      <c r="T16" s="154"/>
      <c r="U16" s="154"/>
      <c r="V16" s="154"/>
      <c r="W16" s="154"/>
      <c r="X16" s="154"/>
      <c r="Y16" s="154"/>
      <c r="Z16" s="154"/>
    </row>
    <row r="17" spans="2:26" ht="17" customHeight="1" x14ac:dyDescent="0.15">
      <c r="B17" s="80"/>
      <c r="C17" s="3" t="s">
        <v>9</v>
      </c>
      <c r="D17" s="25">
        <v>40</v>
      </c>
      <c r="E17" s="73" t="s">
        <v>108</v>
      </c>
      <c r="F17" s="74" t="s">
        <v>105</v>
      </c>
      <c r="G17" s="74" t="s">
        <v>114</v>
      </c>
      <c r="H17" s="75" t="s">
        <v>120</v>
      </c>
      <c r="I17" s="74"/>
      <c r="J17" s="74"/>
      <c r="K17" s="75"/>
      <c r="L17">
        <f>IF(ISBLANK(Distance),"",IF(Distance&gt;1000,(Distance-1000)/26+33.0847,(IF(Distance&gt;600,(Distance-600)/28+18.799,(IF(Distance&gt;400,(Distance-400)/30+12.1324,(IF(Distance&gt;200,(Distance-200)/32+5.8824,Distance/34))))))))</f>
        <v>1.1764705882352942</v>
      </c>
      <c r="M17">
        <f t="shared" ref="M17:M24" si="0">IF(ISBLANK(Distance),"",IF(Distance&gt;=brevet,IF(brevet&gt;1200,(brevet-1200)*75/1000+90,Max_time),IF(Distance&gt;1200,(Distance-1200)*75/1000+90,IF(Distance&gt;1000,(Distance-1000)/(1000/75)+75,IF(Distance&gt;600,(Distance-600)/(400/35)+40,IF(Distance&lt;=60,(Distance/20+1),Distance/15))))))</f>
        <v>3</v>
      </c>
      <c r="N17" s="5">
        <f>IF(ISBLANK(Distance),"",Open_time Control_1+(INT(Open)&amp;":"&amp;IF(ROUND(((Open-INT(Open))*60),0)&lt;10,0,"")&amp;ROUND(((Open-INT(Open))*60),0)))</f>
        <v>45178.34097222222</v>
      </c>
      <c r="O17" s="5">
        <f>IF(ISBLANK(Distance),"",Open_time Control_1+(INT(Close)&amp;":"&amp;IF(ROUND(((Close-INT(Close))*60),0)&lt;10,0,"")&amp;ROUND(((Close-INT(Close))*60),0)))</f>
        <v>45178.416666666664</v>
      </c>
      <c r="Q17" s="153" t="s">
        <v>70</v>
      </c>
      <c r="R17" s="154"/>
      <c r="S17" s="154"/>
      <c r="T17" s="154"/>
      <c r="U17" s="154"/>
      <c r="V17" s="154"/>
      <c r="W17" s="154"/>
      <c r="X17" s="154"/>
      <c r="Y17" s="154"/>
      <c r="Z17" s="154"/>
    </row>
    <row r="18" spans="2:26" ht="17" customHeight="1" x14ac:dyDescent="0.15">
      <c r="B18" s="80"/>
      <c r="C18" s="3" t="s">
        <v>10</v>
      </c>
      <c r="D18" s="25">
        <v>79.900000000000006</v>
      </c>
      <c r="E18" s="73" t="s">
        <v>109</v>
      </c>
      <c r="F18" s="74" t="s">
        <v>118</v>
      </c>
      <c r="G18" s="74" t="s">
        <v>127</v>
      </c>
      <c r="H18" s="75"/>
      <c r="I18" s="74" t="s">
        <v>131</v>
      </c>
      <c r="J18" s="74"/>
      <c r="K18" s="75" t="s">
        <v>140</v>
      </c>
      <c r="L18">
        <f t="shared" ref="L18:L24" si="1">IF(ISBLANK(Distance),"",IF(Distance&gt;1000,(Distance-1000)/26+33.0847,(IF(Distance&gt;600,(Distance-600)/28+18.799,(IF(Distance&gt;400,(Distance-400)/30+12.1324,(IF(Distance&gt;200,(Distance-200)/32+5.8824,Distance/34))))))))</f>
        <v>2.35</v>
      </c>
      <c r="M18">
        <f t="shared" si="0"/>
        <v>5.3266666666666671</v>
      </c>
      <c r="N18" s="5">
        <f>IF(ISBLANK(Distance),"",Open_time Control_1+(INT(Open)&amp;":"&amp;IF(ROUND(((Open-INT(Open))*60),0)&lt;10,0,"")&amp;ROUND(((Open-INT(Open))*60),0)))</f>
        <v>45178.38958333333</v>
      </c>
      <c r="O18" s="5">
        <f>IF(ISBLANK(Distance),"",Open_time Control_1+(INT(Close)&amp;":"&amp;IF(ROUND(((Close-INT(Close))*60),0)&lt;10,0,"")&amp;ROUND(((Close-INT(Close))*60),0)))</f>
        <v>45178.513888888883</v>
      </c>
    </row>
    <row r="19" spans="2:26" ht="17" customHeight="1" x14ac:dyDescent="0.15">
      <c r="B19" s="80"/>
      <c r="C19" s="3" t="s">
        <v>11</v>
      </c>
      <c r="D19" s="25">
        <v>89.9</v>
      </c>
      <c r="E19" s="73" t="s">
        <v>126</v>
      </c>
      <c r="F19" s="74" t="s">
        <v>118</v>
      </c>
      <c r="G19" s="74" t="s">
        <v>121</v>
      </c>
      <c r="H19" s="75" t="s">
        <v>122</v>
      </c>
      <c r="I19" s="74" t="s">
        <v>135</v>
      </c>
      <c r="J19" s="74" t="s">
        <v>132</v>
      </c>
      <c r="K19" s="75" t="s">
        <v>139</v>
      </c>
      <c r="L19">
        <f t="shared" si="1"/>
        <v>2.6441176470588239</v>
      </c>
      <c r="M19">
        <f t="shared" si="0"/>
        <v>5.9933333333333341</v>
      </c>
      <c r="N19" s="5">
        <f>IF(ISBLANK(Distance),"",Open_time Control_1+(INT(Open)&amp;":"&amp;IF(ROUND(((Open-INT(Open))*60),0)&lt;10,0,"")&amp;ROUND(((Open-INT(Open))*60),0)))</f>
        <v>45178.402083333334</v>
      </c>
      <c r="O19" s="5">
        <f>IF(ISBLANK(Distance),"",Open_time Control_1+(INT(Close)&amp;":"&amp;IF(ROUND(((Close-INT(Close))*60),0)&lt;10,0,"")&amp;ROUND(((Close-INT(Close))*60),0)))</f>
        <v>45178.541666666664</v>
      </c>
      <c r="Q19" s="85"/>
    </row>
    <row r="20" spans="2:26" ht="17" customHeight="1" x14ac:dyDescent="0.15">
      <c r="B20" s="80"/>
      <c r="C20" s="3" t="s">
        <v>12</v>
      </c>
      <c r="D20" s="25">
        <v>100.5</v>
      </c>
      <c r="E20" s="73" t="s">
        <v>110</v>
      </c>
      <c r="F20" s="74" t="s">
        <v>105</v>
      </c>
      <c r="G20" s="74" t="s">
        <v>141</v>
      </c>
      <c r="H20" s="75"/>
      <c r="I20" s="74"/>
      <c r="J20" s="74"/>
      <c r="K20" s="75"/>
      <c r="L20">
        <f t="shared" si="1"/>
        <v>2.9558823529411766</v>
      </c>
      <c r="M20">
        <f t="shared" si="0"/>
        <v>6.7</v>
      </c>
      <c r="N20" s="5">
        <f>IF(ISBLANK(Distance),"",Open_time Control_1+(INT(Open)&amp;":"&amp;IF(ROUND(((Open-INT(Open))*60),0)&lt;10,0,"")&amp;ROUND(((Open-INT(Open))*60),0)))</f>
        <v>45178.414583333331</v>
      </c>
      <c r="O20" s="5">
        <f>IF(ISBLANK(Distance),"",Open_time Control_1+(INT(Close)&amp;":"&amp;IF(ROUND(((Close-INT(Close))*60),0)&lt;10,0,"")&amp;ROUND(((Close-INT(Close))*60),0)))</f>
        <v>45178.570833333331</v>
      </c>
    </row>
    <row r="21" spans="2:26" ht="17" customHeight="1" x14ac:dyDescent="0.15">
      <c r="B21" s="80"/>
      <c r="C21" s="3" t="s">
        <v>13</v>
      </c>
      <c r="D21" s="25">
        <v>136.4</v>
      </c>
      <c r="E21" s="73" t="s">
        <v>111</v>
      </c>
      <c r="F21" s="74" t="s">
        <v>115</v>
      </c>
      <c r="G21" s="74" t="s">
        <v>116</v>
      </c>
      <c r="H21" s="75" t="s">
        <v>117</v>
      </c>
      <c r="I21" s="74"/>
      <c r="J21" s="74"/>
      <c r="K21" s="75"/>
      <c r="L21">
        <f t="shared" si="1"/>
        <v>4.0117647058823529</v>
      </c>
      <c r="M21">
        <f t="shared" si="0"/>
        <v>9.0933333333333337</v>
      </c>
      <c r="N21" s="5">
        <f>IF(ISBLANK(Distance),"",Open_time Control_1+(INT(Open)&amp;":"&amp;IF(ROUND(((Open-INT(Open))*60),0)&lt;10,0,"")&amp;ROUND(((Open-INT(Open))*60),0)))</f>
        <v>45178.459027777775</v>
      </c>
      <c r="O21" s="5">
        <f>IF(ISBLANK(Distance),"",Open_time Control_1+(INT(Close)&amp;":"&amp;IF(ROUND(((Close-INT(Close))*60),0)&lt;10,0,"")&amp;ROUND(((Close-INT(Close))*60),0)))</f>
        <v>45178.67083333333</v>
      </c>
    </row>
    <row r="22" spans="2:26" ht="17" customHeight="1" x14ac:dyDescent="0.15">
      <c r="B22" s="80"/>
      <c r="C22" s="3" t="s">
        <v>14</v>
      </c>
      <c r="D22" s="25">
        <v>175.3</v>
      </c>
      <c r="E22" s="73" t="s">
        <v>112</v>
      </c>
      <c r="F22" s="74" t="s">
        <v>118</v>
      </c>
      <c r="G22" s="74" t="s">
        <v>123</v>
      </c>
      <c r="H22" s="75" t="s">
        <v>124</v>
      </c>
      <c r="I22" s="74" t="s">
        <v>133</v>
      </c>
      <c r="J22" s="74" t="s">
        <v>134</v>
      </c>
      <c r="K22" s="75"/>
      <c r="L22">
        <f t="shared" si="1"/>
        <v>5.1558823529411768</v>
      </c>
      <c r="M22">
        <f t="shared" si="0"/>
        <v>11.686666666666667</v>
      </c>
      <c r="N22" s="5">
        <f>IF(ISBLANK(Distance),"",Open_time Control_1+(INT(Open)&amp;":"&amp;IF(ROUND(((Open-INT(Open))*60),0)&lt;10,0,"")&amp;ROUND(((Open-INT(Open))*60),0)))</f>
        <v>45178.506249999999</v>
      </c>
      <c r="O22" s="5">
        <f>IF(ISBLANK(Distance),"",Open_time Control_1+(INT(Close)&amp;":"&amp;IF(ROUND(((Close-INT(Close))*60),0)&lt;10,0,"")&amp;ROUND(((Close-INT(Close))*60),0)))</f>
        <v>45178.77847222222</v>
      </c>
    </row>
    <row r="23" spans="2:26" ht="17" customHeight="1" x14ac:dyDescent="0.15">
      <c r="B23" s="80"/>
      <c r="C23" s="3" t="s">
        <v>15</v>
      </c>
      <c r="D23" s="25">
        <v>189.2</v>
      </c>
      <c r="E23" s="73" t="s">
        <v>113</v>
      </c>
      <c r="F23" s="74" t="s">
        <v>118</v>
      </c>
      <c r="G23" s="74" t="s">
        <v>123</v>
      </c>
      <c r="H23" s="75" t="s">
        <v>125</v>
      </c>
      <c r="I23" s="74" t="s">
        <v>136</v>
      </c>
      <c r="J23" s="74" t="s">
        <v>137</v>
      </c>
      <c r="K23" s="75" t="s">
        <v>138</v>
      </c>
      <c r="L23">
        <f t="shared" si="1"/>
        <v>5.5647058823529409</v>
      </c>
      <c r="M23">
        <f t="shared" si="0"/>
        <v>12.613333333333333</v>
      </c>
      <c r="N23" s="5">
        <f>IF(ISBLANK(Distance),"",Open_time Control_1+(INT(Open)&amp;":"&amp;IF(ROUND(((Open-INT(Open))*60),0)&lt;10,0,"")&amp;ROUND(((Open-INT(Open))*60),0)))</f>
        <v>45178.523611111108</v>
      </c>
      <c r="O23" s="5">
        <f>IF(ISBLANK(Distance),"",Open_time Control_1+(INT(Close)&amp;":"&amp;IF(ROUND(((Close-INT(Close))*60),0)&lt;10,0,"")&amp;ROUND(((Close-INT(Close))*60),0)))</f>
        <v>45178.817361111105</v>
      </c>
    </row>
    <row r="24" spans="2:26" ht="17" customHeight="1" thickBot="1" x14ac:dyDescent="0.2">
      <c r="B24" s="80"/>
      <c r="C24" s="3" t="s">
        <v>16</v>
      </c>
      <c r="D24" s="51">
        <v>201.1</v>
      </c>
      <c r="E24" s="76" t="s">
        <v>104</v>
      </c>
      <c r="F24" s="74" t="s">
        <v>105</v>
      </c>
      <c r="G24" s="74" t="s">
        <v>106</v>
      </c>
      <c r="H24" s="75"/>
      <c r="I24" s="74"/>
      <c r="J24" s="74"/>
      <c r="K24" s="75"/>
      <c r="L24">
        <f t="shared" si="1"/>
        <v>5.9167749999999995</v>
      </c>
      <c r="M24">
        <f t="shared" si="0"/>
        <v>13.5</v>
      </c>
      <c r="N24" s="5">
        <f>IF(ISBLANK(Distance),"",Open_time Control_1+(INT(Open)&amp;":"&amp;IF(ROUND(((Open-INT(Open))*60),0)&lt;10,0,"")&amp;ROUND(((Open-INT(Open))*60),0)))</f>
        <v>45178.538194444445</v>
      </c>
      <c r="O24" s="5">
        <f>IF(ISBLANK(Distance),"",Open_time Control_1+(INT(Close)&amp;":"&amp;IF(ROUND(((Close-INT(Close))*60),0)&lt;10,0,"")&amp;ROUND(((Close-INT(Close))*60),0)))</f>
        <v>45178.854166666664</v>
      </c>
    </row>
    <row r="25" spans="2:26" ht="7" customHeight="1" thickBot="1" x14ac:dyDescent="0.25">
      <c r="D25" s="64"/>
      <c r="E25" s="65"/>
      <c r="F25" s="66"/>
      <c r="G25" s="66"/>
      <c r="H25" s="66"/>
      <c r="I25" s="66"/>
      <c r="J25" s="66"/>
      <c r="K25" s="67"/>
      <c r="N25" s="5"/>
      <c r="O25" s="5"/>
    </row>
    <row r="26" spans="2:26" ht="14" thickBot="1" x14ac:dyDescent="0.2">
      <c r="D26" s="171" t="s">
        <v>77</v>
      </c>
      <c r="E26" s="172"/>
      <c r="F26" s="172"/>
      <c r="G26" s="172"/>
      <c r="H26" s="172"/>
      <c r="I26" s="175" t="s">
        <v>72</v>
      </c>
      <c r="J26" s="172"/>
      <c r="K26" s="173"/>
    </row>
    <row r="27" spans="2:26" ht="14" thickBot="1" x14ac:dyDescent="0.2">
      <c r="D27" s="6" t="s">
        <v>24</v>
      </c>
      <c r="E27" s="7" t="s">
        <v>25</v>
      </c>
      <c r="F27" s="62" t="s">
        <v>26</v>
      </c>
      <c r="G27" s="62" t="s">
        <v>27</v>
      </c>
      <c r="H27" s="63" t="s">
        <v>28</v>
      </c>
      <c r="I27" s="7" t="s">
        <v>60</v>
      </c>
      <c r="J27" s="7" t="s">
        <v>61</v>
      </c>
      <c r="K27" s="8" t="s">
        <v>62</v>
      </c>
      <c r="L27" t="s">
        <v>3</v>
      </c>
      <c r="M27" t="s">
        <v>4</v>
      </c>
      <c r="N27" t="s">
        <v>5</v>
      </c>
      <c r="O27" t="s">
        <v>6</v>
      </c>
    </row>
    <row r="28" spans="2:26" ht="17" customHeight="1" x14ac:dyDescent="0.15">
      <c r="D28" s="25"/>
      <c r="E28" s="73"/>
      <c r="F28" s="74"/>
      <c r="G28" s="74"/>
      <c r="H28" s="75"/>
      <c r="I28" s="74"/>
      <c r="J28" s="74"/>
      <c r="K28" s="75"/>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5" t="str">
        <f>IF(ISBLANK(D28),"",Open_time Control_1+(INT(L28)&amp;":"&amp;IF(ROUND(((L28-INT(L28))*60),0)&lt;10,0,"")&amp;ROUND(((L28-INT(L28))*60),0)))</f>
        <v/>
      </c>
      <c r="O28" s="5" t="str">
        <f>IF(ISBLANK(D28),"",Open_time Control_1+(INT(M28)&amp;":"&amp;IF(ROUND(((M28-INT(M28))*60),0)&lt;10,0,"")&amp;ROUND(((M28-INT(M28))*60),0)))</f>
        <v/>
      </c>
    </row>
    <row r="29" spans="2:26" ht="17" customHeight="1" x14ac:dyDescent="0.15">
      <c r="D29" s="25"/>
      <c r="E29" s="73"/>
      <c r="F29" s="74"/>
      <c r="G29" s="74"/>
      <c r="H29" s="75"/>
      <c r="I29" s="74"/>
      <c r="J29" s="74"/>
      <c r="K29" s="75"/>
      <c r="L29" t="str">
        <f t="shared" ref="L29:L37" si="3">IF(ISBLANK(D29),"",IF(D29&gt;1000,(D29-1000)/26+33.0847,(IF(D29&gt;600,(D29-600)/28+18.799,(IF(D29&gt;400,(D29-400)/30+12.1324,(IF(D29&gt;200,(D29-200)/32+5.8824,D29/34))))))))</f>
        <v/>
      </c>
      <c r="M29" t="str">
        <f t="shared" si="2"/>
        <v/>
      </c>
      <c r="N29" s="5" t="str">
        <f>IF(ISBLANK(D29),"",Open_time Control_1+(INT(L29)&amp;":"&amp;IF(ROUND(((L29-INT(L29))*60),0)&lt;10,0,"")&amp;ROUND(((L29-INT(L29))*60),0)))</f>
        <v/>
      </c>
      <c r="O29" s="5" t="str">
        <f>IF(ISBLANK(D29),"",Open_time Control_1+(INT(M29)&amp;":"&amp;IF(ROUND(((M29-INT(M29))*60),0)&lt;10,0,"")&amp;ROUND(((M29-INT(M29))*60),0)))</f>
        <v/>
      </c>
    </row>
    <row r="30" spans="2:26" ht="17" customHeight="1" x14ac:dyDescent="0.15">
      <c r="D30" s="25"/>
      <c r="E30" s="73"/>
      <c r="F30" s="74"/>
      <c r="G30" s="74"/>
      <c r="H30" s="75"/>
      <c r="I30" s="74"/>
      <c r="J30" s="74"/>
      <c r="K30" s="75"/>
      <c r="L30" t="str">
        <f t="shared" si="3"/>
        <v/>
      </c>
      <c r="M30" t="str">
        <f t="shared" si="2"/>
        <v/>
      </c>
      <c r="N30" s="5" t="str">
        <f>IF(ISBLANK(D30),"",Open_time Control_1+(INT(L30)&amp;":"&amp;IF(ROUND(((L30-INT(L30))*60),0)&lt;10,0,"")&amp;ROUND(((L30-INT(L30))*60),0)))</f>
        <v/>
      </c>
      <c r="O30" s="5" t="str">
        <f>IF(ISBLANK(D30),"",Open_time Control_1+(INT(M30)&amp;":"&amp;IF(ROUND(((M30-INT(M30))*60),0)&lt;10,0,"")&amp;ROUND(((M30-INT(M30))*60),0)))</f>
        <v/>
      </c>
    </row>
    <row r="31" spans="2:26" ht="17" customHeight="1" x14ac:dyDescent="0.15">
      <c r="D31" s="25"/>
      <c r="E31" s="73"/>
      <c r="F31" s="74"/>
      <c r="G31" s="74"/>
      <c r="H31" s="75"/>
      <c r="I31" s="74"/>
      <c r="J31" s="74"/>
      <c r="K31" s="75"/>
      <c r="L31" t="str">
        <f t="shared" si="3"/>
        <v/>
      </c>
      <c r="M31" t="str">
        <f t="shared" si="2"/>
        <v/>
      </c>
      <c r="N31" s="5" t="str">
        <f>IF(ISBLANK(D31),"",Open_time Control_1+(INT(L31)&amp;":"&amp;IF(ROUND(((L31-INT(L31))*60),0)&lt;10,0,"")&amp;ROUND(((L31-INT(L31))*60),0)))</f>
        <v/>
      </c>
      <c r="O31" s="5" t="str">
        <f>IF(ISBLANK(D31),"",Open_time Control_1+(INT(M31)&amp;":"&amp;IF(ROUND(((M31-INT(M31))*60),0)&lt;10,0,"")&amp;ROUND(((M31-INT(M31))*60),0)))</f>
        <v/>
      </c>
    </row>
    <row r="32" spans="2:26" ht="17" customHeight="1" x14ac:dyDescent="0.15">
      <c r="D32" s="25"/>
      <c r="E32" s="73"/>
      <c r="F32" s="74"/>
      <c r="G32" s="74"/>
      <c r="H32" s="75"/>
      <c r="I32" s="74"/>
      <c r="J32" s="74"/>
      <c r="K32" s="75"/>
      <c r="L32" t="str">
        <f t="shared" si="3"/>
        <v/>
      </c>
      <c r="M32" t="str">
        <f t="shared" si="2"/>
        <v/>
      </c>
      <c r="N32" s="5" t="str">
        <f>IF(ISBLANK(D32),"",Open_time Control_1+(INT(L32)&amp;":"&amp;IF(ROUND(((L32-INT(L32))*60),0)&lt;10,0,"")&amp;ROUND(((L32-INT(L32))*60),0)))</f>
        <v/>
      </c>
      <c r="O32" s="5" t="str">
        <f>IF(ISBLANK(D32),"",Open_time Control_1+(INT(M32)&amp;":"&amp;IF(ROUND(((M32-INT(M32))*60),0)&lt;10,0,"")&amp;ROUND(((M32-INT(M32))*60),0)))</f>
        <v/>
      </c>
    </row>
    <row r="33" spans="4:15" ht="17" customHeight="1" x14ac:dyDescent="0.15">
      <c r="D33" s="25"/>
      <c r="E33" s="73"/>
      <c r="F33" s="74"/>
      <c r="G33" s="74"/>
      <c r="H33" s="75"/>
      <c r="I33" s="74"/>
      <c r="J33" s="74"/>
      <c r="K33" s="75"/>
      <c r="L33" t="str">
        <f t="shared" si="3"/>
        <v/>
      </c>
      <c r="M33" t="str">
        <f t="shared" si="2"/>
        <v/>
      </c>
      <c r="N33" s="5" t="str">
        <f>IF(ISBLANK(D33),"",Open_time Control_1+(INT(L33)&amp;":"&amp;IF(ROUND(((L33-INT(L33))*60),0)&lt;10,0,"")&amp;ROUND(((L33-INT(L33))*60),0)))</f>
        <v/>
      </c>
      <c r="O33" s="5" t="str">
        <f>IF(ISBLANK(D33),"",Open_time Control_1+(INT(M33)&amp;":"&amp;IF(ROUND(((M33-INT(M33))*60),0)&lt;10,0,"")&amp;ROUND(((M33-INT(M33))*60),0)))</f>
        <v/>
      </c>
    </row>
    <row r="34" spans="4:15" ht="17" customHeight="1" x14ac:dyDescent="0.15">
      <c r="D34" s="25"/>
      <c r="E34" s="73"/>
      <c r="F34" s="74"/>
      <c r="G34" s="74"/>
      <c r="H34" s="75"/>
      <c r="I34" s="74"/>
      <c r="J34" s="74"/>
      <c r="K34" s="75"/>
      <c r="L34" t="str">
        <f t="shared" si="3"/>
        <v/>
      </c>
      <c r="M34" t="str">
        <f t="shared" si="2"/>
        <v/>
      </c>
      <c r="N34" s="5" t="str">
        <f>IF(ISBLANK(D34),"",Open_time Control_1+(INT(L34)&amp;":"&amp;IF(ROUND(((L34-INT(L34))*60),0)&lt;10,0,"")&amp;ROUND(((L34-INT(L34))*60),0)))</f>
        <v/>
      </c>
      <c r="O34" s="5" t="str">
        <f>IF(ISBLANK(D34),"",Open_time Control_1+(INT(M34)&amp;":"&amp;IF(ROUND(((M34-INT(M34))*60),0)&lt;10,0,"")&amp;ROUND(((M34-INT(M34))*60),0)))</f>
        <v/>
      </c>
    </row>
    <row r="35" spans="4:15" ht="17" customHeight="1" x14ac:dyDescent="0.15">
      <c r="D35" s="25"/>
      <c r="E35" s="73"/>
      <c r="F35" s="74"/>
      <c r="G35" s="74"/>
      <c r="H35" s="75"/>
      <c r="I35" s="74"/>
      <c r="J35" s="74"/>
      <c r="K35" s="75"/>
      <c r="L35" t="str">
        <f t="shared" si="3"/>
        <v/>
      </c>
      <c r="M35" t="str">
        <f t="shared" si="2"/>
        <v/>
      </c>
      <c r="N35" s="5" t="str">
        <f>IF(ISBLANK(D35),"",Open_time Control_1+(INT(L35)&amp;":"&amp;IF(ROUND(((L35-INT(L35))*60),0)&lt;10,0,"")&amp;ROUND(((L35-INT(L35))*60),0)))</f>
        <v/>
      </c>
      <c r="O35" s="5" t="str">
        <f>IF(ISBLANK(D35),"",Open_time Control_1+(INT(M35)&amp;":"&amp;IF(ROUND(((M35-INT(M35))*60),0)&lt;10,0,"")&amp;ROUND(((M35-INT(M35))*60),0)))</f>
        <v/>
      </c>
    </row>
    <row r="36" spans="4:15" ht="17" customHeight="1" x14ac:dyDescent="0.15">
      <c r="D36" s="25"/>
      <c r="E36" s="73"/>
      <c r="F36" s="74"/>
      <c r="G36" s="74"/>
      <c r="H36" s="75"/>
      <c r="I36" s="74"/>
      <c r="J36" s="74"/>
      <c r="K36" s="75"/>
      <c r="L36" t="str">
        <f t="shared" si="3"/>
        <v/>
      </c>
      <c r="M36" t="str">
        <f t="shared" si="2"/>
        <v/>
      </c>
      <c r="N36" s="5" t="str">
        <f>IF(ISBLANK(D36),"",Open_time Control_1+(INT(L36)&amp;":"&amp;IF(ROUND(((L36-INT(L36))*60),0)&lt;10,0,"")&amp;ROUND(((L36-INT(L36))*60),0)))</f>
        <v/>
      </c>
      <c r="O36" s="5" t="str">
        <f>IF(ISBLANK(D36),"",Open_time Control_1+(INT(M36)&amp;":"&amp;IF(ROUND(((M36-INT(M36))*60),0)&lt;10,0,"")&amp;ROUND(((M36-INT(M36))*60),0)))</f>
        <v/>
      </c>
    </row>
    <row r="37" spans="4:15" ht="17" customHeight="1" thickBot="1" x14ac:dyDescent="0.2">
      <c r="D37" s="51"/>
      <c r="E37" s="76"/>
      <c r="F37" s="77"/>
      <c r="G37" s="77"/>
      <c r="H37" s="78"/>
      <c r="I37" s="77"/>
      <c r="J37" s="77"/>
      <c r="K37" s="78"/>
      <c r="L37" t="str">
        <f t="shared" si="3"/>
        <v/>
      </c>
      <c r="M37" t="str">
        <f t="shared" si="2"/>
        <v/>
      </c>
      <c r="N37" s="5" t="str">
        <f>IF(ISBLANK(D37),"",Open_time Control_1+(INT(L37)&amp;":"&amp;IF(ROUND(((L37-INT(L37))*60),0)&lt;10,0,"")&amp;ROUND(((L37-INT(L37))*60),0)))</f>
        <v/>
      </c>
      <c r="O37" s="5" t="str">
        <f>IF(ISBLANK(D37),"",Open_time Control_1+(INT(M37)&amp;":"&amp;IF(ROUND(((M37-INT(M37))*60),0)&lt;10,0,"")&amp;ROUND(((M37-INT(M37))*60),0)))</f>
        <v/>
      </c>
    </row>
    <row r="38" spans="4:15" ht="7" customHeight="1" thickBot="1" x14ac:dyDescent="0.25">
      <c r="D38" s="64"/>
      <c r="E38" s="65"/>
      <c r="F38" s="66"/>
      <c r="G38" s="66"/>
      <c r="H38" s="66"/>
      <c r="I38" s="66"/>
      <c r="J38" s="66"/>
      <c r="K38" s="67"/>
      <c r="N38" s="5"/>
      <c r="O38" s="5"/>
    </row>
    <row r="39" spans="4:15" ht="14" thickBot="1" x14ac:dyDescent="0.2">
      <c r="D39" s="171" t="s">
        <v>79</v>
      </c>
      <c r="E39" s="172"/>
      <c r="F39" s="172"/>
      <c r="G39" s="172"/>
      <c r="H39" s="172"/>
      <c r="I39" s="171" t="s">
        <v>78</v>
      </c>
      <c r="J39" s="172"/>
      <c r="K39" s="173"/>
    </row>
    <row r="40" spans="4:15" ht="14" thickBot="1" x14ac:dyDescent="0.2">
      <c r="D40" s="6" t="s">
        <v>24</v>
      </c>
      <c r="E40" s="7" t="s">
        <v>25</v>
      </c>
      <c r="F40" s="62" t="s">
        <v>26</v>
      </c>
      <c r="G40" s="62" t="s">
        <v>27</v>
      </c>
      <c r="H40" s="86" t="s">
        <v>28</v>
      </c>
      <c r="I40" s="7" t="s">
        <v>60</v>
      </c>
      <c r="J40" s="7" t="s">
        <v>61</v>
      </c>
      <c r="K40" s="8" t="s">
        <v>62</v>
      </c>
      <c r="L40" t="s">
        <v>3</v>
      </c>
      <c r="M40" t="s">
        <v>4</v>
      </c>
      <c r="N40" t="s">
        <v>5</v>
      </c>
      <c r="O40" t="s">
        <v>6</v>
      </c>
    </row>
    <row r="41" spans="4:15" ht="17" customHeight="1" x14ac:dyDescent="0.15">
      <c r="D41" s="25"/>
      <c r="E41" s="73"/>
      <c r="F41" s="74"/>
      <c r="G41" s="74"/>
      <c r="H41" s="75"/>
      <c r="I41" s="74"/>
      <c r="J41" s="74"/>
      <c r="K41" s="75"/>
      <c r="L41" t="str">
        <f>IF(ISBLANK(D41),"",IF(D41&gt;1000,(D41-1000)/26+33.0847,(IF(D41&gt;600,(D41-600)/28+18.799,(IF(D41&gt;400,(D41-400)/30+12.1324,(IF(D41&gt;200,(D41-200)/32+5.8824,D41/34))))))))</f>
        <v/>
      </c>
      <c r="M41" t="str">
        <f t="shared" ref="M41:M50" si="4">IF(ISBLANK(D41),"",IF((D41=0),1,IF(D41&gt;=brevet,IF(brevet&gt;1200,(brevet-1200)*75/1000+90,Max_time),IF(D41&gt;1200,(D41-1200)*75/1000+90,IF(D41&gt;1000,(D41-1000)/(1000/75)+75,IF(D41&gt;600,(D41-600)/(400/35)+40,IF(D41&lt;=60,D41/20+1,D41/15)))))))</f>
        <v/>
      </c>
      <c r="N41" s="5" t="str">
        <f>IF(ISBLANK(D41),"",Open_time Control_1+(INT(L41)&amp;":"&amp;IF(ROUND(((L41-INT(L41))*60),0)&lt;10,0,"")&amp;ROUND(((L41-INT(L41))*60),0)))</f>
        <v/>
      </c>
      <c r="O41" s="5" t="str">
        <f>IF(ISBLANK(D41),"",Open_time Control_1+(INT(M41)&amp;":"&amp;IF(ROUND(((M41-INT(M41))*60),0)&lt;10,0,"")&amp;ROUND(((M41-INT(M41))*60),0)))</f>
        <v/>
      </c>
    </row>
    <row r="42" spans="4:15" ht="17" customHeight="1" x14ac:dyDescent="0.15">
      <c r="D42" s="25"/>
      <c r="E42" s="73"/>
      <c r="F42" s="74"/>
      <c r="G42" s="74"/>
      <c r="H42" s="75"/>
      <c r="I42" s="74"/>
      <c r="J42" s="74"/>
      <c r="K42" s="75"/>
      <c r="L42" t="str">
        <f t="shared" ref="L42:L50" si="5">IF(ISBLANK(D42),"",IF(D42&gt;1000,(D42-1000)/26+33.0847,(IF(D42&gt;600,(D42-600)/28+18.799,(IF(D42&gt;400,(D42-400)/30+12.1324,(IF(D42&gt;200,(D42-200)/32+5.8824,D42/34))))))))</f>
        <v/>
      </c>
      <c r="M42" t="str">
        <f t="shared" si="4"/>
        <v/>
      </c>
      <c r="N42" s="5" t="str">
        <f>IF(ISBLANK(D42),"",Open_time Control_1+(INT(L42)&amp;":"&amp;IF(ROUND(((L42-INT(L42))*60),0)&lt;10,0,"")&amp;ROUND(((L42-INT(L42))*60),0)))</f>
        <v/>
      </c>
      <c r="O42" s="5" t="str">
        <f>IF(ISBLANK(D42),"",Open_time Control_1+(INT(M42)&amp;":"&amp;IF(ROUND(((M42-INT(M42))*60),0)&lt;10,0,"")&amp;ROUND(((M42-INT(M42))*60),0)))</f>
        <v/>
      </c>
    </row>
    <row r="43" spans="4:15" ht="17" customHeight="1" x14ac:dyDescent="0.15">
      <c r="D43" s="25"/>
      <c r="E43" s="73"/>
      <c r="F43" s="74"/>
      <c r="G43" s="74"/>
      <c r="H43" s="75"/>
      <c r="I43" s="74"/>
      <c r="J43" s="74"/>
      <c r="K43" s="75"/>
      <c r="L43" t="str">
        <f t="shared" si="5"/>
        <v/>
      </c>
      <c r="M43" t="str">
        <f t="shared" si="4"/>
        <v/>
      </c>
      <c r="N43" s="5" t="str">
        <f>IF(ISBLANK(D43),"",Open_time Control_1+(INT(L43)&amp;":"&amp;IF(ROUND(((L43-INT(L43))*60),0)&lt;10,0,"")&amp;ROUND(((L43-INT(L43))*60),0)))</f>
        <v/>
      </c>
      <c r="O43" s="5" t="str">
        <f>IF(ISBLANK(D43),"",Open_time Control_1+(INT(M43)&amp;":"&amp;IF(ROUND(((M43-INT(M43))*60),0)&lt;10,0,"")&amp;ROUND(((M43-INT(M43))*60),0)))</f>
        <v/>
      </c>
    </row>
    <row r="44" spans="4:15" ht="17" customHeight="1" x14ac:dyDescent="0.15">
      <c r="D44" s="25"/>
      <c r="E44" s="73"/>
      <c r="F44" s="74"/>
      <c r="G44" s="74"/>
      <c r="H44" s="75"/>
      <c r="I44" s="74"/>
      <c r="J44" s="74"/>
      <c r="K44" s="75"/>
      <c r="L44" t="str">
        <f t="shared" si="5"/>
        <v/>
      </c>
      <c r="M44" t="str">
        <f t="shared" si="4"/>
        <v/>
      </c>
      <c r="N44" s="5" t="str">
        <f>IF(ISBLANK(D44),"",Open_time Control_1+(INT(L44)&amp;":"&amp;IF(ROUND(((L44-INT(L44))*60),0)&lt;10,0,"")&amp;ROUND(((L44-INT(L44))*60),0)))</f>
        <v/>
      </c>
      <c r="O44" s="5" t="str">
        <f>IF(ISBLANK(D44),"",Open_time Control_1+(INT(M44)&amp;":"&amp;IF(ROUND(((M44-INT(M44))*60),0)&lt;10,0,"")&amp;ROUND(((M44-INT(M44))*60),0)))</f>
        <v/>
      </c>
    </row>
    <row r="45" spans="4:15" ht="17" customHeight="1" x14ac:dyDescent="0.15">
      <c r="D45" s="25"/>
      <c r="E45" s="73"/>
      <c r="F45" s="74"/>
      <c r="G45" s="74"/>
      <c r="H45" s="75"/>
      <c r="I45" s="74"/>
      <c r="J45" s="74"/>
      <c r="K45" s="75"/>
      <c r="L45" t="str">
        <f t="shared" si="5"/>
        <v/>
      </c>
      <c r="M45" t="str">
        <f t="shared" si="4"/>
        <v/>
      </c>
      <c r="N45" s="5" t="str">
        <f>IF(ISBLANK(D45),"",Open_time Control_1+(INT(L45)&amp;":"&amp;IF(ROUND(((L45-INT(L45))*60),0)&lt;10,0,"")&amp;ROUND(((L45-INT(L45))*60),0)))</f>
        <v/>
      </c>
      <c r="O45" s="5" t="str">
        <f>IF(ISBLANK(D45),"",Open_time Control_1+(INT(M45)&amp;":"&amp;IF(ROUND(((M45-INT(M45))*60),0)&lt;10,0,"")&amp;ROUND(((M45-INT(M45))*60),0)))</f>
        <v/>
      </c>
    </row>
    <row r="46" spans="4:15" ht="17" customHeight="1" x14ac:dyDescent="0.15">
      <c r="D46" s="25"/>
      <c r="E46" s="73"/>
      <c r="F46" s="74"/>
      <c r="G46" s="74"/>
      <c r="H46" s="75"/>
      <c r="I46" s="74"/>
      <c r="J46" s="74"/>
      <c r="K46" s="75"/>
      <c r="L46" t="str">
        <f t="shared" si="5"/>
        <v/>
      </c>
      <c r="M46" t="str">
        <f t="shared" si="4"/>
        <v/>
      </c>
      <c r="N46" s="5" t="str">
        <f>IF(ISBLANK(D46),"",Open_time Control_1+(INT(L46)&amp;":"&amp;IF(ROUND(((L46-INT(L46))*60),0)&lt;10,0,"")&amp;ROUND(((L46-INT(L46))*60),0)))</f>
        <v/>
      </c>
      <c r="O46" s="5" t="str">
        <f>IF(ISBLANK(D46),"",Open_time Control_1+(INT(M46)&amp;":"&amp;IF(ROUND(((M46-INT(M46))*60),0)&lt;10,0,"")&amp;ROUND(((M46-INT(M46))*60),0)))</f>
        <v/>
      </c>
    </row>
    <row r="47" spans="4:15" ht="17" customHeight="1" x14ac:dyDescent="0.15">
      <c r="D47" s="25"/>
      <c r="E47" s="73"/>
      <c r="F47" s="74"/>
      <c r="G47" s="74"/>
      <c r="H47" s="75"/>
      <c r="I47" s="74"/>
      <c r="J47" s="74"/>
      <c r="K47" s="75"/>
      <c r="L47" t="str">
        <f t="shared" si="5"/>
        <v/>
      </c>
      <c r="M47" t="str">
        <f t="shared" si="4"/>
        <v/>
      </c>
      <c r="N47" s="5" t="str">
        <f>IF(ISBLANK(D47),"",Open_time Control_1+(INT(L47)&amp;":"&amp;IF(ROUND(((L47-INT(L47))*60),0)&lt;10,0,"")&amp;ROUND(((L47-INT(L47))*60),0)))</f>
        <v/>
      </c>
      <c r="O47" s="5" t="str">
        <f>IF(ISBLANK(D47),"",Open_time Control_1+(INT(M47)&amp;":"&amp;IF(ROUND(((M47-INT(M47))*60),0)&lt;10,0,"")&amp;ROUND(((M47-INT(M47))*60),0)))</f>
        <v/>
      </c>
    </row>
    <row r="48" spans="4:15" ht="17" customHeight="1" x14ac:dyDescent="0.15">
      <c r="D48" s="25"/>
      <c r="E48" s="73"/>
      <c r="F48" s="74"/>
      <c r="G48" s="74"/>
      <c r="H48" s="75"/>
      <c r="I48" s="74"/>
      <c r="J48" s="74"/>
      <c r="K48" s="75"/>
      <c r="L48" t="str">
        <f t="shared" si="5"/>
        <v/>
      </c>
      <c r="M48" t="str">
        <f t="shared" si="4"/>
        <v/>
      </c>
      <c r="N48" s="5" t="str">
        <f>IF(ISBLANK(D48),"",Open_time Control_1+(INT(L48)&amp;":"&amp;IF(ROUND(((L48-INT(L48))*60),0)&lt;10,0,"")&amp;ROUND(((L48-INT(L48))*60),0)))</f>
        <v/>
      </c>
      <c r="O48" s="5" t="str">
        <f>IF(ISBLANK(D48),"",Open_time Control_1+(INT(M48)&amp;":"&amp;IF(ROUND(((M48-INT(M48))*60),0)&lt;10,0,"")&amp;ROUND(((M48-INT(M48))*60),0)))</f>
        <v/>
      </c>
    </row>
    <row r="49" spans="4:15" ht="17" customHeight="1" x14ac:dyDescent="0.15">
      <c r="D49" s="25"/>
      <c r="E49" s="73"/>
      <c r="F49" s="74"/>
      <c r="G49" s="74"/>
      <c r="H49" s="75"/>
      <c r="I49" s="74"/>
      <c r="J49" s="74"/>
      <c r="K49" s="75"/>
      <c r="L49" t="str">
        <f t="shared" si="5"/>
        <v/>
      </c>
      <c r="M49" t="str">
        <f t="shared" si="4"/>
        <v/>
      </c>
      <c r="N49" s="5" t="str">
        <f>IF(ISBLANK(D49),"",Open_time Control_1+(INT(L49)&amp;":"&amp;IF(ROUND(((L49-INT(L49))*60),0)&lt;10,0,"")&amp;ROUND(((L49-INT(L49))*60),0)))</f>
        <v/>
      </c>
      <c r="O49" s="5" t="str">
        <f>IF(ISBLANK(D49),"",Open_time Control_1+(INT(M49)&amp;":"&amp;IF(ROUND(((M49-INT(M49))*60),0)&lt;10,0,"")&amp;ROUND(((M49-INT(M49))*60),0)))</f>
        <v/>
      </c>
    </row>
    <row r="50" spans="4:15" ht="17" customHeight="1" thickBot="1" x14ac:dyDescent="0.2">
      <c r="D50" s="51"/>
      <c r="E50" s="76"/>
      <c r="F50" s="77"/>
      <c r="G50" s="77"/>
      <c r="H50" s="78"/>
      <c r="I50" s="77"/>
      <c r="J50" s="77"/>
      <c r="K50" s="78"/>
      <c r="L50" t="str">
        <f t="shared" si="5"/>
        <v/>
      </c>
      <c r="M50" t="str">
        <f t="shared" si="4"/>
        <v/>
      </c>
      <c r="N50" s="5" t="str">
        <f>IF(ISBLANK(D50),"",Open_time Control_1+(INT(L50)&amp;":"&amp;IF(ROUND(((L50-INT(L50))*60),0)&lt;10,0,"")&amp;ROUND(((L50-INT(L50))*60),0)))</f>
        <v/>
      </c>
      <c r="O50" s="5" t="str">
        <f>IF(ISBLANK(D50),"",Open_time Control_1+(INT(M50)&amp;":"&amp;IF(ROUND(((M50-INT(M50))*60),0)&lt;10,0,"")&amp;ROUND(((M50-INT(M50))*60),0)))</f>
        <v/>
      </c>
    </row>
    <row r="51" spans="4:15" ht="7" customHeight="1" thickBot="1" x14ac:dyDescent="0.25">
      <c r="D51" s="64"/>
      <c r="E51" s="65"/>
      <c r="F51" s="66"/>
      <c r="G51" s="66"/>
      <c r="H51" s="66"/>
      <c r="I51" s="66"/>
      <c r="J51" s="66"/>
      <c r="K51" s="67"/>
      <c r="N51" s="5"/>
      <c r="O51" s="5"/>
    </row>
    <row r="52" spans="4:15" ht="14" thickBot="1" x14ac:dyDescent="0.2">
      <c r="D52" s="171" t="s">
        <v>85</v>
      </c>
      <c r="E52" s="172"/>
      <c r="F52" s="172"/>
      <c r="G52" s="172"/>
      <c r="H52" s="172"/>
      <c r="I52" s="171" t="s">
        <v>86</v>
      </c>
      <c r="J52" s="172"/>
      <c r="K52" s="173"/>
    </row>
    <row r="53" spans="4:15" ht="14" thickBot="1" x14ac:dyDescent="0.2">
      <c r="D53" s="6" t="s">
        <v>24</v>
      </c>
      <c r="E53" s="7" t="s">
        <v>25</v>
      </c>
      <c r="F53" s="62" t="s">
        <v>26</v>
      </c>
      <c r="G53" s="62" t="s">
        <v>27</v>
      </c>
      <c r="H53" s="86" t="s">
        <v>28</v>
      </c>
      <c r="I53" s="7" t="s">
        <v>60</v>
      </c>
      <c r="J53" s="7" t="s">
        <v>61</v>
      </c>
      <c r="K53" s="8" t="s">
        <v>62</v>
      </c>
      <c r="L53" t="s">
        <v>3</v>
      </c>
      <c r="M53" t="s">
        <v>4</v>
      </c>
      <c r="N53" t="s">
        <v>5</v>
      </c>
      <c r="O53" t="s">
        <v>6</v>
      </c>
    </row>
    <row r="54" spans="4:15" ht="17" customHeight="1" x14ac:dyDescent="0.15">
      <c r="D54" s="25"/>
      <c r="E54" s="73"/>
      <c r="F54" s="74"/>
      <c r="G54" s="74"/>
      <c r="H54" s="75"/>
      <c r="I54" s="74"/>
      <c r="J54" s="74"/>
      <c r="K54" s="75"/>
      <c r="L54" t="str">
        <f>IF(ISBLANK(D54),"",IF(D54&gt;1000,(D54-1000)/26+33.0847,(IF(D54&gt;600,(D54-600)/28+18.799,(IF(D54&gt;400,(D54-400)/30+12.1324,(IF(D54&gt;200,(D54-200)/32+5.8824,D54/34))))))))</f>
        <v/>
      </c>
      <c r="M54" t="str">
        <f t="shared" ref="M54:M63" si="6">IF(ISBLANK(D54),"",IF((D54=0),1,IF(D54&gt;=brevet,IF(brevet&gt;1200,(brevet-1200)*75/1000+90,Max_time),IF(D54&gt;1200,(D54-1200)*75/1000+90,IF(D54&gt;1000,(D54-1000)/(1000/75)+75,IF(D54&gt;600,(D54-600)/(400/35)+40,IF(D54&lt;=60,D54/20+1,D54/15)))))))</f>
        <v/>
      </c>
      <c r="N54" s="5" t="str">
        <f>IF(ISBLANK(D54),"",Open_time Control_1+(INT(L54)&amp;":"&amp;IF(ROUND(((L54-INT(L54))*60),0)&lt;10,0,"")&amp;ROUND(((L54-INT(L54))*60),0)))</f>
        <v/>
      </c>
      <c r="O54" s="5" t="str">
        <f>IF(ISBLANK(D54),"",Open_time Control_1+(INT(M54)&amp;":"&amp;IF(ROUND(((M54-INT(M54))*60),0)&lt;10,0,"")&amp;ROUND(((M54-INT(M54))*60),0)))</f>
        <v/>
      </c>
    </row>
    <row r="55" spans="4:15" ht="17" customHeight="1" x14ac:dyDescent="0.15">
      <c r="D55" s="25"/>
      <c r="E55" s="73"/>
      <c r="F55" s="74"/>
      <c r="G55" s="74"/>
      <c r="H55" s="75"/>
      <c r="I55" s="74"/>
      <c r="J55" s="74"/>
      <c r="K55" s="75"/>
      <c r="L55" t="str">
        <f t="shared" ref="L55:L63" si="7">IF(ISBLANK(D55),"",IF(D55&gt;1000,(D55-1000)/26+33.0847,(IF(D55&gt;600,(D55-600)/28+18.799,(IF(D55&gt;400,(D55-400)/30+12.1324,(IF(D55&gt;200,(D55-200)/32+5.8824,D55/34))))))))</f>
        <v/>
      </c>
      <c r="M55" t="str">
        <f t="shared" si="6"/>
        <v/>
      </c>
      <c r="N55" s="5" t="str">
        <f>IF(ISBLANK(D55),"",Open_time Control_1+(INT(L55)&amp;":"&amp;IF(ROUND(((L55-INT(L55))*60),0)&lt;10,0,"")&amp;ROUND(((L55-INT(L55))*60),0)))</f>
        <v/>
      </c>
      <c r="O55" s="5" t="str">
        <f>IF(ISBLANK(D55),"",Open_time Control_1+(INT(M55)&amp;":"&amp;IF(ROUND(((M55-INT(M55))*60),0)&lt;10,0,"")&amp;ROUND(((M55-INT(M55))*60),0)))</f>
        <v/>
      </c>
    </row>
    <row r="56" spans="4:15" ht="17" customHeight="1" x14ac:dyDescent="0.15">
      <c r="D56" s="25"/>
      <c r="E56" s="73"/>
      <c r="F56" s="74"/>
      <c r="G56" s="74"/>
      <c r="H56" s="75"/>
      <c r="I56" s="74"/>
      <c r="J56" s="74"/>
      <c r="K56" s="75"/>
      <c r="L56" t="str">
        <f t="shared" si="7"/>
        <v/>
      </c>
      <c r="M56" t="str">
        <f t="shared" si="6"/>
        <v/>
      </c>
      <c r="N56" s="5" t="str">
        <f>IF(ISBLANK(D56),"",Open_time Control_1+(INT(L56)&amp;":"&amp;IF(ROUND(((L56-INT(L56))*60),0)&lt;10,0,"")&amp;ROUND(((L56-INT(L56))*60),0)))</f>
        <v/>
      </c>
      <c r="O56" s="5" t="str">
        <f>IF(ISBLANK(D56),"",Open_time Control_1+(INT(M56)&amp;":"&amp;IF(ROUND(((M56-INT(M56))*60),0)&lt;10,0,"")&amp;ROUND(((M56-INT(M56))*60),0)))</f>
        <v/>
      </c>
    </row>
    <row r="57" spans="4:15" ht="17" customHeight="1" x14ac:dyDescent="0.15">
      <c r="D57" s="25"/>
      <c r="E57" s="73"/>
      <c r="F57" s="74"/>
      <c r="G57" s="74"/>
      <c r="H57" s="75"/>
      <c r="I57" s="74"/>
      <c r="J57" s="74"/>
      <c r="K57" s="75"/>
      <c r="L57" t="str">
        <f t="shared" si="7"/>
        <v/>
      </c>
      <c r="M57" t="str">
        <f t="shared" si="6"/>
        <v/>
      </c>
      <c r="N57" s="5" t="str">
        <f>IF(ISBLANK(D57),"",Open_time Control_1+(INT(L57)&amp;":"&amp;IF(ROUND(((L57-INT(L57))*60),0)&lt;10,0,"")&amp;ROUND(((L57-INT(L57))*60),0)))</f>
        <v/>
      </c>
      <c r="O57" s="5" t="str">
        <f>IF(ISBLANK(D57),"",Open_time Control_1+(INT(M57)&amp;":"&amp;IF(ROUND(((M57-INT(M57))*60),0)&lt;10,0,"")&amp;ROUND(((M57-INT(M57))*60),0)))</f>
        <v/>
      </c>
    </row>
    <row r="58" spans="4:15" ht="17" customHeight="1" x14ac:dyDescent="0.15">
      <c r="D58" s="25"/>
      <c r="E58" s="73"/>
      <c r="F58" s="74"/>
      <c r="G58" s="74"/>
      <c r="H58" s="75"/>
      <c r="I58" s="74"/>
      <c r="J58" s="74"/>
      <c r="K58" s="75"/>
      <c r="L58" t="str">
        <f t="shared" si="7"/>
        <v/>
      </c>
      <c r="M58" t="str">
        <f t="shared" si="6"/>
        <v/>
      </c>
      <c r="N58" s="5" t="str">
        <f>IF(ISBLANK(D58),"",Open_time Control_1+(INT(L58)&amp;":"&amp;IF(ROUND(((L58-INT(L58))*60),0)&lt;10,0,"")&amp;ROUND(((L58-INT(L58))*60),0)))</f>
        <v/>
      </c>
      <c r="O58" s="5" t="str">
        <f>IF(ISBLANK(D58),"",Open_time Control_1+(INT(M58)&amp;":"&amp;IF(ROUND(((M58-INT(M58))*60),0)&lt;10,0,"")&amp;ROUND(((M58-INT(M58))*60),0)))</f>
        <v/>
      </c>
    </row>
    <row r="59" spans="4:15" ht="17" customHeight="1" x14ac:dyDescent="0.15">
      <c r="D59" s="25"/>
      <c r="E59" s="73"/>
      <c r="F59" s="74"/>
      <c r="G59" s="74"/>
      <c r="H59" s="75"/>
      <c r="I59" s="74"/>
      <c r="J59" s="74"/>
      <c r="K59" s="75"/>
      <c r="L59" t="str">
        <f t="shared" si="7"/>
        <v/>
      </c>
      <c r="M59" t="str">
        <f t="shared" si="6"/>
        <v/>
      </c>
      <c r="N59" s="5" t="str">
        <f>IF(ISBLANK(D59),"",Open_time Control_1+(INT(L59)&amp;":"&amp;IF(ROUND(((L59-INT(L59))*60),0)&lt;10,0,"")&amp;ROUND(((L59-INT(L59))*60),0)))</f>
        <v/>
      </c>
      <c r="O59" s="5" t="str">
        <f>IF(ISBLANK(D59),"",Open_time Control_1+(INT(M59)&amp;":"&amp;IF(ROUND(((M59-INT(M59))*60),0)&lt;10,0,"")&amp;ROUND(((M59-INT(M59))*60),0)))</f>
        <v/>
      </c>
    </row>
    <row r="60" spans="4:15" ht="17" customHeight="1" x14ac:dyDescent="0.15">
      <c r="D60" s="25"/>
      <c r="E60" s="73"/>
      <c r="F60" s="74"/>
      <c r="G60" s="74"/>
      <c r="H60" s="75"/>
      <c r="I60" s="74"/>
      <c r="J60" s="74"/>
      <c r="K60" s="75"/>
      <c r="L60" t="str">
        <f t="shared" si="7"/>
        <v/>
      </c>
      <c r="M60" t="str">
        <f t="shared" si="6"/>
        <v/>
      </c>
      <c r="N60" s="5" t="str">
        <f>IF(ISBLANK(D60),"",Open_time Control_1+(INT(L60)&amp;":"&amp;IF(ROUND(((L60-INT(L60))*60),0)&lt;10,0,"")&amp;ROUND(((L60-INT(L60))*60),0)))</f>
        <v/>
      </c>
      <c r="O60" s="5" t="str">
        <f>IF(ISBLANK(D60),"",Open_time Control_1+(INT(M60)&amp;":"&amp;IF(ROUND(((M60-INT(M60))*60),0)&lt;10,0,"")&amp;ROUND(((M60-INT(M60))*60),0)))</f>
        <v/>
      </c>
    </row>
    <row r="61" spans="4:15" ht="17" customHeight="1" x14ac:dyDescent="0.15">
      <c r="D61" s="25"/>
      <c r="E61" s="73"/>
      <c r="F61" s="74"/>
      <c r="G61" s="74"/>
      <c r="H61" s="75"/>
      <c r="I61" s="74"/>
      <c r="J61" s="74"/>
      <c r="K61" s="75"/>
      <c r="L61" t="str">
        <f t="shared" si="7"/>
        <v/>
      </c>
      <c r="M61" t="str">
        <f t="shared" si="6"/>
        <v/>
      </c>
      <c r="N61" s="5" t="str">
        <f>IF(ISBLANK(D61),"",Open_time Control_1+(INT(L61)&amp;":"&amp;IF(ROUND(((L61-INT(L61))*60),0)&lt;10,0,"")&amp;ROUND(((L61-INT(L61))*60),0)))</f>
        <v/>
      </c>
      <c r="O61" s="5" t="str">
        <f>IF(ISBLANK(D61),"",Open_time Control_1+(INT(M61)&amp;":"&amp;IF(ROUND(((M61-INT(M61))*60),0)&lt;10,0,"")&amp;ROUND(((M61-INT(M61))*60),0)))</f>
        <v/>
      </c>
    </row>
    <row r="62" spans="4:15" ht="17" customHeight="1" x14ac:dyDescent="0.15">
      <c r="D62" s="25"/>
      <c r="E62" s="73"/>
      <c r="F62" s="74"/>
      <c r="G62" s="74"/>
      <c r="H62" s="75"/>
      <c r="I62" s="74"/>
      <c r="J62" s="74"/>
      <c r="K62" s="75"/>
      <c r="L62" t="str">
        <f t="shared" si="7"/>
        <v/>
      </c>
      <c r="M62" t="str">
        <f t="shared" si="6"/>
        <v/>
      </c>
      <c r="N62" s="5" t="str">
        <f>IF(ISBLANK(D62),"",Open_time Control_1+(INT(L62)&amp;":"&amp;IF(ROUND(((L62-INT(L62))*60),0)&lt;10,0,"")&amp;ROUND(((L62-INT(L62))*60),0)))</f>
        <v/>
      </c>
      <c r="O62" s="5" t="str">
        <f>IF(ISBLANK(D62),"",Open_time Control_1+(INT(M62)&amp;":"&amp;IF(ROUND(((M62-INT(M62))*60),0)&lt;10,0,"")&amp;ROUND(((M62-INT(M62))*60),0)))</f>
        <v/>
      </c>
    </row>
    <row r="63" spans="4:15" ht="17" customHeight="1" thickBot="1" x14ac:dyDescent="0.2">
      <c r="D63" s="51"/>
      <c r="E63" s="76"/>
      <c r="F63" s="77"/>
      <c r="G63" s="77"/>
      <c r="H63" s="78"/>
      <c r="I63" s="77"/>
      <c r="J63" s="77"/>
      <c r="K63" s="78"/>
      <c r="L63" t="str">
        <f t="shared" si="7"/>
        <v/>
      </c>
      <c r="M63" t="str">
        <f t="shared" si="6"/>
        <v/>
      </c>
      <c r="N63" s="5" t="str">
        <f>IF(ISBLANK(D63),"",Open_time Control_1+(INT(L63)&amp;":"&amp;IF(ROUND(((L63-INT(L63))*60),0)&lt;10,0,"")&amp;ROUND(((L63-INT(L63))*60),0)))</f>
        <v/>
      </c>
      <c r="O63" s="5" t="str">
        <f>IF(ISBLANK(D63),"",Open_time Control_1+(INT(M63)&amp;":"&amp;IF(ROUND(((M63-INT(M63))*60),0)&lt;10,0,"")&amp;ROUND(((M63-INT(M63))*60),0)))</f>
        <v/>
      </c>
    </row>
  </sheetData>
  <sheetProtection formatCells="0" selectLockedCells="1"/>
  <mergeCells count="12">
    <mergeCell ref="A1:G1"/>
    <mergeCell ref="B8:F8"/>
    <mergeCell ref="Q1:AF4"/>
    <mergeCell ref="D52:H52"/>
    <mergeCell ref="I52:K52"/>
    <mergeCell ref="D39:H39"/>
    <mergeCell ref="I39:K39"/>
    <mergeCell ref="J6:K6"/>
    <mergeCell ref="D13:H13"/>
    <mergeCell ref="D26:H26"/>
    <mergeCell ref="I13:K13"/>
    <mergeCell ref="I26:K26"/>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view="pageLayout" zoomScale="50" zoomScaleNormal="115" zoomScalePageLayoutView="50" workbookViewId="0">
      <selection activeCell="C23" sqref="C23"/>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142"/>
      <c r="L1" s="142"/>
      <c r="M1" s="142"/>
    </row>
    <row r="2" spans="2:15" ht="18" x14ac:dyDescent="0.2">
      <c r="C2" s="196" t="s">
        <v>55</v>
      </c>
      <c r="D2" s="196"/>
      <c r="E2" s="196"/>
      <c r="F2" s="196"/>
      <c r="G2" s="117"/>
      <c r="H2" s="117"/>
      <c r="I2" s="145" t="s">
        <v>92</v>
      </c>
      <c r="J2" s="146">
        <f>'Control Entry'!B4</f>
        <v>45170</v>
      </c>
      <c r="K2" s="117"/>
      <c r="L2" s="117"/>
    </row>
    <row r="3" spans="2:15" ht="45" customHeight="1" x14ac:dyDescent="0.45">
      <c r="D3" s="13"/>
      <c r="E3" s="205" t="s">
        <v>33</v>
      </c>
      <c r="F3" s="205"/>
      <c r="G3" s="205"/>
      <c r="H3" s="205"/>
      <c r="I3" s="130" t="s">
        <v>94</v>
      </c>
      <c r="J3" s="138">
        <f>IF(ISBLANK(Brevet_Number),"",Brevet_Number)</f>
        <v>5277</v>
      </c>
      <c r="K3" s="84"/>
      <c r="L3" s="84"/>
    </row>
    <row r="4" spans="2:15" ht="20" customHeight="1" x14ac:dyDescent="0.15">
      <c r="C4" s="13"/>
      <c r="E4" s="206" t="str">
        <f>IF(ISBLANK(Brevet_Length),"",Brevet_Length&amp;" km Randonnée")</f>
        <v>200 km Randonnée</v>
      </c>
      <c r="F4" s="206"/>
      <c r="G4" s="206"/>
      <c r="H4" s="206"/>
      <c r="K4" s="110"/>
      <c r="L4" s="110"/>
    </row>
    <row r="5" spans="2:15" ht="20" customHeight="1" x14ac:dyDescent="0.2">
      <c r="D5" s="111"/>
      <c r="E5" s="204" t="str">
        <f>IF(ISBLANK(Brevet_Description),"",Brevet_Description)</f>
        <v>Comox Valley Crisscross</v>
      </c>
      <c r="F5" s="204"/>
      <c r="G5" s="204"/>
      <c r="H5" s="204"/>
      <c r="I5" s="141"/>
      <c r="J5" s="111"/>
      <c r="K5" s="111"/>
      <c r="L5" s="111"/>
    </row>
    <row r="6" spans="2:15" ht="20" x14ac:dyDescent="0.2">
      <c r="D6" s="131"/>
      <c r="E6" s="204"/>
      <c r="F6" s="204"/>
      <c r="G6" s="204"/>
      <c r="H6" s="204"/>
      <c r="I6" s="141"/>
      <c r="J6" s="131"/>
      <c r="K6" s="111"/>
      <c r="L6" s="111"/>
    </row>
    <row r="7" spans="2:15" ht="25" customHeight="1" x14ac:dyDescent="0.15">
      <c r="C7" s="200"/>
      <c r="D7" s="200"/>
      <c r="E7" s="200"/>
      <c r="F7" s="200"/>
      <c r="H7" s="202"/>
    </row>
    <row r="8" spans="2:15" ht="21" thickBot="1" x14ac:dyDescent="0.25">
      <c r="B8" s="112" t="s">
        <v>95</v>
      </c>
      <c r="C8" s="201"/>
      <c r="D8" s="201"/>
      <c r="E8" s="201"/>
      <c r="F8" s="201"/>
      <c r="G8" s="44" t="s">
        <v>46</v>
      </c>
      <c r="H8" s="203"/>
      <c r="I8" s="113"/>
      <c r="J8" s="113"/>
      <c r="K8" s="113"/>
      <c r="L8" s="27"/>
    </row>
    <row r="9" spans="2:15" ht="22" customHeight="1" x14ac:dyDescent="0.15">
      <c r="B9" s="132"/>
      <c r="C9" s="132"/>
      <c r="D9" s="132"/>
      <c r="E9" s="132"/>
      <c r="F9" s="133"/>
      <c r="G9" s="134"/>
      <c r="H9" s="134"/>
      <c r="I9" s="134"/>
      <c r="J9" s="133"/>
    </row>
    <row r="10" spans="2:15" ht="20" customHeight="1" x14ac:dyDescent="0.15">
      <c r="B10" s="198" t="s">
        <v>56</v>
      </c>
      <c r="C10" s="198"/>
      <c r="D10" s="126" t="s">
        <v>57</v>
      </c>
      <c r="E10" s="199" t="s">
        <v>91</v>
      </c>
      <c r="F10" s="199"/>
      <c r="G10" s="199"/>
      <c r="H10" s="137"/>
      <c r="I10" s="121"/>
      <c r="J10" s="121"/>
      <c r="K10" s="50"/>
      <c r="L10" s="176"/>
      <c r="M10" s="176"/>
      <c r="N10" s="176"/>
      <c r="O10" s="176"/>
    </row>
    <row r="11" spans="2:15" ht="23" x14ac:dyDescent="0.15">
      <c r="B11" s="120"/>
      <c r="C11" s="120"/>
      <c r="D11" s="120"/>
      <c r="E11" s="120"/>
      <c r="F11" s="116"/>
      <c r="G11" s="122"/>
      <c r="H11" s="122"/>
      <c r="I11" s="122"/>
      <c r="J11" s="116"/>
    </row>
    <row r="12" spans="2:15" ht="21" thickBot="1" x14ac:dyDescent="0.25">
      <c r="D12" s="192" t="s">
        <v>22</v>
      </c>
      <c r="E12" s="192"/>
      <c r="F12" s="136">
        <f>IF(ISBLANK('Control Entry'!B12),"",'Control Entry'!B12)</f>
        <v>45178</v>
      </c>
      <c r="G12" s="140"/>
      <c r="H12" s="127" t="s">
        <v>97</v>
      </c>
      <c r="I12" s="135">
        <f>IF(ISBLANK('Control Entry'!B13),"",'Control Entry'!B13)</f>
        <v>0.29166666666666669</v>
      </c>
      <c r="J12" s="59"/>
    </row>
    <row r="13" spans="2:15" ht="20" x14ac:dyDescent="0.2">
      <c r="D13" s="58"/>
      <c r="E13" s="58"/>
      <c r="F13" s="56"/>
      <c r="G13" s="56"/>
      <c r="H13" s="56"/>
      <c r="J13" s="27"/>
      <c r="K13" s="21"/>
      <c r="L13" s="59"/>
      <c r="M13" s="59"/>
      <c r="N13" s="59"/>
      <c r="O13" s="27"/>
    </row>
    <row r="14" spans="2:15" ht="21" thickBot="1" x14ac:dyDescent="0.25">
      <c r="D14" s="193" t="s">
        <v>96</v>
      </c>
      <c r="E14" s="193"/>
      <c r="F14" s="136"/>
      <c r="G14" s="140"/>
      <c r="H14" s="127" t="s">
        <v>98</v>
      </c>
      <c r="I14" s="135"/>
      <c r="J14" s="59"/>
      <c r="K14" s="18"/>
      <c r="L14" s="129"/>
      <c r="M14" s="129"/>
      <c r="N14" s="129"/>
    </row>
    <row r="15" spans="2:15" ht="20" x14ac:dyDescent="0.2">
      <c r="B15" s="79"/>
      <c r="C15" s="79"/>
      <c r="D15" s="56"/>
      <c r="E15" s="56"/>
      <c r="H15" s="56"/>
      <c r="I15" s="21"/>
      <c r="J15" s="21"/>
      <c r="K15" s="21"/>
      <c r="L15" s="21"/>
      <c r="M15" s="21"/>
      <c r="N15" s="21"/>
      <c r="O15" s="27"/>
    </row>
    <row r="16" spans="2:15" ht="21" thickBot="1" x14ac:dyDescent="0.25">
      <c r="C16" s="128"/>
      <c r="D16" s="128"/>
      <c r="E16" s="128"/>
      <c r="F16" s="128"/>
      <c r="H16" s="44" t="s">
        <v>99</v>
      </c>
      <c r="I16" s="135"/>
      <c r="J16" s="59"/>
      <c r="K16" s="18"/>
      <c r="L16" s="129"/>
      <c r="M16" s="129"/>
      <c r="N16" s="129"/>
    </row>
    <row r="17" spans="2:15" ht="20" x14ac:dyDescent="0.15">
      <c r="C17" s="194" t="s">
        <v>17</v>
      </c>
      <c r="D17" s="194"/>
      <c r="E17" s="194"/>
      <c r="F17" s="194"/>
      <c r="G17" s="50"/>
      <c r="H17" s="50"/>
      <c r="I17" s="195"/>
      <c r="J17" s="195"/>
      <c r="K17" s="50"/>
      <c r="L17" s="176"/>
      <c r="M17" s="176"/>
      <c r="N17" s="176"/>
      <c r="O17" s="176"/>
    </row>
    <row r="18" spans="2:15" ht="6" customHeight="1" thickBot="1" x14ac:dyDescent="0.2">
      <c r="B18" s="123"/>
      <c r="C18" s="123"/>
      <c r="D18" s="123"/>
      <c r="E18" s="123"/>
      <c r="F18" s="124"/>
      <c r="G18" s="125"/>
      <c r="H18" s="125"/>
      <c r="I18" s="125"/>
      <c r="J18" s="124"/>
    </row>
    <row r="19" spans="2:15" ht="22" thickTop="1" thickBot="1" x14ac:dyDescent="0.2">
      <c r="B19" s="197" t="s">
        <v>80</v>
      </c>
      <c r="C19" s="197"/>
      <c r="D19" s="197"/>
      <c r="E19" s="197"/>
      <c r="F19" s="197"/>
      <c r="G19" s="197"/>
      <c r="H19" s="197"/>
      <c r="I19" s="197"/>
      <c r="J19" s="197"/>
    </row>
    <row r="20" spans="2:15" ht="20" thickBot="1" x14ac:dyDescent="0.25">
      <c r="B20" s="109" t="s">
        <v>30</v>
      </c>
      <c r="C20" s="9" t="s">
        <v>3</v>
      </c>
      <c r="D20" s="9" t="s">
        <v>4</v>
      </c>
      <c r="E20" s="9" t="s">
        <v>25</v>
      </c>
      <c r="F20" s="9" t="s">
        <v>31</v>
      </c>
      <c r="G20" s="189" t="s">
        <v>59</v>
      </c>
      <c r="H20" s="190"/>
      <c r="I20" s="191"/>
      <c r="J20" s="109" t="s">
        <v>32</v>
      </c>
    </row>
    <row r="21" spans="2:15" ht="40" customHeight="1" x14ac:dyDescent="0.25">
      <c r="B21" s="156"/>
      <c r="C21" s="166">
        <f>Control_1 Open_time</f>
        <v>45178.291666666664</v>
      </c>
      <c r="D21" s="157">
        <f>Control_1 Close_time</f>
        <v>45178.333333333328</v>
      </c>
      <c r="E21" s="158"/>
      <c r="F21" s="159" t="str">
        <f>IF(ISBLANK(Control_1 Establishment_1),"",Control_1 Establishment_1)</f>
        <v>STAFFED</v>
      </c>
      <c r="G21" s="179" t="str">
        <f>IF(ISBLANK('Control Entry'!I15),"",'Control Entry'!I15)</f>
        <v/>
      </c>
      <c r="H21" s="180"/>
      <c r="I21" s="181"/>
      <c r="J21" s="114"/>
    </row>
    <row r="22" spans="2:15" ht="40" customHeight="1" x14ac:dyDescent="0.15">
      <c r="B22" s="160">
        <f>IF(ISBLANK(Distance Control_1),"",Control_1 Distance)</f>
        <v>0</v>
      </c>
      <c r="C22" s="161">
        <f>Control_1 Open_time</f>
        <v>45178.291666666664</v>
      </c>
      <c r="D22" s="161">
        <f>Control_1 Close_time</f>
        <v>45178.333333333328</v>
      </c>
      <c r="E22" s="159" t="str">
        <f>IF(ISBLANK(Locale Control_1),"",Locale Control_1)</f>
        <v>COURTENAY</v>
      </c>
      <c r="F22" s="159" t="str">
        <f>IF(ISBLANK(Control_1 Establishment_2),"",Control_1 Establishment_2)</f>
        <v>1744A Piercy Ave</v>
      </c>
      <c r="G22" s="182" t="str">
        <f>IF(ISBLANK('Control Entry'!J15),"",'Control Entry'!J15)</f>
        <v/>
      </c>
      <c r="H22" s="183"/>
      <c r="I22" s="184"/>
      <c r="J22" s="1"/>
    </row>
    <row r="23" spans="2:15" ht="40" customHeight="1" thickBot="1" x14ac:dyDescent="0.3">
      <c r="B23" s="162"/>
      <c r="C23" s="167">
        <f>Control_1 Open_time</f>
        <v>45178.291666666664</v>
      </c>
      <c r="D23" s="163">
        <f>Control_1 Close_time</f>
        <v>45178.333333333328</v>
      </c>
      <c r="E23" s="164"/>
      <c r="F23" s="165" t="str">
        <f>IF(ISBLANK(Control_1 Establishment_3),"",Control_1 Establishment_3)</f>
        <v/>
      </c>
      <c r="G23" s="185" t="str">
        <f>IF(ISBLANK('Control Entry'!K15),"",'Control Entry'!K15)</f>
        <v/>
      </c>
      <c r="H23" s="186"/>
      <c r="I23" s="187"/>
      <c r="J23" s="115"/>
    </row>
    <row r="24" spans="2:15" ht="40" customHeight="1" x14ac:dyDescent="0.25">
      <c r="B24" s="156"/>
      <c r="C24" s="157">
        <f>Control_2 Open_time</f>
        <v>45178.306944444441</v>
      </c>
      <c r="D24" s="157">
        <f>Control_2 Close_time</f>
        <v>45178.359722222223</v>
      </c>
      <c r="E24" s="158"/>
      <c r="F24" s="159" t="str">
        <f>IF(ISBLANK(Control_2 Establishment_1),"",Control_2 Establishment_1)</f>
        <v>INFORMATION</v>
      </c>
      <c r="G24" s="179" t="str">
        <f>IF(ISBLANK('Control Entry'!I16),"",'Control Entry'!I16)</f>
        <v xml:space="preserve">Speed zone </v>
      </c>
      <c r="H24" s="180"/>
      <c r="I24" s="181"/>
      <c r="J24" s="114"/>
    </row>
    <row r="25" spans="2:15" ht="40" customHeight="1" x14ac:dyDescent="0.15">
      <c r="B25" s="160">
        <f>IF(ISBLANK(Distance Control_2),"",Control_2 Distance)</f>
        <v>12.7</v>
      </c>
      <c r="C25" s="161">
        <f>Control_2 Open_time</f>
        <v>45178.306944444441</v>
      </c>
      <c r="D25" s="161">
        <f>Control_2 Close_time</f>
        <v>45178.359722222223</v>
      </c>
      <c r="E25" s="159" t="str">
        <f>IF(ISBLANK(Locale Control_2),"",Locale Control_2)</f>
        <v>BEVAN</v>
      </c>
      <c r="F25" s="159" t="str">
        <f>IF(ISBLANK(Control_2 Establishment_2),"",Control_2 Establishment_2)</f>
        <v>Road sign at end of gravel</v>
      </c>
      <c r="G25" s="182" t="str">
        <f>IF(ISBLANK('Control Entry'!J16),"",'Control Entry'!J16)</f>
        <v>What kph?</v>
      </c>
      <c r="H25" s="183"/>
      <c r="I25" s="184"/>
      <c r="J25" s="1"/>
    </row>
    <row r="26" spans="2:15" ht="40" customHeight="1" thickBot="1" x14ac:dyDescent="0.3">
      <c r="B26" s="162"/>
      <c r="C26" s="163">
        <f>Control_2 Open_time</f>
        <v>45178.306944444441</v>
      </c>
      <c r="D26" s="163">
        <f>Control_2 Close_time</f>
        <v>45178.359722222223</v>
      </c>
      <c r="E26" s="164"/>
      <c r="F26" s="165" t="str">
        <f>IF(ISBLANK(Control_2 Establishment_3),"",Control_2 Establishment_3)</f>
        <v>4787 Lake Trail Rd</v>
      </c>
      <c r="G26" s="185" t="str">
        <f>IF(ISBLANK('Control Entry'!K16),"",'Control Entry'!K16)</f>
        <v/>
      </c>
      <c r="H26" s="186"/>
      <c r="I26" s="187"/>
      <c r="J26" s="115"/>
    </row>
    <row r="27" spans="2:15" ht="40" customHeight="1" x14ac:dyDescent="0.25">
      <c r="B27" s="156"/>
      <c r="C27" s="157">
        <f>Control_3 Open_time</f>
        <v>45178.34097222222</v>
      </c>
      <c r="D27" s="157">
        <f>Control_3 Close_time</f>
        <v>45178.416666666664</v>
      </c>
      <c r="E27" s="158"/>
      <c r="F27" s="159" t="str">
        <f>IF(ISBLANK(Control_3 Establishment_1),"",Control_3 Establishment_1)</f>
        <v>STAFFED</v>
      </c>
      <c r="G27" s="179" t="str">
        <f>IF(ISBLANK('Control Entry'!I17),"",'Control Entry'!I17)</f>
        <v/>
      </c>
      <c r="H27" s="180"/>
      <c r="I27" s="181"/>
      <c r="J27" s="114"/>
    </row>
    <row r="28" spans="2:15" ht="40" customHeight="1" x14ac:dyDescent="0.15">
      <c r="B28" s="160">
        <f>IF(ISBLANK(Distance Control_3),"",Control_3 Distance)</f>
        <v>40</v>
      </c>
      <c r="C28" s="161">
        <f>Control_3 Open_time</f>
        <v>45178.34097222222</v>
      </c>
      <c r="D28" s="161">
        <f>Control_3 Close_time</f>
        <v>45178.416666666664</v>
      </c>
      <c r="E28" s="159" t="str">
        <f>IF(ISBLANK(Locale Control_3),"",Locale Control_3)</f>
        <v>BUCKLEY BAY</v>
      </c>
      <c r="F28" s="159" t="str">
        <f>IF(ISBLANK(Control_3 Establishment_2),"",Control_3 Establishment_2)</f>
        <v>Rest Area</v>
      </c>
      <c r="G28" s="182" t="str">
        <f>IF(ISBLANK('Control Entry'!J17),"",'Control Entry'!J17)</f>
        <v/>
      </c>
      <c r="H28" s="183"/>
      <c r="I28" s="184"/>
      <c r="J28" s="1"/>
    </row>
    <row r="29" spans="2:15" ht="40" customHeight="1" thickBot="1" x14ac:dyDescent="0.3">
      <c r="B29" s="162"/>
      <c r="C29" s="163">
        <f>Control_3 Open_time</f>
        <v>45178.34097222222</v>
      </c>
      <c r="D29" s="163">
        <f>Control_3 Close_time</f>
        <v>45178.416666666664</v>
      </c>
      <c r="E29" s="164"/>
      <c r="F29" s="165" t="str">
        <f>IF(ISBLANK(Control_3 Establishment_3),"",Control_3 Establishment_3)</f>
        <v>6866 Buckley Bay Rd</v>
      </c>
      <c r="G29" s="185" t="str">
        <f>IF(ISBLANK('Control Entry'!K17),"",'Control Entry'!K17)</f>
        <v/>
      </c>
      <c r="H29" s="186"/>
      <c r="I29" s="187"/>
      <c r="J29" s="115"/>
    </row>
    <row r="30" spans="2:15" ht="40" customHeight="1" x14ac:dyDescent="0.25">
      <c r="B30" s="156"/>
      <c r="C30" s="157">
        <f>Control_4 Open_time</f>
        <v>45178.38958333333</v>
      </c>
      <c r="D30" s="157">
        <f>Control_4 Close_time</f>
        <v>45178.513888888883</v>
      </c>
      <c r="E30" s="158"/>
      <c r="F30" s="159" t="str">
        <f>IF(ISBLANK(Control_4 Establishment_1),"",Control_4 Establishment_1)</f>
        <v>INFORMATION</v>
      </c>
      <c r="G30" s="179" t="str">
        <f>IF(ISBLANK('Control Entry'!I18),"",'Control Entry'!I18)</f>
        <v>Mail box shape</v>
      </c>
      <c r="H30" s="180"/>
      <c r="I30" s="181"/>
      <c r="J30" s="114"/>
    </row>
    <row r="31" spans="2:15" ht="40" customHeight="1" x14ac:dyDescent="0.15">
      <c r="B31" s="160">
        <f>IF(ISBLANK(Distance Control_4),"",Control_4 Distance)</f>
        <v>79.900000000000006</v>
      </c>
      <c r="C31" s="161">
        <f>Control_4 Open_time</f>
        <v>45178.38958333333</v>
      </c>
      <c r="D31" s="161">
        <f>Control_4 Close_time</f>
        <v>45178.513888888883</v>
      </c>
      <c r="E31" s="159" t="str">
        <f>IF(ISBLANK(Locale Control_4),"",Locale Control_4)</f>
        <v>COMOX</v>
      </c>
      <c r="F31" s="159" t="str">
        <f>IF(ISBLANK(Control_4 Establishment_2),"",Control_4 Establishment_2)</f>
        <v>1474 Hudson Rd</v>
      </c>
      <c r="G31" s="182" t="str">
        <f>IF(ISBLANK('Control Entry'!J18),"",'Control Entry'!J18)</f>
        <v/>
      </c>
      <c r="H31" s="183"/>
      <c r="I31" s="184"/>
      <c r="J31" s="1"/>
    </row>
    <row r="32" spans="2:15" ht="40" customHeight="1" thickBot="1" x14ac:dyDescent="0.3">
      <c r="B32" s="162"/>
      <c r="C32" s="163">
        <f>Control_4 Open_time</f>
        <v>45178.38958333333</v>
      </c>
      <c r="D32" s="163">
        <f>Control_4 Close_time</f>
        <v>45178.513888888883</v>
      </c>
      <c r="E32" s="164"/>
      <c r="F32" s="165" t="str">
        <f>IF(ISBLANK(Control_4 Establishment_3),"",Control_4 Establishment_3)</f>
        <v/>
      </c>
      <c r="G32" s="185" t="str">
        <f>IF(ISBLANK('Control Entry'!K18),"",'Control Entry'!K18)</f>
        <v>Barn       Bicycle       Birdhouse</v>
      </c>
      <c r="H32" s="186"/>
      <c r="I32" s="187"/>
      <c r="J32" s="115"/>
    </row>
    <row r="33" spans="2:10" ht="40" customHeight="1" x14ac:dyDescent="0.25">
      <c r="B33" s="156"/>
      <c r="C33" s="157">
        <f>Control_5 Open_time</f>
        <v>45178.402083333334</v>
      </c>
      <c r="D33" s="157">
        <f>Control_5 Close_time</f>
        <v>45178.541666666664</v>
      </c>
      <c r="E33" s="158"/>
      <c r="F33" s="159" t="str">
        <f>IF(ISBLANK(Control_5 Establishment_1),"",Control_5 Establishment_1)</f>
        <v>INFORMATION</v>
      </c>
      <c r="G33" s="179" t="str">
        <f>IF(ISBLANK('Control Entry'!I19),"",'Control Entry'!I19)</f>
        <v>Recreation Association sign, ramp side</v>
      </c>
      <c r="H33" s="180"/>
      <c r="I33" s="181"/>
      <c r="J33" s="114"/>
    </row>
    <row r="34" spans="2:10" ht="40" customHeight="1" x14ac:dyDescent="0.15">
      <c r="B34" s="160">
        <f>IF(ISBLANK(Distance Control_5),"",Control_5 Distance)</f>
        <v>89.9</v>
      </c>
      <c r="C34" s="161">
        <f>Control_5 Open_time</f>
        <v>45178.402083333334</v>
      </c>
      <c r="D34" s="161">
        <f>Control_5 Close_time</f>
        <v>45178.541666666664</v>
      </c>
      <c r="E34" s="159" t="str">
        <f>IF(ISBLANK(Locale Control_5),"",Locale Control_5)</f>
        <v>POINT HOLMES</v>
      </c>
      <c r="F34" s="159" t="str">
        <f>IF(ISBLANK(Control_5 Establishment_2),"",Control_5 Establishment_2)</f>
        <v>Boat Launch</v>
      </c>
      <c r="G34" s="182" t="str">
        <f>IF(ISBLANK('Control Entry'!J19),"",'Control Entry'!J19)</f>
        <v>Single use fee for SUP?</v>
      </c>
      <c r="H34" s="183"/>
      <c r="I34" s="184"/>
      <c r="J34" s="1"/>
    </row>
    <row r="35" spans="2:10" ht="40" customHeight="1" thickBot="1" x14ac:dyDescent="0.3">
      <c r="B35" s="162"/>
      <c r="C35" s="163">
        <f>Control_5 Open_time</f>
        <v>45178.402083333334</v>
      </c>
      <c r="D35" s="163">
        <f>Control_5 Close_time</f>
        <v>45178.541666666664</v>
      </c>
      <c r="E35" s="164"/>
      <c r="F35" s="165" t="str">
        <f>IF(ISBLANK(Control_5 Establishment_3),"",Control_5 Establishment_3)</f>
        <v>988 Lazo Rd</v>
      </c>
      <c r="G35" s="185" t="str">
        <f>IF(ISBLANK('Control Entry'!K19),"",'Control Entry'!K19)</f>
        <v>Free       $2       $5</v>
      </c>
      <c r="H35" s="186"/>
      <c r="I35" s="187"/>
      <c r="J35" s="115"/>
    </row>
    <row r="36" spans="2:10" ht="40" customHeight="1" x14ac:dyDescent="0.25">
      <c r="B36" s="156"/>
      <c r="C36" s="157">
        <f>Control_6 Open_time</f>
        <v>45178.414583333331</v>
      </c>
      <c r="D36" s="157">
        <f>Control_6 Close_time</f>
        <v>45178.570833333331</v>
      </c>
      <c r="E36" s="158"/>
      <c r="F36" s="159" t="str">
        <f>IF(ISBLANK(Control_6 Establishment_1),"",Control_6 Establishment_1)</f>
        <v>STAFFED</v>
      </c>
      <c r="G36" s="179" t="str">
        <f>IF(ISBLANK('Control Entry'!I20),"",'Control Entry'!I20)</f>
        <v/>
      </c>
      <c r="H36" s="180"/>
      <c r="I36" s="181"/>
      <c r="J36" s="114"/>
    </row>
    <row r="37" spans="2:10" ht="40" customHeight="1" x14ac:dyDescent="0.15">
      <c r="B37" s="160">
        <f>IF(ISBLANK(Distance Control_6),"",Control_6 Distance)</f>
        <v>100.5</v>
      </c>
      <c r="C37" s="161">
        <f>Control_6 Open_time</f>
        <v>45178.414583333331</v>
      </c>
      <c r="D37" s="161">
        <f>Control_6 Close_time</f>
        <v>45178.570833333331</v>
      </c>
      <c r="E37" s="159" t="str">
        <f>IF(ISBLANK(Locale Control_6),"",Locale Control_6)</f>
        <v>LITTLE RIVER</v>
      </c>
      <c r="F37" s="159" t="str">
        <f>IF(ISBLANK(Control_6 Establishment_2),"",Control_6 Establishment_2)</f>
        <v>1938 Singing Sands Rd</v>
      </c>
      <c r="G37" s="182" t="str">
        <f>IF(ISBLANK('Control Entry'!J20),"",'Control Entry'!J20)</f>
        <v/>
      </c>
      <c r="H37" s="183"/>
      <c r="I37" s="184"/>
      <c r="J37" s="1"/>
    </row>
    <row r="38" spans="2:10" ht="40" customHeight="1" thickBot="1" x14ac:dyDescent="0.3">
      <c r="B38" s="162"/>
      <c r="C38" s="163">
        <f>Control_6 Open_time</f>
        <v>45178.414583333331</v>
      </c>
      <c r="D38" s="163">
        <f>Control_6 Close_time</f>
        <v>45178.570833333331</v>
      </c>
      <c r="E38" s="164"/>
      <c r="F38" s="165" t="str">
        <f>IF(ISBLANK(Control_6 Establishment_3),"",Control_6 Establishment_3)</f>
        <v/>
      </c>
      <c r="G38" s="185" t="str">
        <f>IF(ISBLANK('Control Entry'!K20),"",'Control Entry'!K20)</f>
        <v/>
      </c>
      <c r="H38" s="186"/>
      <c r="I38" s="187"/>
      <c r="J38" s="115"/>
    </row>
    <row r="39" spans="2:10" ht="40" customHeight="1" x14ac:dyDescent="0.25">
      <c r="B39" s="156"/>
      <c r="C39" s="157">
        <f>Control_7 Open_time</f>
        <v>45178.459027777775</v>
      </c>
      <c r="D39" s="157">
        <f>Control_7 Close_time</f>
        <v>45178.67083333333</v>
      </c>
      <c r="E39" s="158"/>
      <c r="F39" s="159" t="str">
        <f>IF(ISBLANK(Control_7 Establishment_1),"",Control_7 Establishment_1)</f>
        <v>BUSINESS</v>
      </c>
      <c r="G39" s="179" t="str">
        <f>IF(ISBLANK('Control Entry'!I21),"",'Control Entry'!I21)</f>
        <v/>
      </c>
      <c r="H39" s="180"/>
      <c r="I39" s="181"/>
      <c r="J39" s="114"/>
    </row>
    <row r="40" spans="2:10" ht="40" customHeight="1" x14ac:dyDescent="0.15">
      <c r="B40" s="160">
        <f>IF(ISBLANK(Distance Control_7),"",Control_7 Distance)</f>
        <v>136.4</v>
      </c>
      <c r="C40" s="161">
        <f>Control_7 Open_time</f>
        <v>45178.459027777775</v>
      </c>
      <c r="D40" s="161">
        <f>Control_7 Close_time</f>
        <v>45178.67083333333</v>
      </c>
      <c r="E40" s="159" t="str">
        <f>IF(ISBLANK(Locale Control_7),"",Locale Control_7)</f>
        <v>OYSTER RIVER</v>
      </c>
      <c r="F40" s="159" t="str">
        <f>IF(ISBLANK(Control_7 Establishment_2),"",Control_7 Establishment_2)</f>
        <v>Your choice</v>
      </c>
      <c r="G40" s="182" t="str">
        <f>IF(ISBLANK('Control Entry'!J21),"",'Control Entry'!J21)</f>
        <v/>
      </c>
      <c r="H40" s="183"/>
      <c r="I40" s="184"/>
      <c r="J40" s="1"/>
    </row>
    <row r="41" spans="2:10" ht="40" customHeight="1" thickBot="1" x14ac:dyDescent="0.3">
      <c r="B41" s="162"/>
      <c r="C41" s="163">
        <f>Control_7 Open_time</f>
        <v>45178.459027777775</v>
      </c>
      <c r="D41" s="163">
        <f>Control_7 Close_time</f>
        <v>45178.67083333333</v>
      </c>
      <c r="E41" s="164"/>
      <c r="F41" s="165" t="str">
        <f>IF(ISBLANK(Control_7 Establishment_3),"",Control_7 Establishment_3)</f>
        <v>Discovery Foods Plaza</v>
      </c>
      <c r="G41" s="185" t="str">
        <f>IF(ISBLANK('Control Entry'!K21),"",'Control Entry'!K21)</f>
        <v/>
      </c>
      <c r="H41" s="186"/>
      <c r="I41" s="187"/>
      <c r="J41" s="115"/>
    </row>
    <row r="42" spans="2:10" ht="40" customHeight="1" x14ac:dyDescent="0.25">
      <c r="B42" s="156"/>
      <c r="C42" s="157">
        <f>Control_8 Open_time</f>
        <v>45178.506249999999</v>
      </c>
      <c r="D42" s="157">
        <f>Control_8 Close_time</f>
        <v>45178.77847222222</v>
      </c>
      <c r="E42" s="158"/>
      <c r="F42" s="159" t="str">
        <f>IF(ISBLANK(Control_8 Establishment_1),"",Control_8 Establishment_1)</f>
        <v>INFORMATION</v>
      </c>
      <c r="G42" s="179" t="str">
        <f>IF(ISBLANK('Control Entry'!I22),"",'Control Entry'!I22)</f>
        <v>Back of stop sign, seen from Dove Ck</v>
      </c>
      <c r="H42" s="180"/>
      <c r="I42" s="181"/>
      <c r="J42" s="114"/>
    </row>
    <row r="43" spans="2:10" ht="40" customHeight="1" x14ac:dyDescent="0.15">
      <c r="B43" s="160">
        <f>IF(ISBLANK(Distance Control_8),"",Control_8 Distance)</f>
        <v>175.3</v>
      </c>
      <c r="C43" s="161">
        <f>Control_8 Open_time</f>
        <v>45178.506249999999</v>
      </c>
      <c r="D43" s="161">
        <f>Control_8 Close_time</f>
        <v>45178.77847222222</v>
      </c>
      <c r="E43" s="159" t="str">
        <f>IF(ISBLANK(Locale Control_8),"",Locale Control_8)</f>
        <v>HEADQUARTERS</v>
      </c>
      <c r="F43" s="159" t="str">
        <f>IF(ISBLANK(Control_8 Establishment_2),"",Control_8 Establishment_2)</f>
        <v>Stop Sign</v>
      </c>
      <c r="G43" s="182" t="str">
        <f>IF(ISBLANK('Control Entry'!J22),"",'Control Entry'!J22)</f>
        <v>What number?</v>
      </c>
      <c r="H43" s="183"/>
      <c r="I43" s="184"/>
      <c r="J43" s="1"/>
    </row>
    <row r="44" spans="2:10" ht="40" customHeight="1" thickBot="1" x14ac:dyDescent="0.3">
      <c r="B44" s="162"/>
      <c r="C44" s="163">
        <f>Control_8 Open_time</f>
        <v>45178.506249999999</v>
      </c>
      <c r="D44" s="163">
        <f>Control_8 Close_time</f>
        <v>45178.77847222222</v>
      </c>
      <c r="E44" s="164"/>
      <c r="F44" s="165" t="str">
        <f>IF(ISBLANK(Control_8 Establishment_3),"",Control_8 Establishment_3)</f>
        <v>S. Farnham Rd @ Dove Creek Rd</v>
      </c>
      <c r="G44" s="185" t="str">
        <f>IF(ISBLANK('Control Entry'!K22),"",'Control Entry'!K22)</f>
        <v/>
      </c>
      <c r="H44" s="186"/>
      <c r="I44" s="187"/>
      <c r="J44" s="115"/>
    </row>
    <row r="45" spans="2:10" ht="40" customHeight="1" x14ac:dyDescent="0.25">
      <c r="B45" s="156"/>
      <c r="C45" s="157">
        <f>Control_9 Open_time</f>
        <v>45178.523611111108</v>
      </c>
      <c r="D45" s="157">
        <f>Control_9 Close_time</f>
        <v>45178.817361111105</v>
      </c>
      <c r="E45" s="158"/>
      <c r="F45" s="159" t="str">
        <f>IF(ISBLANK(Control_9 Establishment_1),"",Control_9 Establishment_1)</f>
        <v>INFORMATION</v>
      </c>
      <c r="G45" s="179" t="str">
        <f>IF(ISBLANK('Control Entry'!I23),"",'Control Entry'!I23)</f>
        <v>Crosswalk across hwy</v>
      </c>
      <c r="H45" s="180"/>
      <c r="I45" s="181"/>
      <c r="J45" s="114"/>
    </row>
    <row r="46" spans="2:10" ht="40" customHeight="1" x14ac:dyDescent="0.15">
      <c r="B46" s="160">
        <f>IF(ISBLANK(Distance Control_9),"",Control_9 Distance)</f>
        <v>189.2</v>
      </c>
      <c r="C46" s="161">
        <f>Control_9 Open_time</f>
        <v>45178.523611111108</v>
      </c>
      <c r="D46" s="161">
        <f>Control_9 Close_time</f>
        <v>45178.817361111105</v>
      </c>
      <c r="E46" s="159" t="str">
        <f>IF(ISBLANK(Locale Control_9),"",Locale Control_9)</f>
        <v>GRANTHAM</v>
      </c>
      <c r="F46" s="159" t="str">
        <f>IF(ISBLANK(Control_9 Establishment_2),"",Control_9 Establishment_2)</f>
        <v>Stop Sign</v>
      </c>
      <c r="G46" s="182" t="str">
        <f>IF(ISBLANK('Control Entry'!J23),"",'Control Entry'!J23)</f>
        <v>On which side of Smith?</v>
      </c>
      <c r="H46" s="183"/>
      <c r="I46" s="184"/>
      <c r="J46" s="1"/>
    </row>
    <row r="47" spans="2:10" ht="40" customHeight="1" thickBot="1" x14ac:dyDescent="0.3">
      <c r="B47" s="162"/>
      <c r="C47" s="163">
        <f>Control_9 Open_time</f>
        <v>45178.523611111108</v>
      </c>
      <c r="D47" s="163">
        <f>Control_9 Close_time</f>
        <v>45178.817361111105</v>
      </c>
      <c r="E47" s="164"/>
      <c r="F47" s="165" t="str">
        <f>IF(ISBLANK(Control_9 Establishment_3),"",Control_9 Establishment_3)</f>
        <v>Smith Rd @ Island Hwy</v>
      </c>
      <c r="G47" s="185" t="str">
        <f>IF(ISBLANK('Control Entry'!K23),"",'Control Entry'!K23)</f>
        <v>LEFT       No crosswalk       RIGHT</v>
      </c>
      <c r="H47" s="186"/>
      <c r="I47" s="187"/>
      <c r="J47" s="115"/>
    </row>
    <row r="48" spans="2:10" ht="40" customHeight="1" x14ac:dyDescent="0.25">
      <c r="B48" s="156"/>
      <c r="C48" s="157">
        <f>Control_10 Open_time</f>
        <v>45178.538194444445</v>
      </c>
      <c r="D48" s="157">
        <f>Control_10 Close_time</f>
        <v>45178.854166666664</v>
      </c>
      <c r="E48" s="158"/>
      <c r="F48" s="159" t="str">
        <f>IF(ISBLANK(Control_10 Establishment_1),"",Control_10 Establishment_1)</f>
        <v>STAFFED</v>
      </c>
      <c r="G48" s="179" t="str">
        <f>IF(ISBLANK('Control Entry'!I24),"",'Control Entry'!I24)</f>
        <v/>
      </c>
      <c r="H48" s="180"/>
      <c r="I48" s="181"/>
      <c r="J48" s="114"/>
    </row>
    <row r="49" spans="2:11" ht="40" customHeight="1" x14ac:dyDescent="0.15">
      <c r="B49" s="160">
        <f>IF(ISBLANK(Distance Control_10),"",Control_10 Distance)</f>
        <v>201.1</v>
      </c>
      <c r="C49" s="161">
        <f>Control_10 Open_time</f>
        <v>45178.538194444445</v>
      </c>
      <c r="D49" s="161">
        <f>Control_10 Close_time</f>
        <v>45178.854166666664</v>
      </c>
      <c r="E49" s="159" t="str">
        <f>IF(ISBLANK(Locale Control_10),"",Locale Control_10)</f>
        <v>COURTENAY</v>
      </c>
      <c r="F49" s="159" t="str">
        <f>IF(ISBLANK(Control_10 Establishment_2),"",Control_10 Establishment_2)</f>
        <v>1744A Piercy Ave</v>
      </c>
      <c r="G49" s="182" t="str">
        <f>IF(ISBLANK('Control Entry'!J24),"",'Control Entry'!J24)</f>
        <v/>
      </c>
      <c r="H49" s="183"/>
      <c r="I49" s="184"/>
      <c r="J49" s="1"/>
    </row>
    <row r="50" spans="2:11" ht="40" customHeight="1" thickBot="1" x14ac:dyDescent="0.3">
      <c r="B50" s="162"/>
      <c r="C50" s="163">
        <f>Control_10 Open_time</f>
        <v>45178.538194444445</v>
      </c>
      <c r="D50" s="163">
        <f>Control_10 Close_time</f>
        <v>45178.854166666664</v>
      </c>
      <c r="E50" s="164"/>
      <c r="F50" s="165" t="str">
        <f>IF(ISBLANK(Control_10 Establishment_3),"",Control_10 Establishment_3)</f>
        <v/>
      </c>
      <c r="G50" s="185" t="str">
        <f>IF(ISBLANK('Control Entry'!K24),"",'Control Entry'!K24)</f>
        <v/>
      </c>
      <c r="H50" s="186"/>
      <c r="I50" s="187"/>
      <c r="J50" s="115"/>
    </row>
    <row r="52" spans="2:11" ht="24" customHeight="1" x14ac:dyDescent="0.15">
      <c r="B52" s="188" t="s">
        <v>43</v>
      </c>
      <c r="C52" s="188"/>
      <c r="D52" s="188"/>
      <c r="E52" s="188"/>
      <c r="F52" s="188"/>
      <c r="I52" s="120" t="s">
        <v>90</v>
      </c>
      <c r="J52" s="148">
        <f>IF(ISBLANK('Control Entry'!F10),"",'Control Entry'!F10)</f>
        <v>2507923126</v>
      </c>
      <c r="K52" s="116"/>
    </row>
    <row r="54" spans="2:11" x14ac:dyDescent="0.15">
      <c r="B54" s="143" t="s">
        <v>93</v>
      </c>
      <c r="C54" s="144">
        <f>'Control Entry'!B3</f>
        <v>45163</v>
      </c>
    </row>
    <row r="55" spans="2:11" ht="23" x14ac:dyDescent="0.15">
      <c r="B55" s="120"/>
      <c r="C55" s="120"/>
      <c r="D55" s="120"/>
      <c r="E55" s="120"/>
      <c r="F55" s="116"/>
      <c r="G55" s="122"/>
      <c r="H55" s="122"/>
      <c r="I55" s="122"/>
      <c r="J55" s="116"/>
    </row>
    <row r="56" spans="2:11" x14ac:dyDescent="0.15">
      <c r="E56" s="2"/>
    </row>
    <row r="57" spans="2:11" x14ac:dyDescent="0.15">
      <c r="B57" s="118"/>
      <c r="C57" s="119"/>
      <c r="D57" s="119"/>
      <c r="E57" s="119"/>
      <c r="F57" s="177"/>
      <c r="G57" s="178"/>
      <c r="H57" s="178"/>
      <c r="I57" s="178"/>
      <c r="J57" s="178"/>
    </row>
  </sheetData>
  <mergeCells count="50">
    <mergeCell ref="C2:F2"/>
    <mergeCell ref="B19:J19"/>
    <mergeCell ref="B10:C10"/>
    <mergeCell ref="E10:G10"/>
    <mergeCell ref="C7:F8"/>
    <mergeCell ref="H7:H8"/>
    <mergeCell ref="E5:H6"/>
    <mergeCell ref="E3:H3"/>
    <mergeCell ref="E4:H4"/>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G47:I47"/>
    <mergeCell ref="G20:I20"/>
    <mergeCell ref="D12:E12"/>
    <mergeCell ref="D14:E14"/>
    <mergeCell ref="G27:I27"/>
    <mergeCell ref="G28:I28"/>
    <mergeCell ref="G26:I26"/>
    <mergeCell ref="C17:F17"/>
    <mergeCell ref="G37:I37"/>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zoomScale="92" zoomScaleNormal="92" zoomScalePageLayoutView="92" workbookViewId="0">
      <selection activeCell="E28" sqref="E28"/>
    </sheetView>
  </sheetViews>
  <sheetFormatPr baseColWidth="10" defaultColWidth="8.83203125" defaultRowHeight="13" x14ac:dyDescent="0.15"/>
  <cols>
    <col min="1" max="1" width="8.5" style="1" customWidth="1"/>
    <col min="2" max="3" width="11.6640625" customWidth="1"/>
    <col min="4" max="4" width="18" customWidth="1"/>
    <col min="5" max="5" width="23.83203125" customWidth="1"/>
    <col min="6" max="6" width="42" customWidth="1"/>
    <col min="7" max="7" width="13.5" customWidth="1"/>
    <col min="8" max="8" width="8" style="27" customWidth="1"/>
    <col min="9" max="9" width="12" customWidth="1"/>
    <col min="12" max="14" width="9" customWidth="1"/>
    <col min="18" max="18" width="8.83203125" customWidth="1"/>
    <col min="19" max="19" width="10.5" customWidth="1"/>
  </cols>
  <sheetData>
    <row r="1" spans="1:22" ht="21" thickBot="1" x14ac:dyDescent="0.2">
      <c r="A1" s="197" t="s">
        <v>80</v>
      </c>
      <c r="B1" s="197"/>
      <c r="C1" s="197"/>
      <c r="D1" s="197"/>
      <c r="E1" s="197"/>
      <c r="F1" s="197"/>
      <c r="G1" s="197"/>
      <c r="H1" s="26" t="s">
        <v>29</v>
      </c>
    </row>
    <row r="2" spans="1:22" ht="33.75" customHeight="1" thickBot="1" x14ac:dyDescent="0.25">
      <c r="A2" s="72" t="s">
        <v>30</v>
      </c>
      <c r="B2" s="9" t="s">
        <v>3</v>
      </c>
      <c r="C2" s="9" t="s">
        <v>4</v>
      </c>
      <c r="D2" s="9" t="s">
        <v>25</v>
      </c>
      <c r="E2" s="9" t="s">
        <v>31</v>
      </c>
      <c r="F2" s="9" t="s">
        <v>59</v>
      </c>
      <c r="G2" s="72" t="s">
        <v>32</v>
      </c>
      <c r="H2" s="26" t="s">
        <v>29</v>
      </c>
      <c r="K2" s="221" t="s">
        <v>55</v>
      </c>
      <c r="L2" s="221"/>
      <c r="M2" s="221"/>
      <c r="N2" s="221"/>
      <c r="O2" s="221"/>
      <c r="P2" s="221"/>
      <c r="Q2" s="221"/>
      <c r="R2" s="221"/>
      <c r="S2" s="221"/>
      <c r="T2" s="221"/>
      <c r="U2" s="221"/>
    </row>
    <row r="3" spans="1:22" ht="36" customHeight="1" x14ac:dyDescent="0.45">
      <c r="A3" s="28"/>
      <c r="B3" s="29">
        <f>Control_1 Open_time</f>
        <v>45178.291666666664</v>
      </c>
      <c r="C3" s="29">
        <f>Control_1 Close_time</f>
        <v>45178.333333333328</v>
      </c>
      <c r="D3" s="30"/>
      <c r="E3" s="31" t="str">
        <f>IF(ISBLANK(Control_1 Establishment_1),"",Control_1 Establishment_1)</f>
        <v>STAFFED</v>
      </c>
      <c r="F3" s="95" t="str">
        <f>IF(ISBLANK('Control Entry'!I15),"",'Control Entry'!I15)</f>
        <v/>
      </c>
      <c r="G3" s="96"/>
      <c r="H3" s="26" t="s">
        <v>29</v>
      </c>
      <c r="K3" s="13"/>
      <c r="O3" s="205" t="s">
        <v>33</v>
      </c>
      <c r="P3" s="205"/>
      <c r="Q3" s="205"/>
      <c r="R3" s="205"/>
      <c r="S3" s="83" t="str">
        <f>IF('Control Entry'!D28=0,"","#1")</f>
        <v/>
      </c>
      <c r="U3" s="41"/>
    </row>
    <row r="4" spans="1:22" ht="36" customHeight="1" x14ac:dyDescent="0.2">
      <c r="A4" s="37">
        <f>IF(ISBLANK(Distance Control_1),"",Control_1 Distance)</f>
        <v>0</v>
      </c>
      <c r="B4" s="38">
        <f>Control_1 Open_time</f>
        <v>45178.291666666664</v>
      </c>
      <c r="C4" s="38">
        <f>Control_1 Close_time</f>
        <v>45178.333333333328</v>
      </c>
      <c r="D4" s="39" t="str">
        <f>IF(ISBLANK(Locale Control_1),"",Locale Control_1)</f>
        <v>COURTENAY</v>
      </c>
      <c r="E4" s="31" t="str">
        <f>IF(ISBLANK(Control_1 Establishment_2),"",Control_1 Establishment_2)</f>
        <v>1744A Piercy Ave</v>
      </c>
      <c r="F4" s="95" t="str">
        <f>IF(ISBLANK('Control Entry'!J15),"",'Control Entry'!J15)</f>
        <v/>
      </c>
      <c r="G4" s="96"/>
      <c r="H4" s="26" t="s">
        <v>29</v>
      </c>
      <c r="K4" s="13"/>
      <c r="M4" s="206" t="str">
        <f>IF(ISBLANK(Brevet_Length),"",Brevet_Length&amp;" km Randonnée")</f>
        <v>200 km Randonnée</v>
      </c>
      <c r="N4" s="206"/>
      <c r="O4" s="206"/>
      <c r="P4" s="206"/>
      <c r="Q4" s="206"/>
      <c r="R4" s="206"/>
      <c r="S4" s="206"/>
      <c r="T4" s="206"/>
      <c r="U4" s="42"/>
    </row>
    <row r="5" spans="1:22" ht="36" customHeight="1" thickBot="1" x14ac:dyDescent="0.25">
      <c r="A5" s="32"/>
      <c r="B5" s="33">
        <f>Control_1 Open_time</f>
        <v>45178.291666666664</v>
      </c>
      <c r="C5" s="33">
        <f>Control_1 Close_time</f>
        <v>45178.333333333328</v>
      </c>
      <c r="D5" s="34"/>
      <c r="E5" s="35" t="str">
        <f>IF(ISBLANK(Control_1 Establishment_3),"",Control_1 Establishment_3)</f>
        <v/>
      </c>
      <c r="F5" s="100" t="str">
        <f>IF(ISBLANK('Control Entry'!K15),"",'Control Entry'!K15)</f>
        <v/>
      </c>
      <c r="G5" s="99"/>
      <c r="H5" s="26" t="s">
        <v>29</v>
      </c>
      <c r="K5" s="13"/>
      <c r="M5" s="14"/>
      <c r="N5" s="207" t="s">
        <v>47</v>
      </c>
      <c r="O5" s="207"/>
      <c r="P5" s="60">
        <f>IF(ISBLANK(Brevet_Number),"",Brevet_Number)</f>
        <v>5277</v>
      </c>
      <c r="Q5" s="61"/>
      <c r="R5" s="220">
        <f>IF(ISBLANK('Control Entry'!$B10),"",'Control Entry'!$B10)</f>
        <v>45178</v>
      </c>
      <c r="S5" s="220"/>
      <c r="T5" s="220"/>
      <c r="U5" s="220"/>
      <c r="V5" s="43"/>
    </row>
    <row r="6" spans="1:22" ht="36" customHeight="1" x14ac:dyDescent="0.2">
      <c r="A6" s="28"/>
      <c r="B6" s="29">
        <f>Control_2 Open_time</f>
        <v>45178.306944444441</v>
      </c>
      <c r="C6" s="29">
        <f>Control_2 Close_time</f>
        <v>45178.359722222223</v>
      </c>
      <c r="D6" s="36"/>
      <c r="E6" s="31" t="str">
        <f>IF(ISBLANK(Control_2 Establishment_1),"",Control_2 Establishment_1)</f>
        <v>INFORMATION</v>
      </c>
      <c r="F6" s="95" t="str">
        <f>IF(ISBLANK('Control Entry'!I16),"",'Control Entry'!I16)</f>
        <v xml:space="preserve">Speed zone </v>
      </c>
      <c r="G6" s="96"/>
      <c r="H6" s="26" t="s">
        <v>29</v>
      </c>
      <c r="K6" s="13"/>
      <c r="L6" s="210" t="str">
        <f>IF(ISBLANK(Brevet_Description),"",Brevet_Description)</f>
        <v>Comox Valley Crisscross</v>
      </c>
      <c r="M6" s="210"/>
      <c r="N6" s="210"/>
      <c r="O6" s="210"/>
      <c r="P6" s="210"/>
      <c r="Q6" s="210"/>
      <c r="R6" s="210"/>
      <c r="S6" s="210"/>
      <c r="T6" s="210"/>
      <c r="U6" s="210"/>
    </row>
    <row r="7" spans="1:22" ht="36" customHeight="1" x14ac:dyDescent="0.2">
      <c r="A7" s="37">
        <f>IF(ISBLANK(Distance Control_2),"",Control_2 Distance)</f>
        <v>12.7</v>
      </c>
      <c r="B7" s="38">
        <f>Control_2 Open_time</f>
        <v>45178.306944444441</v>
      </c>
      <c r="C7" s="38">
        <f>Control_2 Close_time</f>
        <v>45178.359722222223</v>
      </c>
      <c r="D7" s="39" t="str">
        <f>IF(ISBLANK(Locale Control_2),"",Locale Control_2)</f>
        <v>BEVAN</v>
      </c>
      <c r="E7" s="52" t="str">
        <f>IF(ISBLANK(Control_2 Establishment_2),"",Control_2 Establishment_2)</f>
        <v>Road sign at end of gravel</v>
      </c>
      <c r="F7" s="97" t="str">
        <f>IF(ISBLANK('Control Entry'!J16),"",'Control Entry'!J16)</f>
        <v>What kph?</v>
      </c>
      <c r="G7" s="96"/>
      <c r="H7" s="26" t="s">
        <v>29</v>
      </c>
      <c r="J7" s="82"/>
      <c r="L7" s="82"/>
    </row>
    <row r="8" spans="1:22" ht="36" customHeight="1" thickBot="1" x14ac:dyDescent="0.25">
      <c r="A8" s="32"/>
      <c r="B8" s="33">
        <f>Control_2 Open_time</f>
        <v>45178.306944444441</v>
      </c>
      <c r="C8" s="33">
        <f>Control_2 Close_time</f>
        <v>45178.359722222223</v>
      </c>
      <c r="D8" s="34"/>
      <c r="E8" s="81" t="str">
        <f>IF(ISBLANK(Control_2 Establishment_3),"",Control_2 Establishment_3)</f>
        <v>4787 Lake Trail Rd</v>
      </c>
      <c r="F8" s="98" t="str">
        <f>IF(ISBLANK('Control Entry'!K16),"",'Control Entry'!K16)</f>
        <v/>
      </c>
      <c r="G8" s="99"/>
      <c r="H8" s="26" t="s">
        <v>29</v>
      </c>
      <c r="J8" s="14" t="s">
        <v>34</v>
      </c>
      <c r="L8" s="222"/>
      <c r="M8" s="222"/>
      <c r="N8" s="222"/>
      <c r="O8" s="222"/>
      <c r="P8" s="222"/>
      <c r="Q8" s="222"/>
      <c r="R8" s="27"/>
      <c r="S8" s="44" t="s">
        <v>46</v>
      </c>
      <c r="T8" s="229"/>
      <c r="U8" s="229"/>
    </row>
    <row r="9" spans="1:22" ht="36" customHeight="1" thickBot="1" x14ac:dyDescent="0.3">
      <c r="A9" s="28"/>
      <c r="B9" s="29">
        <f>Control_3 Open_time</f>
        <v>45178.34097222222</v>
      </c>
      <c r="C9" s="29">
        <f>Control_3 Close_time</f>
        <v>45178.416666666664</v>
      </c>
      <c r="D9" s="36"/>
      <c r="E9" s="31" t="str">
        <f>IF(ISBLANK(Control_3 Establishment_1),"",Control_3 Establishment_1)</f>
        <v>STAFFED</v>
      </c>
      <c r="F9" s="95" t="str">
        <f>IF(ISBLANK('Control Entry'!I17),"",'Control Entry'!I17)</f>
        <v/>
      </c>
      <c r="G9" s="96"/>
      <c r="H9" s="26" t="s">
        <v>29</v>
      </c>
      <c r="J9" s="14" t="s">
        <v>35</v>
      </c>
      <c r="K9" s="14"/>
      <c r="L9" s="212" t="s">
        <v>54</v>
      </c>
      <c r="M9" s="212"/>
      <c r="N9" s="212"/>
      <c r="O9" s="212"/>
      <c r="P9" s="212"/>
      <c r="Q9" s="212"/>
      <c r="R9" s="212"/>
      <c r="S9" s="212"/>
      <c r="T9" s="212"/>
      <c r="U9" s="212"/>
    </row>
    <row r="10" spans="1:22" ht="36" customHeight="1" thickBot="1" x14ac:dyDescent="0.3">
      <c r="A10" s="37">
        <f>IF(ISBLANK(Distance Control_3),"",Control_3 Distance)</f>
        <v>40</v>
      </c>
      <c r="B10" s="38">
        <f>Control_3 Open_time</f>
        <v>45178.34097222222</v>
      </c>
      <c r="C10" s="38">
        <f>Control_3 Close_time</f>
        <v>45178.416666666664</v>
      </c>
      <c r="D10" s="39" t="str">
        <f>IF(ISBLANK(Locale Control_3),"",Locale Control_3)</f>
        <v>BUCKLEY BAY</v>
      </c>
      <c r="E10" s="31" t="str">
        <f>IF(ISBLANK(Control_3 Establishment_2),"",Control_3 Establishment_2)</f>
        <v>Rest Area</v>
      </c>
      <c r="F10" s="95" t="str">
        <f>IF(ISBLANK('Control Entry'!J17),"",'Control Entry'!J17)</f>
        <v/>
      </c>
      <c r="G10" s="96"/>
      <c r="H10" s="26" t="s">
        <v>29</v>
      </c>
      <c r="J10" s="14"/>
      <c r="K10" s="14"/>
      <c r="L10" s="213"/>
      <c r="M10" s="213"/>
      <c r="N10" s="213"/>
      <c r="O10" s="213"/>
      <c r="P10" s="213"/>
      <c r="Q10" s="213"/>
      <c r="R10" s="213"/>
      <c r="S10" s="213"/>
      <c r="T10" s="213"/>
      <c r="U10" s="213"/>
    </row>
    <row r="11" spans="1:22" ht="36" customHeight="1" thickBot="1" x14ac:dyDescent="0.3">
      <c r="A11" s="32"/>
      <c r="B11" s="33">
        <f>Control_3 Open_time</f>
        <v>45178.34097222222</v>
      </c>
      <c r="C11" s="33">
        <f>Control_3 Close_time</f>
        <v>45178.416666666664</v>
      </c>
      <c r="D11" s="34"/>
      <c r="E11" s="35" t="str">
        <f>IF(ISBLANK(Control_3 Establishment_3),"",Control_3 Establishment_3)</f>
        <v>6866 Buckley Bay Rd</v>
      </c>
      <c r="F11" s="100" t="str">
        <f>IF(ISBLANK('Control Entry'!K17),"",'Control Entry'!K17)</f>
        <v/>
      </c>
      <c r="G11" s="99"/>
      <c r="H11" s="26" t="s">
        <v>29</v>
      </c>
      <c r="J11" s="14" t="s">
        <v>36</v>
      </c>
      <c r="K11" s="14"/>
      <c r="L11" s="213"/>
      <c r="M11" s="213"/>
      <c r="N11" s="213"/>
      <c r="O11" s="17"/>
      <c r="P11" s="17" t="s">
        <v>37</v>
      </c>
      <c r="Q11" s="17"/>
      <c r="R11" s="17"/>
      <c r="S11" s="217"/>
      <c r="T11" s="217"/>
      <c r="U11" s="217"/>
    </row>
    <row r="12" spans="1:22" ht="36" customHeight="1" thickBot="1" x14ac:dyDescent="0.3">
      <c r="A12" s="28"/>
      <c r="B12" s="29">
        <f>Control_4 Open_time</f>
        <v>45178.38958333333</v>
      </c>
      <c r="C12" s="29">
        <f>Control_4 Close_time</f>
        <v>45178.513888888883</v>
      </c>
      <c r="D12" s="36"/>
      <c r="E12" s="31" t="str">
        <f>IF(ISBLANK(Control_4 Establishment_1),"",Control_4 Establishment_1)</f>
        <v>INFORMATION</v>
      </c>
      <c r="F12" s="95" t="str">
        <f>IF(ISBLANK('Control Entry'!I18),"",'Control Entry'!I18)</f>
        <v>Mail box shape</v>
      </c>
      <c r="G12" s="96"/>
      <c r="H12" s="26" t="s">
        <v>29</v>
      </c>
      <c r="J12" s="14" t="s">
        <v>38</v>
      </c>
      <c r="K12" s="14"/>
      <c r="L12" s="213"/>
      <c r="M12" s="213"/>
      <c r="N12" s="213"/>
      <c r="O12" s="17"/>
      <c r="P12" s="17" t="s">
        <v>39</v>
      </c>
      <c r="Q12" s="17"/>
      <c r="R12" s="17"/>
      <c r="S12" s="217"/>
      <c r="T12" s="217"/>
      <c r="U12" s="217"/>
    </row>
    <row r="13" spans="1:22" ht="36" customHeight="1" thickBot="1" x14ac:dyDescent="0.3">
      <c r="A13" s="37">
        <f>IF(ISBLANK(Distance Control_4),"",Control_4 Distance)</f>
        <v>79.900000000000006</v>
      </c>
      <c r="B13" s="38">
        <f>Control_4 Open_time</f>
        <v>45178.38958333333</v>
      </c>
      <c r="C13" s="38">
        <f>Control_4 Close_time</f>
        <v>45178.513888888883</v>
      </c>
      <c r="D13" s="39" t="str">
        <f>IF(ISBLANK(Locale Control_4),"",Locale Control_4)</f>
        <v>COMOX</v>
      </c>
      <c r="E13" s="31" t="str">
        <f>IF(ISBLANK(Control_4 Establishment_2),"",Control_4 Establishment_2)</f>
        <v>1474 Hudson Rd</v>
      </c>
      <c r="F13" s="95" t="str">
        <f>IF(ISBLANK('Control Entry'!J18),"",'Control Entry'!J18)</f>
        <v/>
      </c>
      <c r="G13" s="96"/>
      <c r="H13" s="26" t="s">
        <v>29</v>
      </c>
      <c r="J13" s="14" t="s">
        <v>40</v>
      </c>
      <c r="L13" s="216"/>
      <c r="M13" s="216"/>
      <c r="N13" s="216"/>
      <c r="O13" s="18"/>
      <c r="P13" s="17" t="s">
        <v>41</v>
      </c>
      <c r="Q13" s="17"/>
      <c r="R13" s="219"/>
      <c r="S13" s="219"/>
      <c r="T13" s="219"/>
      <c r="U13" s="219"/>
    </row>
    <row r="14" spans="1:22" ht="36" customHeight="1" thickBot="1" x14ac:dyDescent="0.25">
      <c r="A14" s="32"/>
      <c r="B14" s="33">
        <f>Control_4 Open_time</f>
        <v>45178.38958333333</v>
      </c>
      <c r="C14" s="33">
        <f>Control_4 Close_time</f>
        <v>45178.513888888883</v>
      </c>
      <c r="D14" s="34"/>
      <c r="E14" s="35" t="str">
        <f>IF(ISBLANK(Control_4 Establishment_3),"",Control_4 Establishment_3)</f>
        <v/>
      </c>
      <c r="F14" s="100" t="str">
        <f>IF(ISBLANK('Control Entry'!K18),"",'Control Entry'!K18)</f>
        <v>Barn       Bicycle       Birdhouse</v>
      </c>
      <c r="G14" s="99"/>
      <c r="H14" s="26" t="s">
        <v>29</v>
      </c>
    </row>
    <row r="15" spans="1:22" ht="36" customHeight="1" x14ac:dyDescent="0.2">
      <c r="A15" s="28"/>
      <c r="B15" s="29">
        <f>Control_5 Open_time</f>
        <v>45178.402083333334</v>
      </c>
      <c r="C15" s="29">
        <f>Control_5 Close_time</f>
        <v>45178.541666666664</v>
      </c>
      <c r="D15" s="36"/>
      <c r="E15" s="31" t="str">
        <f>IF(ISBLANK(Control_5 Establishment_1),"",Control_5 Establishment_1)</f>
        <v>INFORMATION</v>
      </c>
      <c r="F15" s="95" t="str">
        <f>IF(ISBLANK('Control Entry'!I19),"",'Control Entry'!I19)</f>
        <v>Recreation Association sign, ramp side</v>
      </c>
      <c r="G15" s="96"/>
      <c r="H15" s="26" t="s">
        <v>29</v>
      </c>
      <c r="J15" s="14"/>
      <c r="L15" s="209" t="s">
        <v>58</v>
      </c>
      <c r="M15" s="209"/>
      <c r="N15" s="209"/>
      <c r="O15" s="209"/>
      <c r="P15" s="209"/>
      <c r="Q15" s="209"/>
      <c r="R15" s="209"/>
      <c r="S15" s="209"/>
      <c r="T15" s="209"/>
      <c r="U15" s="209"/>
    </row>
    <row r="16" spans="1:22" ht="36" customHeight="1" thickBot="1" x14ac:dyDescent="0.25">
      <c r="A16" s="37">
        <f>IF(ISBLANK(Distance Control_5),"",Control_5 Distance)</f>
        <v>89.9</v>
      </c>
      <c r="B16" s="38">
        <f>Control_5 Open_time</f>
        <v>45178.402083333334</v>
      </c>
      <c r="C16" s="38">
        <f>Control_5 Close_time</f>
        <v>45178.541666666664</v>
      </c>
      <c r="D16" s="39" t="str">
        <f>IF(ISBLANK(Locale Control_5),"",Locale Control_5)</f>
        <v>POINT HOLMES</v>
      </c>
      <c r="E16" s="31" t="str">
        <f>IF(ISBLANK(Control_5 Establishment_2),"",Control_5 Establishment_2)</f>
        <v>Boat Launch</v>
      </c>
      <c r="F16" s="95" t="str">
        <f>IF(ISBLANK('Control Entry'!J19),"",'Control Entry'!J19)</f>
        <v>Single use fee for SUP?</v>
      </c>
      <c r="G16" s="96"/>
      <c r="H16" s="26" t="s">
        <v>29</v>
      </c>
      <c r="L16" s="214"/>
      <c r="M16" s="214"/>
      <c r="N16" s="214"/>
      <c r="O16" s="214"/>
      <c r="P16" s="214"/>
      <c r="Q16" s="214"/>
      <c r="R16" s="214"/>
      <c r="S16" s="214"/>
      <c r="T16" s="214"/>
      <c r="U16" s="214"/>
    </row>
    <row r="17" spans="1:22" ht="36" customHeight="1" thickBot="1" x14ac:dyDescent="0.25">
      <c r="A17" s="32"/>
      <c r="B17" s="33">
        <f>Control_5 Open_time</f>
        <v>45178.402083333334</v>
      </c>
      <c r="C17" s="33">
        <f>Control_5 Close_time</f>
        <v>45178.541666666664</v>
      </c>
      <c r="D17" s="34"/>
      <c r="E17" s="35" t="str">
        <f>IF(ISBLANK(Control_5 Establishment_3),"",Control_5 Establishment_3)</f>
        <v>988 Lazo Rd</v>
      </c>
      <c r="F17" s="100" t="str">
        <f>IF(ISBLANK('Control Entry'!K19),"",'Control Entry'!K19)</f>
        <v>Free       $2       $5</v>
      </c>
      <c r="G17" s="99"/>
      <c r="H17" s="26" t="s">
        <v>29</v>
      </c>
    </row>
    <row r="18" spans="1:22" ht="36" customHeight="1" x14ac:dyDescent="0.2">
      <c r="A18" s="28"/>
      <c r="B18" s="29">
        <f>Control_6 Open_time</f>
        <v>45178.414583333331</v>
      </c>
      <c r="C18" s="29">
        <f>Control_6 Close_time</f>
        <v>45178.570833333331</v>
      </c>
      <c r="D18" s="36"/>
      <c r="E18" s="31" t="str">
        <f>IF(ISBLANK(Control_6 Establishment_1),"",Control_6 Establishment_1)</f>
        <v>STAFFED</v>
      </c>
      <c r="F18" s="95" t="str">
        <f>IF(ISBLANK('Control Entry'!I20),"",'Control Entry'!I20)</f>
        <v/>
      </c>
      <c r="G18" s="96"/>
      <c r="H18" s="26" t="s">
        <v>29</v>
      </c>
    </row>
    <row r="19" spans="1:22" ht="36" customHeight="1" x14ac:dyDescent="0.2">
      <c r="A19" s="37">
        <f>IF(ISBLANK(Distance Control_6),"",Control_6 Distance)</f>
        <v>100.5</v>
      </c>
      <c r="B19" s="38">
        <f>Control_6 Open_time</f>
        <v>45178.414583333331</v>
      </c>
      <c r="C19" s="38">
        <f>Control_6 Close_time</f>
        <v>45178.570833333331</v>
      </c>
      <c r="D19" s="39" t="str">
        <f>IF(ISBLANK(Locale Control_6),"",Locale Control_6)</f>
        <v>LITTLE RIVER</v>
      </c>
      <c r="E19" s="31" t="str">
        <f>IF(ISBLANK(Control_6 Establishment_2),"",Control_6 Establishment_2)</f>
        <v>1938 Singing Sands Rd</v>
      </c>
      <c r="F19" s="95" t="str">
        <f>IF(ISBLANK('Control Entry'!J20),"",'Control Entry'!J20)</f>
        <v/>
      </c>
      <c r="G19" s="96"/>
      <c r="H19" s="26" t="s">
        <v>29</v>
      </c>
    </row>
    <row r="20" spans="1:22" ht="36" customHeight="1" thickBot="1" x14ac:dyDescent="0.25">
      <c r="A20" s="32"/>
      <c r="B20" s="33">
        <f>Control_6 Open_time</f>
        <v>45178.414583333331</v>
      </c>
      <c r="C20" s="33">
        <f>Control_6 Close_time</f>
        <v>45178.570833333331</v>
      </c>
      <c r="D20" s="34"/>
      <c r="E20" s="35" t="str">
        <f>IF(ISBLANK(Control_6 Establishment_3),"",Control_6 Establishment_3)</f>
        <v/>
      </c>
      <c r="F20" s="100" t="str">
        <f>IF(ISBLANK('Control Entry'!K20),"",'Control Entry'!K20)</f>
        <v/>
      </c>
      <c r="G20" s="99"/>
      <c r="H20" s="26" t="s">
        <v>29</v>
      </c>
      <c r="J20" s="58" t="s">
        <v>44</v>
      </c>
      <c r="K20" s="58"/>
      <c r="L20" s="230">
        <f>IF(ISBLANK('Control Entry'!B12),"",'Control Entry'!B12)</f>
        <v>45178</v>
      </c>
      <c r="M20" s="230"/>
      <c r="N20" s="230"/>
      <c r="P20" s="17" t="s">
        <v>0</v>
      </c>
      <c r="Q20" s="17"/>
      <c r="S20" s="208">
        <f>IF(ISBLANK('Control Entry'!B13),"",'Control Entry'!B13)</f>
        <v>0.29166666666666669</v>
      </c>
      <c r="T20" s="208"/>
      <c r="U20" s="208"/>
    </row>
    <row r="21" spans="1:22" ht="36" customHeight="1" x14ac:dyDescent="0.2">
      <c r="A21" s="28"/>
      <c r="B21" s="29">
        <f>Control_7 Open_time</f>
        <v>45178.459027777775</v>
      </c>
      <c r="C21" s="29">
        <f>Control_7 Close_time</f>
        <v>45178.67083333333</v>
      </c>
      <c r="D21" s="36"/>
      <c r="E21" s="31" t="str">
        <f>IF(ISBLANK(Control_7 Establishment_1),"",Control_7 Establishment_1)</f>
        <v>BUSINESS</v>
      </c>
      <c r="F21" s="95" t="str">
        <f>IF(ISBLANK('Control Entry'!I21),"",'Control Entry'!I21)</f>
        <v/>
      </c>
      <c r="G21" s="96"/>
      <c r="H21" s="26" t="s">
        <v>29</v>
      </c>
      <c r="J21" s="58"/>
      <c r="K21" s="58"/>
      <c r="L21" s="56"/>
      <c r="M21" s="56"/>
      <c r="N21" s="56"/>
      <c r="P21" s="17"/>
      <c r="Q21" s="17"/>
      <c r="R21" s="21"/>
      <c r="S21" s="59"/>
      <c r="T21" s="59"/>
      <c r="U21" s="59"/>
      <c r="V21" s="27"/>
    </row>
    <row r="22" spans="1:22" ht="36" customHeight="1" thickBot="1" x14ac:dyDescent="0.25">
      <c r="A22" s="37">
        <f>IF(ISBLANK(Distance Control_7),"",Control_7 Distance)</f>
        <v>136.4</v>
      </c>
      <c r="B22" s="38">
        <f>Control_7 Open_time</f>
        <v>45178.459027777775</v>
      </c>
      <c r="C22" s="38">
        <f>Control_7 Close_time</f>
        <v>45178.67083333333</v>
      </c>
      <c r="D22" s="39" t="str">
        <f>IF(ISBLANK(Locale Control_7),"",Locale Control_7)</f>
        <v>OYSTER RIVER</v>
      </c>
      <c r="E22" s="31" t="str">
        <f>IF(ISBLANK(Control_7 Establishment_2),"",Control_7 Establishment_2)</f>
        <v>Your choice</v>
      </c>
      <c r="F22" s="95" t="str">
        <f>IF(ISBLANK('Control Entry'!J21),"",'Control Entry'!J21)</f>
        <v/>
      </c>
      <c r="G22" s="96"/>
      <c r="H22" s="26" t="s">
        <v>29</v>
      </c>
      <c r="J22" s="57" t="s">
        <v>45</v>
      </c>
      <c r="K22" s="57"/>
      <c r="L22" s="215"/>
      <c r="M22" s="215"/>
      <c r="N22" s="215"/>
      <c r="O22" s="18"/>
      <c r="P22" s="17" t="s">
        <v>1</v>
      </c>
      <c r="Q22" s="17"/>
      <c r="R22" s="18"/>
      <c r="S22" s="211"/>
      <c r="T22" s="211"/>
      <c r="U22" s="211"/>
    </row>
    <row r="23" spans="1:22" ht="36" customHeight="1" thickBot="1" x14ac:dyDescent="0.25">
      <c r="A23" s="32"/>
      <c r="B23" s="33">
        <f>Control_7 Open_time</f>
        <v>45178.459027777775</v>
      </c>
      <c r="C23" s="33">
        <f>Control_7 Close_time</f>
        <v>45178.67083333333</v>
      </c>
      <c r="D23" s="34"/>
      <c r="E23" s="35" t="str">
        <f>IF(ISBLANK(Control_7 Establishment_3),"",Control_7 Establishment_3)</f>
        <v>Discovery Foods Plaza</v>
      </c>
      <c r="F23" s="100" t="str">
        <f>IF(ISBLANK('Control Entry'!K21),"",'Control Entry'!K21)</f>
        <v/>
      </c>
      <c r="G23" s="99"/>
      <c r="H23" s="26" t="s">
        <v>29</v>
      </c>
      <c r="J23" s="57"/>
      <c r="K23" s="57"/>
      <c r="L23" s="56"/>
      <c r="M23" s="56"/>
      <c r="N23" s="56"/>
      <c r="O23" s="21"/>
      <c r="P23" s="55"/>
      <c r="Q23" s="55"/>
      <c r="R23" s="21"/>
      <c r="S23" s="21"/>
      <c r="T23" s="21"/>
      <c r="U23" s="21"/>
      <c r="V23" s="27"/>
    </row>
    <row r="24" spans="1:22" ht="36" customHeight="1" thickBot="1" x14ac:dyDescent="0.25">
      <c r="A24" s="28"/>
      <c r="B24" s="29">
        <f>Control_8 Open_time</f>
        <v>45178.506249999999</v>
      </c>
      <c r="C24" s="29">
        <f>Control_8 Close_time</f>
        <v>45178.77847222222</v>
      </c>
      <c r="D24" s="36"/>
      <c r="E24" s="31" t="str">
        <f>IF(ISBLANK(Control_8 Establishment_1),"",Control_8 Establishment_1)</f>
        <v>INFORMATION</v>
      </c>
      <c r="F24" s="95" t="str">
        <f>IF(ISBLANK('Control Entry'!I22),"",'Control Entry'!I22)</f>
        <v>Back of stop sign, seen from Dove Ck</v>
      </c>
      <c r="G24" s="96"/>
      <c r="H24" s="26" t="s">
        <v>29</v>
      </c>
      <c r="J24" s="211"/>
      <c r="K24" s="211"/>
      <c r="L24" s="211"/>
      <c r="M24" s="211"/>
      <c r="N24" s="211"/>
      <c r="O24" s="18"/>
      <c r="P24" s="17" t="s">
        <v>2</v>
      </c>
      <c r="Q24" s="17"/>
      <c r="R24" s="18"/>
      <c r="S24" s="211"/>
      <c r="T24" s="211"/>
      <c r="U24" s="211"/>
    </row>
    <row r="25" spans="1:22" ht="36" customHeight="1" x14ac:dyDescent="0.2">
      <c r="A25" s="37">
        <f>IF(ISBLANK(Distance Control_8),"",Control_8 Distance)</f>
        <v>175.3</v>
      </c>
      <c r="B25" s="38">
        <f>Control_8 Open_time</f>
        <v>45178.506249999999</v>
      </c>
      <c r="C25" s="38">
        <f>Control_8 Close_time</f>
        <v>45178.77847222222</v>
      </c>
      <c r="D25" s="39" t="str">
        <f>IF(ISBLANK(Locale Control_8),"",Locale Control_8)</f>
        <v>HEADQUARTERS</v>
      </c>
      <c r="E25" s="31" t="str">
        <f>IF(ISBLANK(Control_8 Establishment_2),"",Control_8 Establishment_2)</f>
        <v>Stop Sign</v>
      </c>
      <c r="F25" s="95" t="str">
        <f>IF(ISBLANK('Control Entry'!J22),"",'Control Entry'!J22)</f>
        <v>What number?</v>
      </c>
      <c r="G25" s="96"/>
      <c r="H25" s="26" t="s">
        <v>29</v>
      </c>
      <c r="J25" s="194" t="s">
        <v>17</v>
      </c>
      <c r="K25" s="194"/>
      <c r="L25" s="194"/>
      <c r="M25" s="194"/>
      <c r="N25" s="194"/>
      <c r="O25" s="50"/>
      <c r="P25" s="195"/>
      <c r="Q25" s="195"/>
      <c r="R25" s="50"/>
      <c r="S25" s="176"/>
      <c r="T25" s="176"/>
      <c r="U25" s="176"/>
      <c r="V25" s="176"/>
    </row>
    <row r="26" spans="1:22" ht="36" customHeight="1" thickBot="1" x14ac:dyDescent="0.25">
      <c r="A26" s="32"/>
      <c r="B26" s="33">
        <f>Control_8 Open_time</f>
        <v>45178.506249999999</v>
      </c>
      <c r="C26" s="33">
        <f>Control_8 Close_time</f>
        <v>45178.77847222222</v>
      </c>
      <c r="D26" s="34"/>
      <c r="E26" s="35" t="str">
        <f>IF(ISBLANK(Control_8 Establishment_3),"",Control_8 Establishment_3)</f>
        <v>S. Farnham Rd @ Dove Creek Rd</v>
      </c>
      <c r="F26" s="100" t="str">
        <f>IF(ISBLANK('Control Entry'!K22),"",'Control Entry'!K22)</f>
        <v/>
      </c>
      <c r="G26" s="99"/>
      <c r="H26" s="26" t="s">
        <v>29</v>
      </c>
    </row>
    <row r="27" spans="1:22" ht="36" customHeight="1" x14ac:dyDescent="0.2">
      <c r="A27" s="28"/>
      <c r="B27" s="29">
        <f>Control_9 Open_time</f>
        <v>45178.523611111108</v>
      </c>
      <c r="C27" s="29">
        <f>Control_9 Close_time</f>
        <v>45178.817361111105</v>
      </c>
      <c r="D27" s="36"/>
      <c r="E27" s="31" t="str">
        <f>IF(ISBLANK(Control_9 Establishment_1),"",Control_9 Establishment_1)</f>
        <v>INFORMATION</v>
      </c>
      <c r="F27" s="95" t="str">
        <f>IF(ISBLANK('Control Entry'!I23),"",'Control Entry'!I23)</f>
        <v>Crosswalk across hwy</v>
      </c>
      <c r="G27" s="96"/>
      <c r="H27" s="26" t="s">
        <v>29</v>
      </c>
      <c r="K27" s="206" t="s">
        <v>56</v>
      </c>
      <c r="L27" s="195"/>
      <c r="M27" s="49" t="s">
        <v>57</v>
      </c>
      <c r="N27" s="195" t="s">
        <v>49</v>
      </c>
      <c r="O27" s="195"/>
      <c r="P27" s="195" t="s">
        <v>50</v>
      </c>
      <c r="Q27" s="195"/>
      <c r="R27" s="50" t="s">
        <v>51</v>
      </c>
      <c r="S27" s="176" t="s">
        <v>52</v>
      </c>
      <c r="T27" s="176"/>
      <c r="U27" s="176" t="s">
        <v>53</v>
      </c>
      <c r="V27" s="176"/>
    </row>
    <row r="28" spans="1:22" ht="36" customHeight="1" x14ac:dyDescent="0.2">
      <c r="A28" s="37">
        <f>IF(ISBLANK(Distance Control_9),"",Control_9 Distance)</f>
        <v>189.2</v>
      </c>
      <c r="B28" s="38">
        <f>Control_9 Open_time</f>
        <v>45178.523611111108</v>
      </c>
      <c r="C28" s="38">
        <f>Control_9 Close_time</f>
        <v>45178.817361111105</v>
      </c>
      <c r="D28" s="39" t="str">
        <f>IF(ISBLANK(Locale Control_9),"",Locale Control_9)</f>
        <v>GRANTHAM</v>
      </c>
      <c r="E28" s="31" t="str">
        <f>IF(ISBLANK(Control_9 Establishment_2),"",Control_9 Establishment_2)</f>
        <v>Stop Sign</v>
      </c>
      <c r="F28" s="95" t="str">
        <f>IF(ISBLANK('Control Entry'!J23),"",'Control Entry'!J23)</f>
        <v>On which side of Smith?</v>
      </c>
      <c r="G28" s="96"/>
      <c r="H28" s="26" t="s">
        <v>29</v>
      </c>
    </row>
    <row r="29" spans="1:22" ht="36" customHeight="1" thickBot="1" x14ac:dyDescent="0.25">
      <c r="A29" s="32"/>
      <c r="B29" s="33">
        <f>Control_9 Open_time</f>
        <v>45178.523611111108</v>
      </c>
      <c r="C29" s="33">
        <f>Control_9 Close_time</f>
        <v>45178.817361111105</v>
      </c>
      <c r="D29" s="34"/>
      <c r="E29" s="35" t="str">
        <f>IF(ISBLANK(Control_9 Establishment_3),"",Control_9 Establishment_3)</f>
        <v>Smith Rd @ Island Hwy</v>
      </c>
      <c r="F29" s="100" t="str">
        <f>IF(ISBLANK('Control Entry'!K23),"",'Control Entry'!K23)</f>
        <v>LEFT       No crosswalk       RIGHT</v>
      </c>
      <c r="G29" s="99"/>
      <c r="H29" s="26" t="s">
        <v>29</v>
      </c>
      <c r="M29" s="231" t="s">
        <v>42</v>
      </c>
      <c r="N29" s="231"/>
      <c r="O29" s="231"/>
      <c r="P29" s="231"/>
      <c r="Q29" s="231"/>
      <c r="R29" s="231"/>
      <c r="S29" s="231"/>
      <c r="T29" s="231"/>
      <c r="U29" s="53"/>
    </row>
    <row r="30" spans="1:22" ht="36" customHeight="1" x14ac:dyDescent="0.2">
      <c r="A30" s="28"/>
      <c r="B30" s="29">
        <f>Control_10 Open_time</f>
        <v>45178.538194444445</v>
      </c>
      <c r="C30" s="29">
        <f>Control_10 Close_time</f>
        <v>45178.854166666664</v>
      </c>
      <c r="D30" s="36"/>
      <c r="E30" s="31" t="str">
        <f>IF(ISBLANK(Control_10 Establishment_1),"",Control_10 Establishment_1)</f>
        <v>STAFFED</v>
      </c>
      <c r="F30" s="95" t="str">
        <f>IF(ISBLANK('Control Entry'!I24),"",'Control Entry'!I24)</f>
        <v/>
      </c>
      <c r="G30" s="96"/>
      <c r="H30" s="26" t="s">
        <v>29</v>
      </c>
      <c r="M30" s="15"/>
      <c r="N30" s="19"/>
      <c r="O30" s="19"/>
      <c r="P30" s="20"/>
      <c r="Q30" s="102"/>
      <c r="R30" s="19"/>
      <c r="S30" s="19"/>
      <c r="T30" s="20"/>
      <c r="U30" s="21"/>
    </row>
    <row r="31" spans="1:22" ht="36" customHeight="1" x14ac:dyDescent="0.2">
      <c r="A31" s="37">
        <f>IF(ISBLANK(Distance Control_10),"",Control_10 Distance)</f>
        <v>201.1</v>
      </c>
      <c r="B31" s="38">
        <f>Control_10 Open_time</f>
        <v>45178.538194444445</v>
      </c>
      <c r="C31" s="38">
        <f>Control_10 Close_time</f>
        <v>45178.854166666664</v>
      </c>
      <c r="D31" s="39" t="str">
        <f>IF(ISBLANK(Locale Control_10),"",Locale Control_10)</f>
        <v>COURTENAY</v>
      </c>
      <c r="E31" s="31" t="str">
        <f>IF(ISBLANK(Control_10 Establishment_2),"",Control_10 Establishment_2)</f>
        <v>1744A Piercy Ave</v>
      </c>
      <c r="F31" s="95" t="str">
        <f>IF(ISBLANK('Control Entry'!J24),"",'Control Entry'!J24)</f>
        <v/>
      </c>
      <c r="G31" s="96"/>
      <c r="H31" s="26" t="s">
        <v>29</v>
      </c>
      <c r="M31" s="16"/>
      <c r="N31" s="21"/>
      <c r="O31" s="21"/>
      <c r="P31" s="22"/>
      <c r="Q31" s="103"/>
      <c r="R31" s="21"/>
      <c r="S31" s="21"/>
      <c r="T31" s="22"/>
      <c r="U31" s="21"/>
    </row>
    <row r="32" spans="1:22" ht="36" customHeight="1" thickBot="1" x14ac:dyDescent="0.25">
      <c r="A32" s="32"/>
      <c r="B32" s="33">
        <f>Control_10 Open_time</f>
        <v>45178.538194444445</v>
      </c>
      <c r="C32" s="33">
        <f>Control_10 Close_time</f>
        <v>45178.854166666664</v>
      </c>
      <c r="D32" s="34"/>
      <c r="E32" s="35" t="str">
        <f>IF(ISBLANK(Control_10 Establishment_3),"",Control_10 Establishment_3)</f>
        <v/>
      </c>
      <c r="F32" s="100" t="str">
        <f>IF(ISBLANK('Control Entry'!K24),"",'Control Entry'!K24)</f>
        <v/>
      </c>
      <c r="G32" s="99"/>
      <c r="H32" s="26" t="s">
        <v>29</v>
      </c>
      <c r="M32" s="223" t="s">
        <v>82</v>
      </c>
      <c r="N32" s="224"/>
      <c r="O32" s="224"/>
      <c r="P32" s="225"/>
      <c r="Q32" s="226">
        <f>'Control Entry'!B3</f>
        <v>45163</v>
      </c>
      <c r="R32" s="227"/>
      <c r="S32" s="227"/>
      <c r="T32" s="228"/>
      <c r="U32" s="21"/>
    </row>
    <row r="33" spans="1:22" ht="36" customHeight="1" x14ac:dyDescent="0.2">
      <c r="A33" s="218" t="s">
        <v>43</v>
      </c>
      <c r="B33" s="218"/>
      <c r="C33" s="218"/>
      <c r="D33" s="218"/>
      <c r="E33" s="218"/>
      <c r="F33" s="218"/>
      <c r="G33" s="218"/>
      <c r="H33" s="40"/>
      <c r="I33" s="40"/>
      <c r="M33" s="232" t="s">
        <v>84</v>
      </c>
      <c r="N33" s="233"/>
      <c r="O33" s="233"/>
      <c r="P33" s="233"/>
      <c r="Q33" s="177">
        <f>'Control Entry'!B4</f>
        <v>45170</v>
      </c>
      <c r="R33" s="178"/>
      <c r="S33" s="178"/>
      <c r="T33" s="178"/>
      <c r="U33" s="91"/>
      <c r="V33" s="48"/>
    </row>
    <row r="34" spans="1:22" ht="36" customHeight="1" x14ac:dyDescent="0.2">
      <c r="A34"/>
      <c r="O34" s="46"/>
      <c r="P34" s="46"/>
      <c r="Q34" s="46"/>
      <c r="R34" s="45"/>
    </row>
    <row r="35" spans="1:22" ht="36" customHeight="1" x14ac:dyDescent="0.2">
      <c r="A35"/>
      <c r="N35" s="231"/>
      <c r="O35" s="231"/>
      <c r="P35" s="231"/>
      <c r="Q35" s="231"/>
      <c r="R35" s="231"/>
      <c r="S35" s="231"/>
      <c r="T35" s="231"/>
      <c r="U35" s="231"/>
    </row>
    <row r="36" spans="1:22" ht="36" customHeight="1" x14ac:dyDescent="0.15">
      <c r="A36"/>
      <c r="N36" s="27"/>
      <c r="O36" s="21"/>
      <c r="P36" s="21"/>
      <c r="Q36" s="21"/>
      <c r="R36" s="21"/>
      <c r="S36" s="21"/>
      <c r="T36" s="21"/>
      <c r="U36" s="21"/>
    </row>
    <row r="37" spans="1:22" ht="36" customHeight="1" x14ac:dyDescent="0.15">
      <c r="A37"/>
      <c r="N37" s="27"/>
      <c r="O37" s="21"/>
      <c r="P37" s="21"/>
      <c r="Q37" s="21"/>
      <c r="R37" s="21"/>
      <c r="S37" s="21"/>
      <c r="T37" s="21"/>
      <c r="U37" s="21"/>
    </row>
    <row r="38" spans="1:22" ht="36" customHeight="1" x14ac:dyDescent="0.2">
      <c r="A38"/>
      <c r="N38" s="54"/>
      <c r="O38" s="21"/>
      <c r="P38" s="21"/>
      <c r="Q38" s="21"/>
      <c r="R38" s="21"/>
      <c r="S38" s="21"/>
      <c r="T38" s="21"/>
      <c r="U38" s="21"/>
    </row>
    <row r="39" spans="1:22" ht="36" customHeight="1" x14ac:dyDescent="0.15">
      <c r="A39"/>
    </row>
    <row r="40" spans="1:22" ht="36" customHeight="1" x14ac:dyDescent="0.15">
      <c r="A40"/>
    </row>
  </sheetData>
  <sheetProtection formatCells="0" selectLockedCells="1"/>
  <mergeCells count="41">
    <mergeCell ref="U25:V25"/>
    <mergeCell ref="N35:U35"/>
    <mergeCell ref="M29:T29"/>
    <mergeCell ref="N27:O27"/>
    <mergeCell ref="P27:Q27"/>
    <mergeCell ref="S27:T27"/>
    <mergeCell ref="U27:V27"/>
    <mergeCell ref="M33:P33"/>
    <mergeCell ref="Q33:T33"/>
    <mergeCell ref="A1:G1"/>
    <mergeCell ref="A33:G33"/>
    <mergeCell ref="M4:T4"/>
    <mergeCell ref="P25:Q25"/>
    <mergeCell ref="S25:T25"/>
    <mergeCell ref="S12:U12"/>
    <mergeCell ref="R13:U13"/>
    <mergeCell ref="R5:U5"/>
    <mergeCell ref="K2:U2"/>
    <mergeCell ref="L8:Q8"/>
    <mergeCell ref="M32:P32"/>
    <mergeCell ref="Q32:T32"/>
    <mergeCell ref="T8:U8"/>
    <mergeCell ref="L20:N20"/>
    <mergeCell ref="L11:N11"/>
    <mergeCell ref="L12:N12"/>
    <mergeCell ref="N5:O5"/>
    <mergeCell ref="K27:L27"/>
    <mergeCell ref="J25:N25"/>
    <mergeCell ref="O3:R3"/>
    <mergeCell ref="S20:U20"/>
    <mergeCell ref="L15:U15"/>
    <mergeCell ref="L6:U6"/>
    <mergeCell ref="S24:U24"/>
    <mergeCell ref="J24:N24"/>
    <mergeCell ref="L9:U9"/>
    <mergeCell ref="L10:U10"/>
    <mergeCell ref="L16:U16"/>
    <mergeCell ref="L22:N22"/>
    <mergeCell ref="S22:U22"/>
    <mergeCell ref="L13:N13"/>
    <mergeCell ref="S11:U11"/>
  </mergeCells>
  <phoneticPr fontId="16" type="noConversion"/>
  <pageMargins left="0.2" right="0.2" top="0.2" bottom="0.2" header="0.51" footer="0.51"/>
  <pageSetup scale="45" orientation="landscape" horizontalDpi="4294967292" verticalDpi="4294967292"/>
  <ignoredErrors>
    <ignoredError sqref="L20" unlockedFormula="1"/>
  </ignoredErrors>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topLeftCell="C3" zoomScale="92" zoomScaleNormal="92" zoomScalePageLayoutView="92" workbookViewId="0">
      <selection activeCell="F3" sqref="F3"/>
    </sheetView>
  </sheetViews>
  <sheetFormatPr baseColWidth="10" defaultColWidth="8.83203125" defaultRowHeight="13" x14ac:dyDescent="0.15"/>
  <cols>
    <col min="1" max="1" width="8.5" style="1" customWidth="1"/>
    <col min="2" max="3" width="11.6640625" customWidth="1"/>
    <col min="4" max="4" width="18" customWidth="1"/>
    <col min="5" max="5" width="23.83203125" customWidth="1"/>
    <col min="6" max="6" width="42" customWidth="1"/>
    <col min="7" max="7" width="13.5" customWidth="1"/>
    <col min="8" max="8" width="8" style="27" customWidth="1"/>
    <col min="9" max="9" width="12" customWidth="1"/>
    <col min="12" max="14" width="9" customWidth="1"/>
    <col min="18" max="18" width="8.83203125" customWidth="1"/>
    <col min="19" max="19" width="10.5" customWidth="1"/>
  </cols>
  <sheetData>
    <row r="1" spans="1:22" ht="21" thickBot="1" x14ac:dyDescent="0.2">
      <c r="A1" s="197" t="s">
        <v>74</v>
      </c>
      <c r="B1" s="197"/>
      <c r="C1" s="197"/>
      <c r="D1" s="197"/>
      <c r="E1" s="197"/>
      <c r="F1" s="197"/>
      <c r="G1" s="197"/>
      <c r="H1" s="26" t="s">
        <v>29</v>
      </c>
    </row>
    <row r="2" spans="1:22" ht="33.75" customHeight="1" thickBot="1" x14ac:dyDescent="0.25">
      <c r="A2" s="72" t="s">
        <v>30</v>
      </c>
      <c r="B2" s="9" t="s">
        <v>3</v>
      </c>
      <c r="C2" s="9" t="s">
        <v>4</v>
      </c>
      <c r="D2" s="9" t="s">
        <v>25</v>
      </c>
      <c r="E2" s="9" t="s">
        <v>31</v>
      </c>
      <c r="F2" s="9" t="s">
        <v>59</v>
      </c>
      <c r="G2" s="72" t="s">
        <v>32</v>
      </c>
      <c r="H2" s="26" t="s">
        <v>29</v>
      </c>
      <c r="K2" s="221" t="s">
        <v>55</v>
      </c>
      <c r="L2" s="221"/>
      <c r="M2" s="221"/>
      <c r="N2" s="221"/>
      <c r="O2" s="221"/>
      <c r="P2" s="221"/>
      <c r="Q2" s="221"/>
      <c r="R2" s="221"/>
      <c r="S2" s="221"/>
      <c r="T2" s="221"/>
      <c r="U2" s="221"/>
    </row>
    <row r="3" spans="1:22" ht="36" customHeight="1" x14ac:dyDescent="0.45">
      <c r="A3" s="28"/>
      <c r="B3" s="29" t="str">
        <f>'Control Entry'!N28</f>
        <v/>
      </c>
      <c r="C3" s="29" t="str">
        <f>'Control Entry'!O28</f>
        <v/>
      </c>
      <c r="D3" s="30"/>
      <c r="E3" s="31" t="str">
        <f>IF(ISBLANK('Control Entry'!F28),"",'Control Entry'!F28)</f>
        <v/>
      </c>
      <c r="F3" s="95" t="str">
        <f>IF(ISBLANK('Control Entry'!I28),"",'Control Entry'!I28)</f>
        <v/>
      </c>
      <c r="G3" s="96"/>
      <c r="H3" s="26" t="s">
        <v>29</v>
      </c>
      <c r="K3" s="13"/>
      <c r="O3" s="205" t="s">
        <v>73</v>
      </c>
      <c r="P3" s="205"/>
      <c r="Q3" s="205"/>
      <c r="R3" s="205"/>
      <c r="S3" s="83" t="str">
        <f>IF('Control Entry'!D28=0,"","#2")</f>
        <v/>
      </c>
      <c r="U3" s="41"/>
    </row>
    <row r="4" spans="1:22" ht="36" customHeight="1" x14ac:dyDescent="0.2">
      <c r="A4" s="37" t="str">
        <f>IF(ISBLANK('Control Entry'!D28),"",'Control Entry'!D28)</f>
        <v/>
      </c>
      <c r="B4" s="38" t="str">
        <f>'Control Entry'!N28</f>
        <v/>
      </c>
      <c r="C4" s="38" t="str">
        <f>'Control Entry'!O28</f>
        <v/>
      </c>
      <c r="D4" s="39" t="str">
        <f>IF(ISBLANK('Control Entry'!E28),"",'Control Entry'!E28)</f>
        <v/>
      </c>
      <c r="E4" s="31" t="str">
        <f>IF(ISBLANK('Control Entry'!G28),"",'Control Entry'!G28)</f>
        <v/>
      </c>
      <c r="F4" s="95" t="str">
        <f>IF(ISBLANK('Control Entry'!J28),"",'Control Entry'!J28)</f>
        <v/>
      </c>
      <c r="G4" s="96"/>
      <c r="H4" s="26" t="s">
        <v>29</v>
      </c>
      <c r="K4" s="13"/>
      <c r="M4" s="206" t="str">
        <f>IF(ISBLANK(Brevet_Length),"",Brevet_Length&amp;" km Randonnée")</f>
        <v>200 km Randonnée</v>
      </c>
      <c r="N4" s="206"/>
      <c r="O4" s="206"/>
      <c r="P4" s="206"/>
      <c r="Q4" s="206"/>
      <c r="R4" s="206"/>
      <c r="S4" s="206"/>
      <c r="T4" s="206"/>
      <c r="U4" s="42"/>
    </row>
    <row r="5" spans="1:22" ht="36" customHeight="1" thickBot="1" x14ac:dyDescent="0.25">
      <c r="A5" s="32"/>
      <c r="B5" s="33" t="str">
        <f>'Control Entry'!N28</f>
        <v/>
      </c>
      <c r="C5" s="33" t="str">
        <f>'Control Entry'!O28</f>
        <v/>
      </c>
      <c r="D5" s="34"/>
      <c r="E5" s="35" t="str">
        <f>IF(ISBLANK('Control Entry'!H28),"",'Control Entry'!H28)</f>
        <v/>
      </c>
      <c r="F5" s="100" t="str">
        <f>IF(ISBLANK('Control Entry'!K28),"",'Control Entry'!K28)</f>
        <v/>
      </c>
      <c r="G5" s="99"/>
      <c r="H5" s="26" t="s">
        <v>29</v>
      </c>
      <c r="K5" s="13"/>
      <c r="M5" s="14"/>
      <c r="N5" s="207" t="s">
        <v>47</v>
      </c>
      <c r="O5" s="207"/>
      <c r="P5" s="60">
        <f>IF(ISBLANK(Brevet_Number),"",Brevet_Number)</f>
        <v>5277</v>
      </c>
      <c r="Q5" s="61"/>
      <c r="R5" s="220">
        <f>IF(ISBLANK('Control Entry'!$B10),"",'Control Entry'!$B10)</f>
        <v>45178</v>
      </c>
      <c r="S5" s="220"/>
      <c r="T5" s="220"/>
      <c r="U5" s="220"/>
      <c r="V5" s="43"/>
    </row>
    <row r="6" spans="1:22" ht="36" customHeight="1" x14ac:dyDescent="0.2">
      <c r="A6" s="28"/>
      <c r="B6" s="29" t="str">
        <f>'Control Entry'!N29</f>
        <v/>
      </c>
      <c r="C6" s="29" t="str">
        <f>'Control Entry'!O29</f>
        <v/>
      </c>
      <c r="D6" s="36"/>
      <c r="E6" s="31" t="str">
        <f>IF(ISBLANK('Control Entry'!F29),"",'Control Entry'!F29)</f>
        <v/>
      </c>
      <c r="F6" s="95" t="str">
        <f>IF(ISBLANK('Control Entry'!I29),"",'Control Entry'!I29)</f>
        <v/>
      </c>
      <c r="G6" s="96"/>
      <c r="H6" s="26" t="s">
        <v>29</v>
      </c>
      <c r="K6" s="13"/>
      <c r="L6" s="210" t="str">
        <f>IF(ISBLANK(Brevet_Description),"",Brevet_Description)</f>
        <v>Comox Valley Crisscross</v>
      </c>
      <c r="M6" s="210"/>
      <c r="N6" s="210"/>
      <c r="O6" s="210"/>
      <c r="P6" s="210"/>
      <c r="Q6" s="210"/>
      <c r="R6" s="210"/>
      <c r="S6" s="210"/>
      <c r="T6" s="210"/>
      <c r="U6" s="210"/>
    </row>
    <row r="7" spans="1:22" ht="36" customHeight="1" x14ac:dyDescent="0.2">
      <c r="A7" s="37" t="str">
        <f>IF(ISBLANK('Control Entry'!D29),"",'Control Entry'!D29)</f>
        <v/>
      </c>
      <c r="B7" s="38" t="str">
        <f>'Control Entry'!N29</f>
        <v/>
      </c>
      <c r="C7" s="38" t="str">
        <f>'Control Entry'!O29</f>
        <v/>
      </c>
      <c r="D7" s="39" t="str">
        <f>IF(ISBLANK('Control Entry'!E29),"",'Control Entry'!E29)</f>
        <v/>
      </c>
      <c r="E7" s="31" t="str">
        <f>IF(ISBLANK('Control Entry'!G29),"",'Control Entry'!G29)</f>
        <v/>
      </c>
      <c r="F7" s="95" t="str">
        <f>IF(ISBLANK('Control Entry'!J29),"",'Control Entry'!J29)</f>
        <v/>
      </c>
      <c r="G7" s="96"/>
      <c r="H7" s="26" t="s">
        <v>29</v>
      </c>
    </row>
    <row r="8" spans="1:22" ht="36" customHeight="1" thickBot="1" x14ac:dyDescent="0.25">
      <c r="A8" s="32"/>
      <c r="B8" s="33" t="str">
        <f>'Control Entry'!N29</f>
        <v/>
      </c>
      <c r="C8" s="33" t="str">
        <f>'Control Entry'!O29</f>
        <v/>
      </c>
      <c r="D8" s="34"/>
      <c r="E8" s="35" t="str">
        <f>IF(ISBLANK('Control Entry'!H29),"",'Control Entry'!H29)</f>
        <v/>
      </c>
      <c r="F8" s="100" t="str">
        <f>IF(ISBLANK('Control Entry'!K29),"",'Control Entry'!K29)</f>
        <v/>
      </c>
      <c r="G8" s="99"/>
      <c r="H8" s="26" t="s">
        <v>29</v>
      </c>
      <c r="J8" s="14" t="s">
        <v>34</v>
      </c>
      <c r="L8" s="222"/>
      <c r="M8" s="222"/>
      <c r="N8" s="222"/>
      <c r="O8" s="222"/>
      <c r="P8" s="222"/>
      <c r="Q8" s="222"/>
      <c r="R8" s="27"/>
      <c r="S8" s="44" t="s">
        <v>46</v>
      </c>
      <c r="T8" s="229"/>
      <c r="U8" s="229"/>
    </row>
    <row r="9" spans="1:22" ht="36" customHeight="1" thickBot="1" x14ac:dyDescent="0.3">
      <c r="A9" s="28"/>
      <c r="B9" s="29" t="str">
        <f>'Control Entry'!N30</f>
        <v/>
      </c>
      <c r="C9" s="29" t="str">
        <f>'Control Entry'!O30</f>
        <v/>
      </c>
      <c r="D9" s="36"/>
      <c r="E9" s="31" t="str">
        <f>IF(ISBLANK('Control Entry'!F30),"",'Control Entry'!F30)</f>
        <v/>
      </c>
      <c r="F9" s="95" t="str">
        <f>IF(ISBLANK('Control Entry'!I30),"",'Control Entry'!I30)</f>
        <v/>
      </c>
      <c r="G9" s="96"/>
      <c r="H9" s="26" t="s">
        <v>29</v>
      </c>
      <c r="J9" s="14" t="s">
        <v>35</v>
      </c>
      <c r="K9" s="14"/>
      <c r="L9" s="212" t="s">
        <v>54</v>
      </c>
      <c r="M9" s="212"/>
      <c r="N9" s="212"/>
      <c r="O9" s="212"/>
      <c r="P9" s="212"/>
      <c r="Q9" s="212"/>
      <c r="R9" s="212"/>
      <c r="S9" s="212"/>
      <c r="T9" s="212"/>
      <c r="U9" s="212"/>
    </row>
    <row r="10" spans="1:22" ht="36" customHeight="1" thickBot="1" x14ac:dyDescent="0.3">
      <c r="A10" s="37" t="str">
        <f>IF(ISBLANK('Control Entry'!D30),"",'Control Entry'!D30)</f>
        <v/>
      </c>
      <c r="B10" s="38" t="str">
        <f>'Control Entry'!N30</f>
        <v/>
      </c>
      <c r="C10" s="38" t="str">
        <f>'Control Entry'!O30</f>
        <v/>
      </c>
      <c r="D10" s="39" t="str">
        <f>IF(ISBLANK('Control Entry'!E30),"",'Control Entry'!E30)</f>
        <v/>
      </c>
      <c r="E10" s="31" t="str">
        <f>IF(ISBLANK('Control Entry'!G30),"",'Control Entry'!G30)</f>
        <v/>
      </c>
      <c r="F10" s="95" t="str">
        <f>IF(ISBLANK('Control Entry'!J30),"",'Control Entry'!J30)</f>
        <v/>
      </c>
      <c r="G10" s="96"/>
      <c r="H10" s="26" t="s">
        <v>29</v>
      </c>
      <c r="J10" s="14"/>
      <c r="K10" s="14"/>
      <c r="L10" s="213"/>
      <c r="M10" s="213"/>
      <c r="N10" s="213"/>
      <c r="O10" s="213"/>
      <c r="P10" s="213"/>
      <c r="Q10" s="213"/>
      <c r="R10" s="213"/>
      <c r="S10" s="213"/>
      <c r="T10" s="213"/>
      <c r="U10" s="213"/>
    </row>
    <row r="11" spans="1:22" ht="36" customHeight="1" thickBot="1" x14ac:dyDescent="0.3">
      <c r="A11" s="32"/>
      <c r="B11" s="33" t="str">
        <f>'Control Entry'!N30</f>
        <v/>
      </c>
      <c r="C11" s="33" t="str">
        <f>'Control Entry'!O30</f>
        <v/>
      </c>
      <c r="D11" s="34"/>
      <c r="E11" s="35" t="str">
        <f>IF(ISBLANK('Control Entry'!H30),"",'Control Entry'!H30)</f>
        <v/>
      </c>
      <c r="F11" s="100" t="str">
        <f>IF(ISBLANK('Control Entry'!K30),"",'Control Entry'!K30)</f>
        <v/>
      </c>
      <c r="G11" s="99"/>
      <c r="H11" s="26" t="s">
        <v>29</v>
      </c>
      <c r="J11" s="14" t="s">
        <v>36</v>
      </c>
      <c r="K11" s="14"/>
      <c r="L11" s="213"/>
      <c r="M11" s="213"/>
      <c r="N11" s="213"/>
      <c r="O11" s="17"/>
      <c r="P11" s="17" t="s">
        <v>37</v>
      </c>
      <c r="Q11" s="17"/>
      <c r="R11" s="17"/>
      <c r="S11" s="217"/>
      <c r="T11" s="217"/>
      <c r="U11" s="217"/>
    </row>
    <row r="12" spans="1:22" ht="36" customHeight="1" thickBot="1" x14ac:dyDescent="0.3">
      <c r="A12" s="28"/>
      <c r="B12" s="29" t="str">
        <f>'Control Entry'!N31</f>
        <v/>
      </c>
      <c r="C12" s="29" t="str">
        <f>'Control Entry'!O31</f>
        <v/>
      </c>
      <c r="D12" s="36"/>
      <c r="E12" s="31" t="str">
        <f>IF(ISBLANK('Control Entry'!F31),"",'Control Entry'!F31)</f>
        <v/>
      </c>
      <c r="F12" s="95" t="str">
        <f>IF(ISBLANK('Control Entry'!I31),"",'Control Entry'!I31)</f>
        <v/>
      </c>
      <c r="G12" s="96"/>
      <c r="H12" s="26" t="s">
        <v>29</v>
      </c>
      <c r="J12" s="14" t="s">
        <v>38</v>
      </c>
      <c r="K12" s="14"/>
      <c r="L12" s="213"/>
      <c r="M12" s="213"/>
      <c r="N12" s="213"/>
      <c r="O12" s="17"/>
      <c r="P12" s="17" t="s">
        <v>39</v>
      </c>
      <c r="Q12" s="17"/>
      <c r="R12" s="17"/>
      <c r="S12" s="217"/>
      <c r="T12" s="217"/>
      <c r="U12" s="217"/>
    </row>
    <row r="13" spans="1:22" ht="36" customHeight="1" thickBot="1" x14ac:dyDescent="0.3">
      <c r="A13" s="37" t="str">
        <f>IF(ISBLANK('Control Entry'!D31),"",'Control Entry'!D31)</f>
        <v/>
      </c>
      <c r="B13" s="38" t="str">
        <f>'Control Entry'!N31</f>
        <v/>
      </c>
      <c r="C13" s="38" t="str">
        <f>'Control Entry'!O31</f>
        <v/>
      </c>
      <c r="D13" s="39" t="str">
        <f>IF(ISBLANK('Control Entry'!E31),"",'Control Entry'!E31)</f>
        <v/>
      </c>
      <c r="E13" s="31" t="str">
        <f>IF(ISBLANK('Control Entry'!G31),"",'Control Entry'!G31)</f>
        <v/>
      </c>
      <c r="F13" s="95" t="str">
        <f>IF(ISBLANK('Control Entry'!J31),"",'Control Entry'!J31)</f>
        <v/>
      </c>
      <c r="G13" s="96"/>
      <c r="H13" s="26" t="s">
        <v>29</v>
      </c>
      <c r="J13" s="14" t="s">
        <v>40</v>
      </c>
      <c r="L13" s="216"/>
      <c r="M13" s="216"/>
      <c r="N13" s="216"/>
      <c r="O13" s="18"/>
      <c r="P13" s="17" t="s">
        <v>41</v>
      </c>
      <c r="Q13" s="17"/>
      <c r="R13" s="219"/>
      <c r="S13" s="219"/>
      <c r="T13" s="219"/>
      <c r="U13" s="219"/>
    </row>
    <row r="14" spans="1:22" ht="36" customHeight="1" thickBot="1" x14ac:dyDescent="0.25">
      <c r="A14" s="32"/>
      <c r="B14" s="33" t="str">
        <f>'Control Entry'!N31</f>
        <v/>
      </c>
      <c r="C14" s="33" t="str">
        <f>'Control Entry'!O31</f>
        <v/>
      </c>
      <c r="D14" s="34"/>
      <c r="E14" s="35" t="str">
        <f>IF(ISBLANK('Control Entry'!H31),"",'Control Entry'!H31)</f>
        <v/>
      </c>
      <c r="F14" s="100" t="str">
        <f>IF(ISBLANK('Control Entry'!K31),"",'Control Entry'!K31)</f>
        <v/>
      </c>
      <c r="G14" s="99"/>
      <c r="H14" s="26" t="s">
        <v>29</v>
      </c>
    </row>
    <row r="15" spans="1:22" ht="36" customHeight="1" x14ac:dyDescent="0.2">
      <c r="A15" s="28"/>
      <c r="B15" s="29" t="str">
        <f>'Control Entry'!N32</f>
        <v/>
      </c>
      <c r="C15" s="29" t="str">
        <f>'Control Entry'!O32</f>
        <v/>
      </c>
      <c r="D15" s="36"/>
      <c r="E15" s="31" t="str">
        <f>IF(ISBLANK('Control Entry'!F32),"",'Control Entry'!F32)</f>
        <v/>
      </c>
      <c r="F15" s="95" t="str">
        <f>IF(ISBLANK('Control Entry'!I32),"",'Control Entry'!I32)</f>
        <v/>
      </c>
      <c r="G15" s="96"/>
      <c r="H15" s="26" t="s">
        <v>29</v>
      </c>
      <c r="J15" s="14"/>
      <c r="L15" s="209" t="s">
        <v>58</v>
      </c>
      <c r="M15" s="209"/>
      <c r="N15" s="209"/>
      <c r="O15" s="209"/>
      <c r="P15" s="209"/>
      <c r="Q15" s="209"/>
      <c r="R15" s="209"/>
      <c r="S15" s="209"/>
      <c r="T15" s="209"/>
      <c r="U15" s="209"/>
    </row>
    <row r="16" spans="1:22" ht="36" customHeight="1" thickBot="1" x14ac:dyDescent="0.25">
      <c r="A16" s="37" t="str">
        <f>IF(ISBLANK('Control Entry'!D32),"",'Control Entry'!D32)</f>
        <v/>
      </c>
      <c r="B16" s="38" t="str">
        <f>'Control Entry'!N32</f>
        <v/>
      </c>
      <c r="C16" s="38" t="str">
        <f>'Control Entry'!O32</f>
        <v/>
      </c>
      <c r="D16" s="39" t="str">
        <f>IF(ISBLANK('Control Entry'!E32),"",'Control Entry'!E32)</f>
        <v/>
      </c>
      <c r="E16" s="31" t="str">
        <f>IF(ISBLANK('Control Entry'!G32),"",'Control Entry'!G32)</f>
        <v/>
      </c>
      <c r="F16" s="95" t="str">
        <f>IF(ISBLANK('Control Entry'!J32),"",'Control Entry'!J32)</f>
        <v/>
      </c>
      <c r="G16" s="96"/>
      <c r="H16" s="26" t="s">
        <v>29</v>
      </c>
      <c r="L16" s="214"/>
      <c r="M16" s="214"/>
      <c r="N16" s="214"/>
      <c r="O16" s="214"/>
      <c r="P16" s="214"/>
      <c r="Q16" s="214"/>
      <c r="R16" s="214"/>
      <c r="S16" s="214"/>
      <c r="T16" s="214"/>
      <c r="U16" s="214"/>
    </row>
    <row r="17" spans="1:22" ht="36" customHeight="1" thickBot="1" x14ac:dyDescent="0.25">
      <c r="A17" s="32"/>
      <c r="B17" s="33" t="str">
        <f>'Control Entry'!N32</f>
        <v/>
      </c>
      <c r="C17" s="33" t="str">
        <f>'Control Entry'!O32</f>
        <v/>
      </c>
      <c r="D17" s="34"/>
      <c r="E17" s="35" t="str">
        <f>IF(ISBLANK('Control Entry'!H32),"",'Control Entry'!H32)</f>
        <v/>
      </c>
      <c r="F17" s="100" t="str">
        <f>IF(ISBLANK('Control Entry'!K32),"",'Control Entry'!K32)</f>
        <v/>
      </c>
      <c r="G17" s="99"/>
      <c r="H17" s="26" t="s">
        <v>29</v>
      </c>
    </row>
    <row r="18" spans="1:22" ht="36" customHeight="1" x14ac:dyDescent="0.2">
      <c r="A18" s="28"/>
      <c r="B18" s="29" t="str">
        <f>'Control Entry'!N33</f>
        <v/>
      </c>
      <c r="C18" s="29" t="str">
        <f>'Control Entry'!O33</f>
        <v/>
      </c>
      <c r="D18" s="36"/>
      <c r="E18" s="31" t="str">
        <f>IF(ISBLANK('Control Entry'!F33),"",'Control Entry'!F33)</f>
        <v/>
      </c>
      <c r="F18" s="95" t="str">
        <f>IF(ISBLANK('Control Entry'!I33),"",'Control Entry'!I33)</f>
        <v/>
      </c>
      <c r="G18" s="96"/>
      <c r="H18" s="26" t="s">
        <v>29</v>
      </c>
    </row>
    <row r="19" spans="1:22" ht="36" customHeight="1" x14ac:dyDescent="0.2">
      <c r="A19" s="37" t="str">
        <f>IF(ISBLANK('Control Entry'!D33),"",'Control Entry'!D33)</f>
        <v/>
      </c>
      <c r="B19" s="38" t="str">
        <f>'Control Entry'!N33</f>
        <v/>
      </c>
      <c r="C19" s="38" t="str">
        <f>'Control Entry'!O33</f>
        <v/>
      </c>
      <c r="D19" s="39" t="str">
        <f>IF(ISBLANK('Control Entry'!E33),"",'Control Entry'!E33)</f>
        <v/>
      </c>
      <c r="E19" s="31" t="str">
        <f>IF(ISBLANK('Control Entry'!G33),"",'Control Entry'!G33)</f>
        <v/>
      </c>
      <c r="F19" s="95" t="str">
        <f>IF(ISBLANK('Control Entry'!J33),"",'Control Entry'!J33)</f>
        <v/>
      </c>
      <c r="G19" s="96"/>
      <c r="H19" s="26" t="s">
        <v>29</v>
      </c>
    </row>
    <row r="20" spans="1:22" ht="36" customHeight="1" thickBot="1" x14ac:dyDescent="0.25">
      <c r="A20" s="32"/>
      <c r="B20" s="33" t="str">
        <f>'Control Entry'!N33</f>
        <v/>
      </c>
      <c r="C20" s="33" t="str">
        <f>'Control Entry'!O33</f>
        <v/>
      </c>
      <c r="D20" s="34"/>
      <c r="E20" s="35" t="str">
        <f>IF(ISBLANK('Control Entry'!H33),"",'Control Entry'!H33)</f>
        <v/>
      </c>
      <c r="F20" s="100" t="str">
        <f>IF(ISBLANK('Control Entry'!K33),"",'Control Entry'!K33)</f>
        <v/>
      </c>
      <c r="G20" s="99"/>
      <c r="H20" s="26" t="s">
        <v>29</v>
      </c>
      <c r="J20" s="58" t="s">
        <v>44</v>
      </c>
      <c r="K20" s="58"/>
      <c r="L20" s="235">
        <f>IF(ISBLANK('Control Entry'!B12),"",'Control Entry'!B12)</f>
        <v>45178</v>
      </c>
      <c r="M20" s="235"/>
      <c r="N20" s="235"/>
      <c r="P20" s="17" t="s">
        <v>0</v>
      </c>
      <c r="Q20" s="17"/>
      <c r="S20" s="208">
        <f>IF(ISBLANK('Control Entry'!B13),"",'Control Entry'!B13)</f>
        <v>0.29166666666666669</v>
      </c>
      <c r="T20" s="208"/>
      <c r="U20" s="208"/>
    </row>
    <row r="21" spans="1:22" ht="36" customHeight="1" x14ac:dyDescent="0.2">
      <c r="A21" s="28"/>
      <c r="B21" s="29" t="str">
        <f>'Control Entry'!N34</f>
        <v/>
      </c>
      <c r="C21" s="29" t="str">
        <f>'Control Entry'!O34</f>
        <v/>
      </c>
      <c r="D21" s="36"/>
      <c r="E21" s="31" t="str">
        <f>IF(ISBLANK('Control Entry'!F34),"",'Control Entry'!F34)</f>
        <v/>
      </c>
      <c r="F21" s="95" t="str">
        <f>IF(ISBLANK('Control Entry'!I34),"",'Control Entry'!I34)</f>
        <v/>
      </c>
      <c r="G21" s="96"/>
      <c r="H21" s="26" t="s">
        <v>29</v>
      </c>
      <c r="J21" s="234" t="s">
        <v>88</v>
      </c>
      <c r="K21" s="234"/>
      <c r="L21" s="234"/>
      <c r="M21" s="234"/>
      <c r="N21" s="234"/>
      <c r="O21" s="234"/>
      <c r="P21" s="234"/>
      <c r="Q21" s="234"/>
      <c r="R21" s="234"/>
      <c r="S21" s="234"/>
      <c r="T21" s="234"/>
      <c r="U21" s="234"/>
      <c r="V21" s="27"/>
    </row>
    <row r="22" spans="1:22" ht="36" customHeight="1" thickBot="1" x14ac:dyDescent="0.25">
      <c r="A22" s="37" t="str">
        <f>IF(ISBLANK('Control Entry'!D34),"",'Control Entry'!D34)</f>
        <v/>
      </c>
      <c r="B22" s="38" t="str">
        <f>'Control Entry'!N34</f>
        <v/>
      </c>
      <c r="C22" s="38" t="str">
        <f>'Control Entry'!O34</f>
        <v/>
      </c>
      <c r="D22" s="39" t="str">
        <f>IF(ISBLANK('Control Entry'!E34),"",'Control Entry'!E34)</f>
        <v/>
      </c>
      <c r="E22" s="31" t="str">
        <f>IF(ISBLANK('Control Entry'!G34),"",'Control Entry'!G34)</f>
        <v/>
      </c>
      <c r="F22" s="95" t="str">
        <f>IF(ISBLANK('Control Entry'!J34),"",'Control Entry'!J34)</f>
        <v/>
      </c>
      <c r="G22" s="96"/>
      <c r="H22" s="26" t="s">
        <v>29</v>
      </c>
      <c r="J22" s="79" t="s">
        <v>45</v>
      </c>
      <c r="K22" s="79"/>
      <c r="L22" s="215"/>
      <c r="M22" s="215"/>
      <c r="N22" s="215"/>
      <c r="O22" s="18"/>
      <c r="P22" s="17" t="s">
        <v>1</v>
      </c>
      <c r="Q22" s="17"/>
      <c r="R22" s="18"/>
      <c r="S22" s="211"/>
      <c r="T22" s="211"/>
      <c r="U22" s="211"/>
    </row>
    <row r="23" spans="1:22" ht="36" customHeight="1" thickBot="1" x14ac:dyDescent="0.25">
      <c r="A23" s="32"/>
      <c r="B23" s="33" t="str">
        <f>'Control Entry'!N34</f>
        <v/>
      </c>
      <c r="C23" s="33" t="str">
        <f>'Control Entry'!O34</f>
        <v/>
      </c>
      <c r="D23" s="34"/>
      <c r="E23" s="35" t="str">
        <f>IF(ISBLANK('Control Entry'!H34),"",'Control Entry'!H34)</f>
        <v/>
      </c>
      <c r="F23" s="100" t="str">
        <f>IF(ISBLANK('Control Entry'!K34),"",'Control Entry'!K34)</f>
        <v/>
      </c>
      <c r="G23" s="99"/>
      <c r="H23" s="26" t="s">
        <v>29</v>
      </c>
      <c r="J23" s="79"/>
      <c r="K23" s="79"/>
      <c r="L23" s="56"/>
      <c r="M23" s="56"/>
      <c r="N23" s="56"/>
      <c r="O23" s="21"/>
      <c r="P23" s="55"/>
      <c r="Q23" s="55"/>
      <c r="R23" s="21"/>
      <c r="S23" s="21"/>
      <c r="T23" s="21"/>
      <c r="U23" s="21"/>
      <c r="V23" s="27"/>
    </row>
    <row r="24" spans="1:22" ht="36" customHeight="1" thickBot="1" x14ac:dyDescent="0.25">
      <c r="A24" s="28"/>
      <c r="B24" s="29" t="str">
        <f>'Control Entry'!N35</f>
        <v/>
      </c>
      <c r="C24" s="29" t="str">
        <f>'Control Entry'!O35</f>
        <v/>
      </c>
      <c r="D24" s="36"/>
      <c r="E24" s="31" t="str">
        <f>IF(ISBLANK('Control Entry'!F35),"",'Control Entry'!F35)</f>
        <v/>
      </c>
      <c r="F24" s="95" t="str">
        <f>IF(ISBLANK('Control Entry'!I35),"",'Control Entry'!I35)</f>
        <v/>
      </c>
      <c r="G24" s="96"/>
      <c r="H24" s="26" t="s">
        <v>29</v>
      </c>
      <c r="J24" s="211"/>
      <c r="K24" s="211"/>
      <c r="L24" s="211"/>
      <c r="M24" s="211"/>
      <c r="N24" s="211"/>
      <c r="O24" s="18"/>
      <c r="P24" s="17" t="s">
        <v>2</v>
      </c>
      <c r="Q24" s="17"/>
      <c r="R24" s="18"/>
      <c r="S24" s="211"/>
      <c r="T24" s="211"/>
      <c r="U24" s="211"/>
    </row>
    <row r="25" spans="1:22" ht="36" customHeight="1" x14ac:dyDescent="0.2">
      <c r="A25" s="37" t="str">
        <f>IF(ISBLANK('Control Entry'!D35),"",'Control Entry'!D35)</f>
        <v/>
      </c>
      <c r="B25" s="38" t="str">
        <f>'Control Entry'!N35</f>
        <v/>
      </c>
      <c r="C25" s="38" t="str">
        <f>'Control Entry'!O35</f>
        <v/>
      </c>
      <c r="D25" s="39" t="str">
        <f>IF(ISBLANK('Control Entry'!E35),"",'Control Entry'!E35)</f>
        <v/>
      </c>
      <c r="E25" s="31" t="str">
        <f>IF(ISBLANK('Control Entry'!G35),"",'Control Entry'!G35)</f>
        <v/>
      </c>
      <c r="F25" s="95" t="str">
        <f>IF(ISBLANK('Control Entry'!J35),"",'Control Entry'!J35)</f>
        <v/>
      </c>
      <c r="G25" s="96"/>
      <c r="H25" s="26" t="s">
        <v>29</v>
      </c>
      <c r="J25" s="194" t="s">
        <v>17</v>
      </c>
      <c r="K25" s="194"/>
      <c r="L25" s="194"/>
      <c r="M25" s="194"/>
      <c r="N25" s="194"/>
      <c r="O25" s="50"/>
      <c r="P25" s="195"/>
      <c r="Q25" s="195"/>
      <c r="R25" s="50"/>
      <c r="S25" s="176"/>
      <c r="T25" s="176"/>
      <c r="U25" s="176"/>
      <c r="V25" s="176"/>
    </row>
    <row r="26" spans="1:22" ht="36" customHeight="1" thickBot="1" x14ac:dyDescent="0.25">
      <c r="A26" s="32"/>
      <c r="B26" s="33" t="str">
        <f>'Control Entry'!N35</f>
        <v/>
      </c>
      <c r="C26" s="33" t="str">
        <f>'Control Entry'!O35</f>
        <v/>
      </c>
      <c r="D26" s="34"/>
      <c r="E26" s="35" t="str">
        <f>IF(ISBLANK('Control Entry'!H35),"",'Control Entry'!H35)</f>
        <v/>
      </c>
      <c r="F26" s="100" t="str">
        <f>IF(ISBLANK('Control Entry'!K35),"",'Control Entry'!K35)</f>
        <v/>
      </c>
      <c r="G26" s="99"/>
      <c r="H26" s="26" t="s">
        <v>29</v>
      </c>
    </row>
    <row r="27" spans="1:22" ht="36" customHeight="1" x14ac:dyDescent="0.2">
      <c r="A27" s="28"/>
      <c r="B27" s="29" t="str">
        <f>'Control Entry'!N36</f>
        <v/>
      </c>
      <c r="C27" s="29" t="str">
        <f>'Control Entry'!O36</f>
        <v/>
      </c>
      <c r="D27" s="36"/>
      <c r="E27" s="31" t="str">
        <f>IF(ISBLANK('Control Entry'!F36),"",'Control Entry'!F36)</f>
        <v/>
      </c>
      <c r="F27" s="95" t="str">
        <f>IF(ISBLANK('Control Entry'!I36),"",'Control Entry'!I36)</f>
        <v/>
      </c>
      <c r="G27" s="96"/>
      <c r="H27" s="26" t="s">
        <v>29</v>
      </c>
      <c r="K27" s="206" t="s">
        <v>56</v>
      </c>
      <c r="L27" s="195"/>
      <c r="M27" s="49" t="s">
        <v>57</v>
      </c>
      <c r="N27" s="195" t="s">
        <v>49</v>
      </c>
      <c r="O27" s="195"/>
      <c r="P27" s="195" t="s">
        <v>50</v>
      </c>
      <c r="Q27" s="195"/>
      <c r="R27" s="50" t="s">
        <v>51</v>
      </c>
      <c r="S27" s="176" t="s">
        <v>52</v>
      </c>
      <c r="T27" s="176"/>
      <c r="U27" s="176" t="s">
        <v>53</v>
      </c>
      <c r="V27" s="176"/>
    </row>
    <row r="28" spans="1:22" ht="36" customHeight="1" x14ac:dyDescent="0.2">
      <c r="A28" s="37" t="str">
        <f>IF(ISBLANK('Control Entry'!D36),"",'Control Entry'!D36)</f>
        <v/>
      </c>
      <c r="B28" s="38" t="str">
        <f>'Control Entry'!N36</f>
        <v/>
      </c>
      <c r="C28" s="38" t="str">
        <f>'Control Entry'!O36</f>
        <v/>
      </c>
      <c r="D28" s="39" t="str">
        <f>IF(ISBLANK('Control Entry'!E36),"",'Control Entry'!E36)</f>
        <v/>
      </c>
      <c r="E28" s="31" t="str">
        <f>IF(ISBLANK('Control Entry'!G36),"",'Control Entry'!G36)</f>
        <v/>
      </c>
      <c r="F28" s="95" t="str">
        <f>IF(ISBLANK('Control Entry'!J36),"",'Control Entry'!J36)</f>
        <v/>
      </c>
      <c r="G28" s="96"/>
      <c r="H28" s="26" t="s">
        <v>29</v>
      </c>
    </row>
    <row r="29" spans="1:22" ht="36" customHeight="1" thickBot="1" x14ac:dyDescent="0.25">
      <c r="A29" s="32"/>
      <c r="B29" s="33" t="str">
        <f>'Control Entry'!N36</f>
        <v/>
      </c>
      <c r="C29" s="33" t="str">
        <f>'Control Entry'!O36</f>
        <v/>
      </c>
      <c r="D29" s="34"/>
      <c r="E29" s="35" t="str">
        <f>IF(ISBLANK('Control Entry'!H36),"",'Control Entry'!H36)</f>
        <v/>
      </c>
      <c r="F29" s="100" t="str">
        <f>IF(ISBLANK('Control Entry'!K36),"",'Control Entry'!K36)</f>
        <v/>
      </c>
      <c r="G29" s="99"/>
      <c r="H29" s="26" t="s">
        <v>29</v>
      </c>
      <c r="M29" s="231" t="s">
        <v>42</v>
      </c>
      <c r="N29" s="231"/>
      <c r="O29" s="231"/>
      <c r="P29" s="231"/>
      <c r="Q29" s="231"/>
      <c r="R29" s="231"/>
      <c r="S29" s="231"/>
      <c r="T29" s="231"/>
      <c r="U29" s="53"/>
    </row>
    <row r="30" spans="1:22" ht="36" customHeight="1" x14ac:dyDescent="0.2">
      <c r="A30" s="28"/>
      <c r="B30" s="29" t="str">
        <f>'Control Entry'!N37</f>
        <v/>
      </c>
      <c r="C30" s="29" t="str">
        <f>'Control Entry'!O37</f>
        <v/>
      </c>
      <c r="D30" s="36"/>
      <c r="E30" s="31" t="str">
        <f>IF(ISBLANK('Control Entry'!F37),"",'Control Entry'!F37)</f>
        <v/>
      </c>
      <c r="F30" s="95" t="str">
        <f>IF(ISBLANK('Control Entry'!I37),"",'Control Entry'!I37)</f>
        <v/>
      </c>
      <c r="G30" s="96"/>
      <c r="H30" s="26" t="s">
        <v>29</v>
      </c>
      <c r="M30" s="15"/>
      <c r="N30" s="19"/>
      <c r="O30" s="19"/>
      <c r="P30" s="20"/>
      <c r="Q30" s="102"/>
      <c r="R30" s="19"/>
      <c r="S30" s="19"/>
      <c r="T30" s="20"/>
      <c r="U30" s="21"/>
    </row>
    <row r="31" spans="1:22" ht="36" customHeight="1" x14ac:dyDescent="0.2">
      <c r="A31" s="37" t="str">
        <f>IF(ISBLANK('Control Entry'!D37),"",'Control Entry'!D37)</f>
        <v/>
      </c>
      <c r="B31" s="38" t="str">
        <f>'Control Entry'!N37</f>
        <v/>
      </c>
      <c r="C31" s="38" t="str">
        <f>'Control Entry'!O37</f>
        <v/>
      </c>
      <c r="D31" s="39" t="str">
        <f>IF(ISBLANK('Control Entry'!E37),"",'Control Entry'!E37)</f>
        <v/>
      </c>
      <c r="E31" s="31" t="str">
        <f>IF(ISBLANK('Control Entry'!G37),"",'Control Entry'!G37)</f>
        <v/>
      </c>
      <c r="F31" s="95" t="str">
        <f>IF(ISBLANK('Control Entry'!J37),"",'Control Entry'!J37)</f>
        <v/>
      </c>
      <c r="G31" s="96"/>
      <c r="H31" s="26" t="s">
        <v>29</v>
      </c>
      <c r="M31" s="16"/>
      <c r="N31" s="21"/>
      <c r="O31" s="21"/>
      <c r="P31" s="22"/>
      <c r="Q31" s="103"/>
      <c r="R31" s="21"/>
      <c r="S31" s="21"/>
      <c r="T31" s="22"/>
      <c r="U31" s="21"/>
    </row>
    <row r="32" spans="1:22" ht="36" customHeight="1" thickBot="1" x14ac:dyDescent="0.25">
      <c r="A32" s="32"/>
      <c r="B32" s="33" t="str">
        <f>'Control Entry'!N37</f>
        <v/>
      </c>
      <c r="C32" s="33" t="str">
        <f>'Control Entry'!O37</f>
        <v/>
      </c>
      <c r="D32" s="34"/>
      <c r="E32" s="35" t="str">
        <f>IF(ISBLANK('Control Entry'!H37),"",'Control Entry'!H37)</f>
        <v/>
      </c>
      <c r="F32" s="100" t="str">
        <f>IF(ISBLANK('Control Entry'!K37),"",'Control Entry'!K37)</f>
        <v/>
      </c>
      <c r="G32" s="99"/>
      <c r="H32" s="26" t="s">
        <v>29</v>
      </c>
      <c r="M32" s="223" t="s">
        <v>82</v>
      </c>
      <c r="N32" s="224"/>
      <c r="O32" s="224"/>
      <c r="P32" s="225"/>
      <c r="Q32" s="226">
        <f>'Control Entry'!B3</f>
        <v>45163</v>
      </c>
      <c r="R32" s="227"/>
      <c r="S32" s="227"/>
      <c r="T32" s="228"/>
      <c r="U32" s="21"/>
    </row>
    <row r="33" spans="1:22" ht="36" customHeight="1" x14ac:dyDescent="0.2">
      <c r="A33" s="218" t="s">
        <v>43</v>
      </c>
      <c r="B33" s="218"/>
      <c r="C33" s="218"/>
      <c r="D33" s="218"/>
      <c r="E33" s="218"/>
      <c r="F33" s="218"/>
      <c r="G33" s="218"/>
      <c r="H33" s="40"/>
      <c r="I33" s="40"/>
      <c r="M33" s="232" t="s">
        <v>84</v>
      </c>
      <c r="N33" s="233"/>
      <c r="O33" s="233"/>
      <c r="P33" s="233"/>
      <c r="Q33" s="177">
        <f>'Control Entry'!B4</f>
        <v>45170</v>
      </c>
      <c r="R33" s="178"/>
      <c r="S33" s="178"/>
      <c r="T33" s="178"/>
      <c r="U33" s="91"/>
      <c r="V33" s="56"/>
    </row>
    <row r="34" spans="1:22" ht="36" customHeight="1" x14ac:dyDescent="0.2">
      <c r="A34"/>
      <c r="O34" s="46"/>
      <c r="P34" s="46"/>
      <c r="Q34" s="46"/>
      <c r="R34" s="45"/>
    </row>
    <row r="35" spans="1:22" ht="36" customHeight="1" x14ac:dyDescent="0.2">
      <c r="A35"/>
      <c r="N35" s="231"/>
      <c r="O35" s="231"/>
      <c r="P35" s="231"/>
      <c r="Q35" s="231"/>
      <c r="R35" s="231"/>
      <c r="S35" s="231"/>
      <c r="T35" s="231"/>
      <c r="U35" s="231"/>
    </row>
    <row r="36" spans="1:22" ht="36" customHeight="1" x14ac:dyDescent="0.15">
      <c r="A36"/>
      <c r="N36" s="27"/>
      <c r="O36" s="21"/>
      <c r="P36" s="21"/>
      <c r="Q36" s="21"/>
      <c r="R36" s="21"/>
      <c r="S36" s="21"/>
      <c r="T36" s="21"/>
      <c r="U36" s="21"/>
    </row>
    <row r="37" spans="1:22" ht="36" customHeight="1" x14ac:dyDescent="0.15">
      <c r="A37"/>
      <c r="N37" s="27"/>
      <c r="O37" s="21"/>
      <c r="P37" s="21"/>
      <c r="Q37" s="21"/>
      <c r="R37" s="21"/>
      <c r="S37" s="21"/>
      <c r="T37" s="21"/>
      <c r="U37" s="21"/>
    </row>
    <row r="38" spans="1:22" ht="36" customHeight="1" x14ac:dyDescent="0.2">
      <c r="A38"/>
      <c r="N38" s="54"/>
      <c r="O38" s="21"/>
      <c r="P38" s="21"/>
      <c r="Q38" s="21"/>
      <c r="R38" s="21"/>
      <c r="S38" s="21"/>
      <c r="T38" s="21"/>
      <c r="U38" s="21"/>
    </row>
    <row r="39" spans="1:22" ht="36" customHeight="1" x14ac:dyDescent="0.15">
      <c r="A39"/>
    </row>
    <row r="40" spans="1:22" ht="36" customHeight="1" x14ac:dyDescent="0.15">
      <c r="A40"/>
    </row>
  </sheetData>
  <sheetProtection algorithmName="SHA-512" hashValue="DiqJ+JOYBhoyZ1m99XU4D8NDihYKDATVeEm7KPe0KaI0+RIl/s0HliAQDBep4bratR5dvcZSaZLG/PV3ddwAYA==" saltValue="BtrAYkICphSvoTgltO5kCQ==" spinCount="100000" sheet="1" objects="1" scenarios="1" formatCells="0" selectLockedCells="1"/>
  <mergeCells count="42">
    <mergeCell ref="M32:P32"/>
    <mergeCell ref="Q32:T32"/>
    <mergeCell ref="A33:G33"/>
    <mergeCell ref="N35:U35"/>
    <mergeCell ref="L8:Q8"/>
    <mergeCell ref="M29:T29"/>
    <mergeCell ref="L15:U15"/>
    <mergeCell ref="S20:U20"/>
    <mergeCell ref="J25:N25"/>
    <mergeCell ref="P25:Q25"/>
    <mergeCell ref="S25:T25"/>
    <mergeCell ref="U25:V25"/>
    <mergeCell ref="K27:L27"/>
    <mergeCell ref="N27:O27"/>
    <mergeCell ref="P27:Q27"/>
    <mergeCell ref="S27:T27"/>
    <mergeCell ref="U27:V27"/>
    <mergeCell ref="M33:P33"/>
    <mergeCell ref="J24:N24"/>
    <mergeCell ref="A1:G1"/>
    <mergeCell ref="K2:U2"/>
    <mergeCell ref="M4:T4"/>
    <mergeCell ref="N5:O5"/>
    <mergeCell ref="R5:U5"/>
    <mergeCell ref="O3:R3"/>
    <mergeCell ref="S24:U24"/>
    <mergeCell ref="Q33:T33"/>
    <mergeCell ref="L20:N20"/>
    <mergeCell ref="L6:U6"/>
    <mergeCell ref="T8:U8"/>
    <mergeCell ref="L9:U9"/>
    <mergeCell ref="L10:U10"/>
    <mergeCell ref="L16:U16"/>
    <mergeCell ref="L22:N22"/>
    <mergeCell ref="S22:U22"/>
    <mergeCell ref="L11:N11"/>
    <mergeCell ref="S11:U11"/>
    <mergeCell ref="L12:N12"/>
    <mergeCell ref="S12:U12"/>
    <mergeCell ref="L13:N13"/>
    <mergeCell ref="R13:U13"/>
    <mergeCell ref="J21:U21"/>
  </mergeCells>
  <phoneticPr fontId="16" type="noConversion"/>
  <conditionalFormatting sqref="P22:U24">
    <cfRule type="expression" dxfId="14" priority="4">
      <formula>$S$3="#2"</formula>
    </cfRule>
  </conditionalFormatting>
  <conditionalFormatting sqref="K27:V27">
    <cfRule type="expression" dxfId="13" priority="3">
      <formula>$S$3="#2"</formula>
    </cfRule>
  </conditionalFormatting>
  <conditionalFormatting sqref="J22:N22">
    <cfRule type="expression" dxfId="12" priority="2">
      <formula>$S$3="#2"</formula>
    </cfRule>
  </conditionalFormatting>
  <conditionalFormatting sqref="J21:U21">
    <cfRule type="expression" dxfId="11" priority="1">
      <formula>$S$3&lt;&gt;"#2"</formula>
    </cfRule>
  </conditionalFormatting>
  <printOptions horizontalCentered="1" verticalCentered="1"/>
  <pageMargins left="0.2" right="0.2" top="0.2" bottom="0.2" header="0.51" footer="0.51"/>
  <pageSetup scale="44" orientation="landscape" horizontalDpi="4294967292" verticalDpi="4294967292"/>
  <drawing r:id="rId1"/>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409A-CD2B-D847-B15D-2D9B75969139}">
  <sheetPr>
    <pageSetUpPr fitToPage="1"/>
  </sheetPr>
  <dimension ref="A1:V40"/>
  <sheetViews>
    <sheetView showGridLines="0" topLeftCell="F1" zoomScale="92" zoomScaleNormal="92" zoomScalePageLayoutView="92" workbookViewId="0">
      <selection activeCell="F3" sqref="F3"/>
    </sheetView>
  </sheetViews>
  <sheetFormatPr baseColWidth="10" defaultColWidth="8.83203125" defaultRowHeight="13" x14ac:dyDescent="0.15"/>
  <cols>
    <col min="1" max="1" width="8.5" style="1" customWidth="1"/>
    <col min="2" max="3" width="11.6640625" customWidth="1"/>
    <col min="4" max="4" width="18" customWidth="1"/>
    <col min="5" max="5" width="23.83203125" customWidth="1"/>
    <col min="6" max="6" width="42" customWidth="1"/>
    <col min="7" max="7" width="13.5" customWidth="1"/>
    <col min="8" max="8" width="8" style="27" customWidth="1"/>
    <col min="9" max="9" width="12" customWidth="1"/>
    <col min="12" max="14" width="9" customWidth="1"/>
    <col min="18" max="18" width="8.83203125" customWidth="1"/>
    <col min="19" max="19" width="10.5" customWidth="1"/>
  </cols>
  <sheetData>
    <row r="1" spans="1:22" ht="21" thickBot="1" x14ac:dyDescent="0.2">
      <c r="A1" s="197" t="s">
        <v>74</v>
      </c>
      <c r="B1" s="197"/>
      <c r="C1" s="197"/>
      <c r="D1" s="197"/>
      <c r="E1" s="197"/>
      <c r="F1" s="197"/>
      <c r="G1" s="197"/>
      <c r="H1" s="26" t="s">
        <v>29</v>
      </c>
    </row>
    <row r="2" spans="1:22" ht="33.75" customHeight="1" thickBot="1" x14ac:dyDescent="0.25">
      <c r="A2" s="72" t="s">
        <v>30</v>
      </c>
      <c r="B2" s="9" t="s">
        <v>3</v>
      </c>
      <c r="C2" s="9" t="s">
        <v>4</v>
      </c>
      <c r="D2" s="9" t="s">
        <v>25</v>
      </c>
      <c r="E2" s="9" t="s">
        <v>31</v>
      </c>
      <c r="F2" s="9" t="s">
        <v>59</v>
      </c>
      <c r="G2" s="72" t="s">
        <v>32</v>
      </c>
      <c r="H2" s="26" t="s">
        <v>29</v>
      </c>
      <c r="K2" s="221" t="s">
        <v>55</v>
      </c>
      <c r="L2" s="221"/>
      <c r="M2" s="221"/>
      <c r="N2" s="221"/>
      <c r="O2" s="221"/>
      <c r="P2" s="221"/>
      <c r="Q2" s="221"/>
      <c r="R2" s="221"/>
      <c r="S2" s="221"/>
      <c r="T2" s="221"/>
      <c r="U2" s="221"/>
    </row>
    <row r="3" spans="1:22" ht="36" customHeight="1" x14ac:dyDescent="0.45">
      <c r="A3" s="28"/>
      <c r="B3" s="29" t="str">
        <f>'Control Entry'!N41</f>
        <v/>
      </c>
      <c r="C3" s="29" t="str">
        <f>'Control Entry'!O41</f>
        <v/>
      </c>
      <c r="D3" s="30"/>
      <c r="E3" s="31" t="str">
        <f>IF(ISBLANK('Control Entry'!F41),"",'Control Entry'!F41)</f>
        <v/>
      </c>
      <c r="F3" s="95" t="str">
        <f>IF(ISBLANK('Control Entry'!I41),"",'Control Entry'!I41)</f>
        <v/>
      </c>
      <c r="G3" s="96"/>
      <c r="H3" s="26" t="s">
        <v>29</v>
      </c>
      <c r="K3" s="13"/>
      <c r="O3" s="205" t="s">
        <v>73</v>
      </c>
      <c r="P3" s="205"/>
      <c r="Q3" s="205"/>
      <c r="R3" s="205"/>
      <c r="S3" s="83" t="str">
        <f>IF('Control Entry'!D41&lt;&gt;0,"#3",IF(AND('Control Entry'!D41=0,'Control Entry'!D54&lt;&gt;0),"#1",""))</f>
        <v/>
      </c>
      <c r="T3" s="84"/>
      <c r="U3" s="41"/>
    </row>
    <row r="4" spans="1:22" ht="36" customHeight="1" x14ac:dyDescent="0.2">
      <c r="A4" s="37" t="str">
        <f>IF(ISBLANK('Control Entry'!D41),"",'Control Entry'!D41)</f>
        <v/>
      </c>
      <c r="B4" s="38" t="str">
        <f>'Control Entry'!N41</f>
        <v/>
      </c>
      <c r="C4" s="38" t="str">
        <f>'Control Entry'!O41</f>
        <v/>
      </c>
      <c r="D4" s="39" t="str">
        <f>IF(ISBLANK('Control Entry'!E41),"",'Control Entry'!E41)</f>
        <v/>
      </c>
      <c r="E4" s="31" t="str">
        <f>IF(ISBLANK('Control Entry'!G41),"",'Control Entry'!G41)</f>
        <v/>
      </c>
      <c r="F4" s="95" t="str">
        <f>IF(ISBLANK('Control Entry'!J41),"",'Control Entry'!J41)</f>
        <v/>
      </c>
      <c r="G4" s="96"/>
      <c r="H4" s="26" t="s">
        <v>29</v>
      </c>
      <c r="K4" s="13"/>
      <c r="M4" s="206" t="str">
        <f>IF(ISBLANK(Brevet_Length),"",Brevet_Length&amp;" km Randonnée")</f>
        <v>200 km Randonnée</v>
      </c>
      <c r="N4" s="206"/>
      <c r="O4" s="206"/>
      <c r="P4" s="206"/>
      <c r="Q4" s="206"/>
      <c r="R4" s="206"/>
      <c r="S4" s="206"/>
      <c r="T4" s="206"/>
      <c r="U4" s="42"/>
    </row>
    <row r="5" spans="1:22" ht="36" customHeight="1" thickBot="1" x14ac:dyDescent="0.25">
      <c r="A5" s="32"/>
      <c r="B5" s="33" t="str">
        <f>'Control Entry'!N41</f>
        <v/>
      </c>
      <c r="C5" s="33" t="str">
        <f>'Control Entry'!O41</f>
        <v/>
      </c>
      <c r="D5" s="34"/>
      <c r="E5" s="35" t="str">
        <f>IF(ISBLANK('Control Entry'!H41),"",'Control Entry'!H41)</f>
        <v/>
      </c>
      <c r="F5" s="100" t="str">
        <f>IF(ISBLANK('Control Entry'!K41),"",'Control Entry'!K41)</f>
        <v/>
      </c>
      <c r="G5" s="99"/>
      <c r="H5" s="26" t="s">
        <v>29</v>
      </c>
      <c r="K5" s="13"/>
      <c r="M5" s="14"/>
      <c r="N5" s="207" t="s">
        <v>47</v>
      </c>
      <c r="O5" s="207"/>
      <c r="P5" s="60">
        <f>IF(ISBLANK(Brevet_Number),"",Brevet_Number)</f>
        <v>5277</v>
      </c>
      <c r="Q5" s="61"/>
      <c r="R5" s="220">
        <f>IF(ISBLANK('Control Entry'!$B10),"",'Control Entry'!$B10)</f>
        <v>45178</v>
      </c>
      <c r="S5" s="220"/>
      <c r="T5" s="220"/>
      <c r="U5" s="220"/>
      <c r="V5" s="43"/>
    </row>
    <row r="6" spans="1:22" ht="36" customHeight="1" x14ac:dyDescent="0.2">
      <c r="A6" s="28"/>
      <c r="B6" s="29" t="str">
        <f>'Control Entry'!N42</f>
        <v/>
      </c>
      <c r="C6" s="29" t="str">
        <f>'Control Entry'!O42</f>
        <v/>
      </c>
      <c r="D6" s="36"/>
      <c r="E6" s="31" t="str">
        <f>IF(ISBLANK('Control Entry'!F42),"",'Control Entry'!F42)</f>
        <v/>
      </c>
      <c r="F6" s="95" t="str">
        <f>IF(ISBLANK('Control Entry'!I42),"",'Control Entry'!I42)</f>
        <v/>
      </c>
      <c r="G6" s="96"/>
      <c r="H6" s="26" t="s">
        <v>29</v>
      </c>
      <c r="K6" s="13"/>
      <c r="L6" s="210" t="str">
        <f>IF(ISBLANK(Brevet_Description),"",Brevet_Description)</f>
        <v>Comox Valley Crisscross</v>
      </c>
      <c r="M6" s="210"/>
      <c r="N6" s="210"/>
      <c r="O6" s="210"/>
      <c r="P6" s="210"/>
      <c r="Q6" s="210"/>
      <c r="R6" s="210"/>
      <c r="S6" s="210"/>
      <c r="T6" s="210"/>
      <c r="U6" s="210"/>
    </row>
    <row r="7" spans="1:22" ht="36" customHeight="1" x14ac:dyDescent="0.2">
      <c r="A7" s="37" t="str">
        <f>IF(ISBLANK('Control Entry'!D42),"",'Control Entry'!D42)</f>
        <v/>
      </c>
      <c r="B7" s="38" t="str">
        <f>'Control Entry'!N42</f>
        <v/>
      </c>
      <c r="C7" s="38" t="str">
        <f>'Control Entry'!O42</f>
        <v/>
      </c>
      <c r="D7" s="39" t="str">
        <f>IF(ISBLANK('Control Entry'!E42),"",'Control Entry'!E42)</f>
        <v/>
      </c>
      <c r="E7" s="31" t="str">
        <f>IF(ISBLANK('Control Entry'!G42),"",'Control Entry'!G42)</f>
        <v/>
      </c>
      <c r="F7" s="95" t="str">
        <f>IF(ISBLANK('Control Entry'!J42),"",'Control Entry'!J42)</f>
        <v/>
      </c>
      <c r="G7" s="96"/>
      <c r="H7" s="26" t="s">
        <v>29</v>
      </c>
    </row>
    <row r="8" spans="1:22" ht="36" customHeight="1" thickBot="1" x14ac:dyDescent="0.25">
      <c r="A8" s="32"/>
      <c r="B8" s="33" t="str">
        <f>'Control Entry'!N42</f>
        <v/>
      </c>
      <c r="C8" s="33" t="str">
        <f>'Control Entry'!O42</f>
        <v/>
      </c>
      <c r="D8" s="34"/>
      <c r="E8" s="35" t="str">
        <f>IF(ISBLANK('Control Entry'!H42),"",'Control Entry'!H42)</f>
        <v/>
      </c>
      <c r="F8" s="100" t="str">
        <f>IF(ISBLANK('Control Entry'!K42),"",'Control Entry'!K42)</f>
        <v/>
      </c>
      <c r="G8" s="99"/>
      <c r="H8" s="26" t="s">
        <v>29</v>
      </c>
      <c r="J8" s="14" t="s">
        <v>34</v>
      </c>
      <c r="L8" s="222"/>
      <c r="M8" s="222"/>
      <c r="N8" s="222"/>
      <c r="O8" s="222"/>
      <c r="P8" s="222"/>
      <c r="Q8" s="222"/>
      <c r="R8" s="27"/>
      <c r="S8" s="44" t="s">
        <v>46</v>
      </c>
      <c r="T8" s="229"/>
      <c r="U8" s="229"/>
    </row>
    <row r="9" spans="1:22" ht="36" customHeight="1" thickBot="1" x14ac:dyDescent="0.3">
      <c r="A9" s="28"/>
      <c r="B9" s="29" t="str">
        <f>'Control Entry'!N43</f>
        <v/>
      </c>
      <c r="C9" s="29" t="str">
        <f>'Control Entry'!O43</f>
        <v/>
      </c>
      <c r="D9" s="36"/>
      <c r="E9" s="31" t="str">
        <f>IF(ISBLANK('Control Entry'!F43),"",'Control Entry'!F43)</f>
        <v/>
      </c>
      <c r="F9" s="95" t="str">
        <f>IF(ISBLANK('Control Entry'!I43),"",'Control Entry'!I43)</f>
        <v/>
      </c>
      <c r="G9" s="96"/>
      <c r="H9" s="26" t="s">
        <v>29</v>
      </c>
      <c r="J9" s="14" t="s">
        <v>35</v>
      </c>
      <c r="K9" s="14"/>
      <c r="L9" s="212" t="s">
        <v>54</v>
      </c>
      <c r="M9" s="212"/>
      <c r="N9" s="212"/>
      <c r="O9" s="212"/>
      <c r="P9" s="212"/>
      <c r="Q9" s="212"/>
      <c r="R9" s="212"/>
      <c r="S9" s="212"/>
      <c r="T9" s="212"/>
      <c r="U9" s="212"/>
    </row>
    <row r="10" spans="1:22" ht="36" customHeight="1" thickBot="1" x14ac:dyDescent="0.3">
      <c r="A10" s="37" t="str">
        <f>IF(ISBLANK('Control Entry'!D43),"",'Control Entry'!D43)</f>
        <v/>
      </c>
      <c r="B10" s="38" t="str">
        <f>'Control Entry'!N43</f>
        <v/>
      </c>
      <c r="C10" s="38" t="str">
        <f>'Control Entry'!O43</f>
        <v/>
      </c>
      <c r="D10" s="39" t="str">
        <f>IF(ISBLANK('Control Entry'!E43),"",'Control Entry'!E43)</f>
        <v/>
      </c>
      <c r="E10" s="31" t="str">
        <f>IF(ISBLANK('Control Entry'!G43),"",'Control Entry'!G43)</f>
        <v/>
      </c>
      <c r="F10" s="95" t="str">
        <f>IF(ISBLANK('Control Entry'!J43),"",'Control Entry'!J43)</f>
        <v/>
      </c>
      <c r="G10" s="96"/>
      <c r="H10" s="26" t="s">
        <v>29</v>
      </c>
      <c r="J10" s="14"/>
      <c r="K10" s="14"/>
      <c r="L10" s="213"/>
      <c r="M10" s="213"/>
      <c r="N10" s="213"/>
      <c r="O10" s="213"/>
      <c r="P10" s="213"/>
      <c r="Q10" s="213"/>
      <c r="R10" s="213"/>
      <c r="S10" s="213"/>
      <c r="T10" s="213"/>
      <c r="U10" s="213"/>
    </row>
    <row r="11" spans="1:22" ht="36" customHeight="1" thickBot="1" x14ac:dyDescent="0.3">
      <c r="A11" s="32"/>
      <c r="B11" s="33" t="str">
        <f>'Control Entry'!N43</f>
        <v/>
      </c>
      <c r="C11" s="33" t="str">
        <f>'Control Entry'!O43</f>
        <v/>
      </c>
      <c r="D11" s="34"/>
      <c r="E11" s="35" t="str">
        <f>IF(ISBLANK('Control Entry'!H43),"",'Control Entry'!H43)</f>
        <v/>
      </c>
      <c r="F11" s="100" t="str">
        <f>IF(ISBLANK('Control Entry'!K43),"",'Control Entry'!K43)</f>
        <v/>
      </c>
      <c r="G11" s="99"/>
      <c r="H11" s="26" t="s">
        <v>29</v>
      </c>
      <c r="J11" s="14" t="s">
        <v>36</v>
      </c>
      <c r="K11" s="14"/>
      <c r="L11" s="213"/>
      <c r="M11" s="213"/>
      <c r="N11" s="213"/>
      <c r="O11" s="17"/>
      <c r="P11" s="17" t="s">
        <v>37</v>
      </c>
      <c r="Q11" s="17"/>
      <c r="R11" s="17"/>
      <c r="S11" s="217"/>
      <c r="T11" s="217"/>
      <c r="U11" s="217"/>
    </row>
    <row r="12" spans="1:22" ht="36" customHeight="1" thickBot="1" x14ac:dyDescent="0.3">
      <c r="A12" s="28"/>
      <c r="B12" s="29" t="str">
        <f>'Control Entry'!N44</f>
        <v/>
      </c>
      <c r="C12" s="29" t="str">
        <f>'Control Entry'!O44</f>
        <v/>
      </c>
      <c r="D12" s="36"/>
      <c r="E12" s="31" t="str">
        <f>IF(ISBLANK('Control Entry'!F44),"",'Control Entry'!F44)</f>
        <v/>
      </c>
      <c r="F12" s="95" t="str">
        <f>IF(ISBLANK('Control Entry'!I44),"",'Control Entry'!I44)</f>
        <v/>
      </c>
      <c r="G12" s="96"/>
      <c r="H12" s="26" t="s">
        <v>29</v>
      </c>
      <c r="J12" s="14" t="s">
        <v>38</v>
      </c>
      <c r="K12" s="14"/>
      <c r="L12" s="213"/>
      <c r="M12" s="213"/>
      <c r="N12" s="213"/>
      <c r="O12" s="17"/>
      <c r="P12" s="17" t="s">
        <v>39</v>
      </c>
      <c r="Q12" s="17"/>
      <c r="R12" s="17"/>
      <c r="S12" s="217"/>
      <c r="T12" s="217"/>
      <c r="U12" s="217"/>
    </row>
    <row r="13" spans="1:22" ht="36" customHeight="1" thickBot="1" x14ac:dyDescent="0.3">
      <c r="A13" s="37" t="str">
        <f>IF(ISBLANK('Control Entry'!D44),"",'Control Entry'!D44)</f>
        <v/>
      </c>
      <c r="B13" s="38" t="str">
        <f>'Control Entry'!N44</f>
        <v/>
      </c>
      <c r="C13" s="38" t="str">
        <f>'Control Entry'!O44</f>
        <v/>
      </c>
      <c r="D13" s="39" t="str">
        <f>IF(ISBLANK('Control Entry'!E44),"",'Control Entry'!E44)</f>
        <v/>
      </c>
      <c r="E13" s="31" t="str">
        <f>IF(ISBLANK('Control Entry'!G44),"",'Control Entry'!G44)</f>
        <v/>
      </c>
      <c r="F13" s="95" t="str">
        <f>IF(ISBLANK('Control Entry'!J44),"",'Control Entry'!J44)</f>
        <v/>
      </c>
      <c r="G13" s="96"/>
      <c r="H13" s="26" t="s">
        <v>29</v>
      </c>
      <c r="J13" s="14" t="s">
        <v>40</v>
      </c>
      <c r="L13" s="216"/>
      <c r="M13" s="216"/>
      <c r="N13" s="216"/>
      <c r="O13" s="18"/>
      <c r="P13" s="17" t="s">
        <v>41</v>
      </c>
      <c r="Q13" s="17"/>
      <c r="R13" s="219"/>
      <c r="S13" s="219"/>
      <c r="T13" s="219"/>
      <c r="U13" s="219"/>
    </row>
    <row r="14" spans="1:22" ht="36" customHeight="1" thickBot="1" x14ac:dyDescent="0.25">
      <c r="A14" s="32"/>
      <c r="B14" s="33" t="str">
        <f>'Control Entry'!N44</f>
        <v/>
      </c>
      <c r="C14" s="33" t="str">
        <f>'Control Entry'!O44</f>
        <v/>
      </c>
      <c r="D14" s="34"/>
      <c r="E14" s="35" t="str">
        <f>IF(ISBLANK('Control Entry'!H44),"",'Control Entry'!H44)</f>
        <v/>
      </c>
      <c r="F14" s="100" t="str">
        <f>IF(ISBLANK('Control Entry'!K44),"",'Control Entry'!K44)</f>
        <v/>
      </c>
      <c r="G14" s="99"/>
      <c r="H14" s="26" t="s">
        <v>29</v>
      </c>
    </row>
    <row r="15" spans="1:22" ht="36" customHeight="1" x14ac:dyDescent="0.2">
      <c r="A15" s="28"/>
      <c r="B15" s="29" t="str">
        <f>'Control Entry'!N45</f>
        <v/>
      </c>
      <c r="C15" s="29" t="str">
        <f>'Control Entry'!O45</f>
        <v/>
      </c>
      <c r="D15" s="36"/>
      <c r="E15" s="31" t="str">
        <f>IF(ISBLANK('Control Entry'!F45),"",'Control Entry'!F45)</f>
        <v/>
      </c>
      <c r="F15" s="95" t="str">
        <f>IF(ISBLANK('Control Entry'!I45),"",'Control Entry'!I45)</f>
        <v/>
      </c>
      <c r="G15" s="96"/>
      <c r="H15" s="26" t="s">
        <v>29</v>
      </c>
      <c r="J15" s="14"/>
      <c r="L15" s="209" t="s">
        <v>58</v>
      </c>
      <c r="M15" s="209"/>
      <c r="N15" s="209"/>
      <c r="O15" s="209"/>
      <c r="P15" s="209"/>
      <c r="Q15" s="209"/>
      <c r="R15" s="209"/>
      <c r="S15" s="209"/>
      <c r="T15" s="209"/>
      <c r="U15" s="209"/>
    </row>
    <row r="16" spans="1:22" ht="36" customHeight="1" thickBot="1" x14ac:dyDescent="0.25">
      <c r="A16" s="37" t="str">
        <f>IF(ISBLANK('Control Entry'!D45),"",'Control Entry'!D45)</f>
        <v/>
      </c>
      <c r="B16" s="38" t="str">
        <f>'Control Entry'!N45</f>
        <v/>
      </c>
      <c r="C16" s="38" t="str">
        <f>'Control Entry'!O45</f>
        <v/>
      </c>
      <c r="D16" s="39" t="str">
        <f>IF(ISBLANK('Control Entry'!E45),"",'Control Entry'!E45)</f>
        <v/>
      </c>
      <c r="E16" s="31" t="str">
        <f>IF(ISBLANK('Control Entry'!G45),"",'Control Entry'!G45)</f>
        <v/>
      </c>
      <c r="F16" s="95" t="str">
        <f>IF(ISBLANK('Control Entry'!J45),"",'Control Entry'!J45)</f>
        <v/>
      </c>
      <c r="G16" s="96"/>
      <c r="H16" s="26" t="s">
        <v>29</v>
      </c>
      <c r="L16" s="236"/>
      <c r="M16" s="236"/>
      <c r="N16" s="236"/>
      <c r="O16" s="236"/>
      <c r="P16" s="236"/>
      <c r="Q16" s="236"/>
      <c r="R16" s="236"/>
      <c r="S16" s="236"/>
      <c r="T16" s="236"/>
      <c r="U16" s="236"/>
    </row>
    <row r="17" spans="1:22" ht="36" customHeight="1" thickBot="1" x14ac:dyDescent="0.25">
      <c r="A17" s="32"/>
      <c r="B17" s="33" t="str">
        <f>'Control Entry'!N45</f>
        <v/>
      </c>
      <c r="C17" s="33" t="str">
        <f>'Control Entry'!O45</f>
        <v/>
      </c>
      <c r="D17" s="34"/>
      <c r="E17" s="35" t="str">
        <f>IF(ISBLANK('Control Entry'!H45),"",'Control Entry'!H45)</f>
        <v/>
      </c>
      <c r="F17" s="100" t="str">
        <f>IF(ISBLANK('Control Entry'!K45),"",'Control Entry'!K45)</f>
        <v/>
      </c>
      <c r="G17" s="99"/>
      <c r="H17" s="26" t="s">
        <v>29</v>
      </c>
    </row>
    <row r="18" spans="1:22" ht="36" customHeight="1" x14ac:dyDescent="0.2">
      <c r="A18" s="28"/>
      <c r="B18" s="29" t="str">
        <f>'Control Entry'!N46</f>
        <v/>
      </c>
      <c r="C18" s="29" t="str">
        <f>'Control Entry'!O46</f>
        <v/>
      </c>
      <c r="D18" s="36"/>
      <c r="E18" s="31" t="str">
        <f>IF(ISBLANK('Control Entry'!F46),"",'Control Entry'!F46)</f>
        <v/>
      </c>
      <c r="F18" s="95" t="str">
        <f>IF(ISBLANK('Control Entry'!I46),"",'Control Entry'!I46)</f>
        <v/>
      </c>
      <c r="G18" s="96"/>
      <c r="H18" s="26" t="s">
        <v>29</v>
      </c>
    </row>
    <row r="19" spans="1:22" ht="36" customHeight="1" x14ac:dyDescent="0.2">
      <c r="A19" s="37" t="str">
        <f>IF(ISBLANK('Control Entry'!D46),"",'Control Entry'!D46)</f>
        <v/>
      </c>
      <c r="B19" s="38" t="str">
        <f>'Control Entry'!N46</f>
        <v/>
      </c>
      <c r="C19" s="38" t="str">
        <f>'Control Entry'!O46</f>
        <v/>
      </c>
      <c r="D19" s="39" t="str">
        <f>IF(ISBLANK('Control Entry'!E46),"",'Control Entry'!E46)</f>
        <v/>
      </c>
      <c r="E19" s="31" t="str">
        <f>IF(ISBLANK('Control Entry'!G46),"",'Control Entry'!G46)</f>
        <v/>
      </c>
      <c r="F19" s="95" t="str">
        <f>IF(ISBLANK('Control Entry'!J46),"",'Control Entry'!J46)</f>
        <v/>
      </c>
      <c r="G19" s="96"/>
      <c r="H19" s="26" t="s">
        <v>29</v>
      </c>
    </row>
    <row r="20" spans="1:22" ht="36" customHeight="1" thickBot="1" x14ac:dyDescent="0.25">
      <c r="A20" s="32"/>
      <c r="B20" s="33" t="str">
        <f>'Control Entry'!N46</f>
        <v/>
      </c>
      <c r="C20" s="33" t="str">
        <f>'Control Entry'!O46</f>
        <v/>
      </c>
      <c r="D20" s="34"/>
      <c r="E20" s="35" t="str">
        <f>IF(ISBLANK('Control Entry'!H46),"",'Control Entry'!H46)</f>
        <v/>
      </c>
      <c r="F20" s="100" t="str">
        <f>IF(ISBLANK('Control Entry'!K46),"",'Control Entry'!K46)</f>
        <v/>
      </c>
      <c r="G20" s="99"/>
      <c r="H20" s="26" t="s">
        <v>29</v>
      </c>
      <c r="J20" s="58" t="s">
        <v>44</v>
      </c>
      <c r="K20" s="58"/>
      <c r="L20" s="230">
        <f>IF(ISBLANK('Control Entry'!B12),"",'Control Entry'!B12)</f>
        <v>45178</v>
      </c>
      <c r="M20" s="230"/>
      <c r="N20" s="230"/>
      <c r="P20" s="17" t="s">
        <v>0</v>
      </c>
      <c r="Q20" s="17"/>
      <c r="S20" s="208">
        <f>IF(ISBLANK('Control Entry'!B13),"",'Control Entry'!B13)</f>
        <v>0.29166666666666669</v>
      </c>
      <c r="T20" s="208"/>
      <c r="U20" s="208"/>
    </row>
    <row r="21" spans="1:22" ht="36" customHeight="1" x14ac:dyDescent="0.2">
      <c r="A21" s="28"/>
      <c r="B21" s="29" t="str">
        <f>'Control Entry'!N47</f>
        <v/>
      </c>
      <c r="C21" s="29" t="str">
        <f>'Control Entry'!O47</f>
        <v/>
      </c>
      <c r="D21" s="36"/>
      <c r="E21" s="31" t="str">
        <f>IF(ISBLANK('Control Entry'!F47),"",'Control Entry'!F47)</f>
        <v/>
      </c>
      <c r="F21" s="95" t="str">
        <f>IF(ISBLANK('Control Entry'!I47),"",'Control Entry'!I47)</f>
        <v/>
      </c>
      <c r="G21" s="96"/>
      <c r="H21" s="26" t="s">
        <v>29</v>
      </c>
      <c r="J21" s="234" t="s">
        <v>88</v>
      </c>
      <c r="K21" s="234"/>
      <c r="L21" s="234"/>
      <c r="M21" s="234"/>
      <c r="N21" s="234"/>
      <c r="O21" s="234"/>
      <c r="P21" s="234"/>
      <c r="Q21" s="234"/>
      <c r="R21" s="234"/>
      <c r="S21" s="234"/>
      <c r="T21" s="234"/>
      <c r="U21" s="234"/>
      <c r="V21" s="27"/>
    </row>
    <row r="22" spans="1:22" ht="36" customHeight="1" thickBot="1" x14ac:dyDescent="0.25">
      <c r="A22" s="37" t="str">
        <f>IF(ISBLANK('Control Entry'!D47),"",'Control Entry'!D47)</f>
        <v/>
      </c>
      <c r="B22" s="38" t="str">
        <f>'Control Entry'!N47</f>
        <v/>
      </c>
      <c r="C22" s="38" t="str">
        <f>'Control Entry'!O47</f>
        <v/>
      </c>
      <c r="D22" s="39" t="str">
        <f>IF(ISBLANK('Control Entry'!E47),"",'Control Entry'!E47)</f>
        <v/>
      </c>
      <c r="E22" s="31" t="str">
        <f>IF(ISBLANK('Control Entry'!G47),"",'Control Entry'!G47)</f>
        <v/>
      </c>
      <c r="F22" s="95" t="str">
        <f>IF(ISBLANK('Control Entry'!J47),"",'Control Entry'!J47)</f>
        <v/>
      </c>
      <c r="G22" s="96"/>
      <c r="H22" s="26" t="s">
        <v>29</v>
      </c>
      <c r="J22" s="79" t="s">
        <v>45</v>
      </c>
      <c r="K22" s="79"/>
      <c r="L22" s="101"/>
      <c r="M22" s="101"/>
      <c r="N22" s="101"/>
      <c r="O22" s="18"/>
      <c r="P22" s="17" t="s">
        <v>1</v>
      </c>
      <c r="Q22" s="17"/>
      <c r="R22" s="18"/>
      <c r="S22" s="211"/>
      <c r="T22" s="211"/>
      <c r="U22" s="211"/>
    </row>
    <row r="23" spans="1:22" ht="36" customHeight="1" thickBot="1" x14ac:dyDescent="0.25">
      <c r="A23" s="32"/>
      <c r="B23" s="33" t="str">
        <f>'Control Entry'!N47</f>
        <v/>
      </c>
      <c r="C23" s="33" t="str">
        <f>'Control Entry'!O47</f>
        <v/>
      </c>
      <c r="D23" s="34"/>
      <c r="E23" s="35" t="str">
        <f>IF(ISBLANK('Control Entry'!H47),"",'Control Entry'!H47)</f>
        <v/>
      </c>
      <c r="F23" s="100" t="str">
        <f>IF(ISBLANK('Control Entry'!K47),"",'Control Entry'!K47)</f>
        <v/>
      </c>
      <c r="G23" s="99"/>
      <c r="H23" s="26" t="s">
        <v>29</v>
      </c>
      <c r="J23" s="79"/>
      <c r="K23" s="79"/>
      <c r="L23" s="56"/>
      <c r="M23" s="56"/>
      <c r="N23" s="56"/>
      <c r="O23" s="21"/>
      <c r="P23" s="55"/>
      <c r="Q23" s="55"/>
      <c r="R23" s="21"/>
      <c r="S23" s="21"/>
      <c r="T23" s="21"/>
      <c r="U23" s="21"/>
      <c r="V23" s="27"/>
    </row>
    <row r="24" spans="1:22" ht="36" customHeight="1" thickBot="1" x14ac:dyDescent="0.25">
      <c r="A24" s="28"/>
      <c r="B24" s="29" t="str">
        <f>'Control Entry'!N48</f>
        <v/>
      </c>
      <c r="C24" s="29" t="str">
        <f>'Control Entry'!O48</f>
        <v/>
      </c>
      <c r="D24" s="36"/>
      <c r="E24" s="31" t="str">
        <f>IF(ISBLANK('Control Entry'!F48),"",'Control Entry'!F48)</f>
        <v/>
      </c>
      <c r="F24" s="95" t="str">
        <f>IF(ISBLANK('Control Entry'!I48),"",'Control Entry'!I48)</f>
        <v/>
      </c>
      <c r="G24" s="96"/>
      <c r="H24" s="26" t="s">
        <v>29</v>
      </c>
      <c r="J24" s="211"/>
      <c r="K24" s="211"/>
      <c r="L24" s="211"/>
      <c r="M24" s="211"/>
      <c r="N24" s="211"/>
      <c r="O24" s="18"/>
      <c r="P24" s="17" t="s">
        <v>2</v>
      </c>
      <c r="Q24" s="17"/>
      <c r="R24" s="18"/>
      <c r="S24" s="211"/>
      <c r="T24" s="211"/>
      <c r="U24" s="211"/>
    </row>
    <row r="25" spans="1:22" ht="36" customHeight="1" x14ac:dyDescent="0.2">
      <c r="A25" s="37" t="str">
        <f>IF(ISBLANK('Control Entry'!D48),"",'Control Entry'!D48)</f>
        <v/>
      </c>
      <c r="B25" s="38" t="str">
        <f>'Control Entry'!N48</f>
        <v/>
      </c>
      <c r="C25" s="38" t="str">
        <f>'Control Entry'!O48</f>
        <v/>
      </c>
      <c r="D25" s="39" t="str">
        <f>IF(ISBLANK('Control Entry'!E48),"",'Control Entry'!E48)</f>
        <v/>
      </c>
      <c r="E25" s="31" t="str">
        <f>IF(ISBLANK('Control Entry'!G48),"",'Control Entry'!G48)</f>
        <v/>
      </c>
      <c r="F25" s="95" t="str">
        <f>IF(ISBLANK('Control Entry'!J48),"",'Control Entry'!J48)</f>
        <v/>
      </c>
      <c r="G25" s="96"/>
      <c r="H25" s="26" t="s">
        <v>29</v>
      </c>
      <c r="J25" s="194" t="s">
        <v>17</v>
      </c>
      <c r="K25" s="194"/>
      <c r="L25" s="194"/>
      <c r="M25" s="194"/>
      <c r="N25" s="194"/>
      <c r="O25" s="50"/>
      <c r="P25" s="195"/>
      <c r="Q25" s="195"/>
      <c r="R25" s="50"/>
      <c r="S25" s="176"/>
      <c r="T25" s="176"/>
      <c r="U25" s="176"/>
      <c r="V25" s="176"/>
    </row>
    <row r="26" spans="1:22" ht="36" customHeight="1" thickBot="1" x14ac:dyDescent="0.25">
      <c r="A26" s="32"/>
      <c r="B26" s="33" t="str">
        <f>'Control Entry'!N48</f>
        <v/>
      </c>
      <c r="C26" s="33" t="str">
        <f>'Control Entry'!O48</f>
        <v/>
      </c>
      <c r="D26" s="34"/>
      <c r="E26" s="35" t="str">
        <f>IF(ISBLANK('Control Entry'!H48),"",'Control Entry'!H48)</f>
        <v/>
      </c>
      <c r="F26" s="100" t="str">
        <f>IF(ISBLANK('Control Entry'!K48),"",'Control Entry'!K48)</f>
        <v/>
      </c>
      <c r="G26" s="99"/>
      <c r="H26" s="26" t="s">
        <v>29</v>
      </c>
    </row>
    <row r="27" spans="1:22" ht="36" customHeight="1" x14ac:dyDescent="0.2">
      <c r="A27" s="28"/>
      <c r="B27" s="29" t="str">
        <f>'Control Entry'!N49</f>
        <v/>
      </c>
      <c r="C27" s="29" t="str">
        <f>'Control Entry'!O49</f>
        <v/>
      </c>
      <c r="D27" s="36"/>
      <c r="E27" s="31" t="str">
        <f>IF(ISBLANK('Control Entry'!F49),"",'Control Entry'!F49)</f>
        <v/>
      </c>
      <c r="F27" s="95" t="str">
        <f>IF(ISBLANK('Control Entry'!I49),"",'Control Entry'!I49)</f>
        <v/>
      </c>
      <c r="G27" s="96"/>
      <c r="H27" s="26" t="s">
        <v>29</v>
      </c>
      <c r="K27" s="206" t="s">
        <v>56</v>
      </c>
      <c r="L27" s="195"/>
      <c r="M27" s="49" t="s">
        <v>57</v>
      </c>
      <c r="N27" s="195" t="s">
        <v>49</v>
      </c>
      <c r="O27" s="195"/>
      <c r="P27" s="195" t="s">
        <v>50</v>
      </c>
      <c r="Q27" s="195"/>
      <c r="R27" s="50" t="s">
        <v>51</v>
      </c>
      <c r="S27" s="176" t="s">
        <v>52</v>
      </c>
      <c r="T27" s="176"/>
      <c r="U27" s="176" t="s">
        <v>53</v>
      </c>
      <c r="V27" s="176"/>
    </row>
    <row r="28" spans="1:22" ht="36" customHeight="1" x14ac:dyDescent="0.2">
      <c r="A28" s="37" t="str">
        <f>IF(ISBLANK('Control Entry'!D49),"",'Control Entry'!D49)</f>
        <v/>
      </c>
      <c r="B28" s="38" t="str">
        <f>'Control Entry'!N49</f>
        <v/>
      </c>
      <c r="C28" s="38" t="str">
        <f>'Control Entry'!O49</f>
        <v/>
      </c>
      <c r="D28" s="39" t="str">
        <f>IF(ISBLANK('Control Entry'!E49),"",'Control Entry'!E49)</f>
        <v/>
      </c>
      <c r="E28" s="31" t="str">
        <f>IF(ISBLANK('Control Entry'!G49),"",'Control Entry'!G49)</f>
        <v/>
      </c>
      <c r="F28" s="95" t="str">
        <f>IF(ISBLANK('Control Entry'!J49),"",'Control Entry'!J49)</f>
        <v/>
      </c>
      <c r="G28" s="96"/>
      <c r="H28" s="26" t="s">
        <v>29</v>
      </c>
    </row>
    <row r="29" spans="1:22" ht="36" customHeight="1" thickBot="1" x14ac:dyDescent="0.25">
      <c r="A29" s="32"/>
      <c r="B29" s="33" t="str">
        <f>'Control Entry'!N49</f>
        <v/>
      </c>
      <c r="C29" s="33" t="str">
        <f>'Control Entry'!O49</f>
        <v/>
      </c>
      <c r="D29" s="34"/>
      <c r="E29" s="35" t="str">
        <f>IF(ISBLANK('Control Entry'!H49),"",'Control Entry'!H49)</f>
        <v/>
      </c>
      <c r="F29" s="100" t="str">
        <f>IF(ISBLANK('Control Entry'!K49),"",'Control Entry'!K49)</f>
        <v/>
      </c>
      <c r="G29" s="99"/>
      <c r="H29" s="26" t="s">
        <v>29</v>
      </c>
      <c r="M29" s="231" t="s">
        <v>42</v>
      </c>
      <c r="N29" s="231"/>
      <c r="O29" s="231"/>
      <c r="P29" s="231"/>
      <c r="Q29" s="231"/>
      <c r="R29" s="231"/>
      <c r="S29" s="231"/>
      <c r="T29" s="231"/>
      <c r="U29" s="53"/>
    </row>
    <row r="30" spans="1:22" ht="36" customHeight="1" x14ac:dyDescent="0.2">
      <c r="A30" s="28"/>
      <c r="B30" s="29" t="str">
        <f>'Control Entry'!N50</f>
        <v/>
      </c>
      <c r="C30" s="29" t="str">
        <f>'Control Entry'!O50</f>
        <v/>
      </c>
      <c r="D30" s="36"/>
      <c r="E30" s="31" t="str">
        <f>IF(ISBLANK('Control Entry'!F50),"",'Control Entry'!F50)</f>
        <v/>
      </c>
      <c r="F30" s="95" t="str">
        <f>IF(ISBLANK('Control Entry'!I50),"",'Control Entry'!I50)</f>
        <v/>
      </c>
      <c r="G30" s="96"/>
      <c r="H30" s="26" t="s">
        <v>29</v>
      </c>
      <c r="M30" s="15"/>
      <c r="N30" s="19"/>
      <c r="O30" s="19"/>
      <c r="P30" s="20"/>
      <c r="Q30" s="102"/>
      <c r="R30" s="19"/>
      <c r="S30" s="19"/>
      <c r="T30" s="20"/>
      <c r="U30" s="21"/>
    </row>
    <row r="31" spans="1:22" ht="36" customHeight="1" x14ac:dyDescent="0.2">
      <c r="A31" s="37" t="str">
        <f>IF(ISBLANK('Control Entry'!D50),"",'Control Entry'!D50)</f>
        <v/>
      </c>
      <c r="B31" s="38" t="str">
        <f>'Control Entry'!N50</f>
        <v/>
      </c>
      <c r="C31" s="38" t="str">
        <f>'Control Entry'!O50</f>
        <v/>
      </c>
      <c r="D31" s="39" t="str">
        <f>IF(ISBLANK('Control Entry'!E50),"",'Control Entry'!E50)</f>
        <v/>
      </c>
      <c r="E31" s="31" t="str">
        <f>IF(ISBLANK('Control Entry'!G50),"",'Control Entry'!G50)</f>
        <v/>
      </c>
      <c r="F31" s="95" t="str">
        <f>IF(ISBLANK('Control Entry'!J50),"",'Control Entry'!J50)</f>
        <v/>
      </c>
      <c r="G31" s="96"/>
      <c r="H31" s="26" t="s">
        <v>29</v>
      </c>
      <c r="M31" s="16"/>
      <c r="N31" s="21"/>
      <c r="O31" s="21"/>
      <c r="P31" s="22"/>
      <c r="Q31" s="103"/>
      <c r="R31" s="21"/>
      <c r="S31" s="21"/>
      <c r="T31" s="22"/>
      <c r="U31" s="21"/>
    </row>
    <row r="32" spans="1:22" ht="36" customHeight="1" thickBot="1" x14ac:dyDescent="0.25">
      <c r="A32" s="32"/>
      <c r="B32" s="33" t="str">
        <f>'Control Entry'!N50</f>
        <v/>
      </c>
      <c r="C32" s="33" t="str">
        <f>'Control Entry'!O50</f>
        <v/>
      </c>
      <c r="D32" s="34"/>
      <c r="E32" s="35" t="str">
        <f>IF(ISBLANK('Control Entry'!H50),"",'Control Entry'!H50)</f>
        <v/>
      </c>
      <c r="F32" s="100" t="str">
        <f>IF(ISBLANK('Control Entry'!K50),"",'Control Entry'!K50)</f>
        <v/>
      </c>
      <c r="G32" s="99"/>
      <c r="H32" s="26" t="s">
        <v>29</v>
      </c>
      <c r="M32" s="223" t="s">
        <v>82</v>
      </c>
      <c r="N32" s="224"/>
      <c r="O32" s="224"/>
      <c r="P32" s="225"/>
      <c r="Q32" s="226">
        <f>'Control Entry'!B3</f>
        <v>45163</v>
      </c>
      <c r="R32" s="227"/>
      <c r="S32" s="227"/>
      <c r="T32" s="228"/>
      <c r="U32" s="21"/>
    </row>
    <row r="33" spans="1:22" ht="36" customHeight="1" x14ac:dyDescent="0.2">
      <c r="A33" s="218" t="s">
        <v>43</v>
      </c>
      <c r="B33" s="218"/>
      <c r="C33" s="218"/>
      <c r="D33" s="218"/>
      <c r="E33" s="218"/>
      <c r="F33" s="218"/>
      <c r="G33" s="218"/>
      <c r="H33" s="40"/>
      <c r="I33" s="40"/>
      <c r="M33" s="232" t="s">
        <v>84</v>
      </c>
      <c r="N33" s="233"/>
      <c r="O33" s="233"/>
      <c r="P33" s="233"/>
      <c r="Q33" s="177">
        <f>'Control Entry'!B4</f>
        <v>45170</v>
      </c>
      <c r="R33" s="178"/>
      <c r="S33" s="178"/>
      <c r="T33" s="178"/>
      <c r="U33" s="90"/>
      <c r="V33" s="56"/>
    </row>
    <row r="34" spans="1:22" ht="36" customHeight="1" x14ac:dyDescent="0.2">
      <c r="A34"/>
      <c r="O34" s="46"/>
      <c r="P34" s="46"/>
      <c r="Q34" s="46"/>
      <c r="R34" s="45"/>
    </row>
    <row r="35" spans="1:22" ht="36" customHeight="1" x14ac:dyDescent="0.2">
      <c r="A35"/>
      <c r="N35" s="231"/>
      <c r="O35" s="231"/>
      <c r="P35" s="231"/>
      <c r="Q35" s="231"/>
      <c r="R35" s="231"/>
      <c r="S35" s="231"/>
      <c r="T35" s="231"/>
      <c r="U35" s="231"/>
    </row>
    <row r="36" spans="1:22" ht="36" customHeight="1" x14ac:dyDescent="0.15">
      <c r="A36"/>
      <c r="N36" s="27"/>
      <c r="O36" s="21"/>
      <c r="P36" s="21"/>
      <c r="Q36" s="21"/>
      <c r="R36" s="21"/>
      <c r="S36" s="21"/>
      <c r="T36" s="21"/>
      <c r="U36" s="21"/>
    </row>
    <row r="37" spans="1:22" ht="36" customHeight="1" x14ac:dyDescent="0.15">
      <c r="A37"/>
      <c r="N37" s="27"/>
      <c r="O37" s="21"/>
      <c r="P37" s="21"/>
      <c r="Q37" s="21"/>
      <c r="R37" s="21"/>
      <c r="S37" s="21"/>
      <c r="T37" s="21"/>
      <c r="U37" s="21"/>
    </row>
    <row r="38" spans="1:22" ht="36" customHeight="1" x14ac:dyDescent="0.2">
      <c r="A38"/>
      <c r="N38" s="54"/>
      <c r="O38" s="21"/>
      <c r="P38" s="21"/>
      <c r="Q38" s="21"/>
      <c r="R38" s="21"/>
      <c r="S38" s="21"/>
      <c r="T38" s="21"/>
      <c r="U38" s="21"/>
    </row>
    <row r="39" spans="1:22" ht="36" customHeight="1" x14ac:dyDescent="0.15">
      <c r="A39"/>
    </row>
    <row r="40" spans="1:22" ht="36" customHeight="1" x14ac:dyDescent="0.15">
      <c r="A40"/>
    </row>
  </sheetData>
  <sheetProtection algorithmName="SHA-512" hashValue="n04OlOPypxKiXZHfTF7SZ14P8gX/OWk/qktZJUCZqh+6Nv8BjLLr9UXJBNwuWtsY5jnC73Xiuu+JFtcLWZMoiA==" saltValue="FabpdyB7wrMR7nA5d9noMA==" spinCount="100000" sheet="1" objects="1" scenarios="1" formatCells="0" selectLockedCells="1"/>
  <mergeCells count="41">
    <mergeCell ref="Q32:T32"/>
    <mergeCell ref="A1:G1"/>
    <mergeCell ref="K2:U2"/>
    <mergeCell ref="M4:T4"/>
    <mergeCell ref="N5:O5"/>
    <mergeCell ref="R5:U5"/>
    <mergeCell ref="O3:R3"/>
    <mergeCell ref="L6:U6"/>
    <mergeCell ref="L8:Q8"/>
    <mergeCell ref="T8:U8"/>
    <mergeCell ref="L15:U15"/>
    <mergeCell ref="S20:U20"/>
    <mergeCell ref="L9:U9"/>
    <mergeCell ref="L10:U10"/>
    <mergeCell ref="L11:N11"/>
    <mergeCell ref="L16:U16"/>
    <mergeCell ref="M33:P33"/>
    <mergeCell ref="Q33:T33"/>
    <mergeCell ref="L20:N20"/>
    <mergeCell ref="A33:G33"/>
    <mergeCell ref="N35:U35"/>
    <mergeCell ref="U27:V27"/>
    <mergeCell ref="M29:T29"/>
    <mergeCell ref="K27:L27"/>
    <mergeCell ref="N27:O27"/>
    <mergeCell ref="P27:Q27"/>
    <mergeCell ref="S27:T27"/>
    <mergeCell ref="J25:N25"/>
    <mergeCell ref="P25:Q25"/>
    <mergeCell ref="S25:T25"/>
    <mergeCell ref="U25:V25"/>
    <mergeCell ref="M32:P32"/>
    <mergeCell ref="S22:U22"/>
    <mergeCell ref="J24:N24"/>
    <mergeCell ref="S24:U24"/>
    <mergeCell ref="S11:U11"/>
    <mergeCell ref="L12:N12"/>
    <mergeCell ref="S12:U12"/>
    <mergeCell ref="L13:N13"/>
    <mergeCell ref="R13:U13"/>
    <mergeCell ref="J21:U21"/>
  </mergeCells>
  <conditionalFormatting sqref="P22:U24">
    <cfRule type="expression" dxfId="10" priority="4">
      <formula>$S$3="#3"</formula>
    </cfRule>
  </conditionalFormatting>
  <conditionalFormatting sqref="J22:N22">
    <cfRule type="expression" dxfId="9" priority="3">
      <formula>$S$3="#3"</formula>
    </cfRule>
  </conditionalFormatting>
  <conditionalFormatting sqref="K27:V27">
    <cfRule type="expression" dxfId="8" priority="2">
      <formula>$S$3="#3"</formula>
    </cfRule>
  </conditionalFormatting>
  <conditionalFormatting sqref="J21:U21">
    <cfRule type="expression" dxfId="7" priority="1">
      <formula>$S$3&lt;&gt;"#3"</formula>
    </cfRule>
  </conditionalFormatting>
  <printOptions horizontalCentered="1" verticalCentered="1"/>
  <pageMargins left="0.2" right="0.2" top="0.2" bottom="0.2" header="0.51" footer="0.51"/>
  <pageSetup scale="44" orientation="landscape" horizontalDpi="4294967292" verticalDpi="4294967292"/>
  <ignoredErrors>
    <ignoredError sqref="L20" unlocked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6F177-8884-5D4F-9CF4-14229878B446}">
  <sheetPr>
    <pageSetUpPr fitToPage="1"/>
  </sheetPr>
  <dimension ref="A1:V40"/>
  <sheetViews>
    <sheetView showGridLines="0" topLeftCell="F1" zoomScale="92" zoomScaleNormal="92" zoomScalePageLayoutView="92" workbookViewId="0">
      <selection activeCell="F3" sqref="F3"/>
    </sheetView>
  </sheetViews>
  <sheetFormatPr baseColWidth="10" defaultColWidth="8.83203125" defaultRowHeight="13" x14ac:dyDescent="0.15"/>
  <cols>
    <col min="1" max="1" width="8.5" style="1" customWidth="1"/>
    <col min="2" max="3" width="11.6640625" customWidth="1"/>
    <col min="4" max="4" width="18" customWidth="1"/>
    <col min="5" max="5" width="23.83203125" customWidth="1"/>
    <col min="6" max="6" width="42" customWidth="1"/>
    <col min="7" max="7" width="13.5" customWidth="1"/>
    <col min="8" max="8" width="8" style="27" customWidth="1"/>
    <col min="9" max="9" width="12" customWidth="1"/>
    <col min="12" max="14" width="9" customWidth="1"/>
    <col min="18" max="18" width="8.83203125" customWidth="1"/>
    <col min="19" max="19" width="10.5" customWidth="1"/>
  </cols>
  <sheetData>
    <row r="1" spans="1:22" ht="21" thickBot="1" x14ac:dyDescent="0.2">
      <c r="A1" s="197" t="s">
        <v>74</v>
      </c>
      <c r="B1" s="197"/>
      <c r="C1" s="197"/>
      <c r="D1" s="197"/>
      <c r="E1" s="197"/>
      <c r="F1" s="197"/>
      <c r="G1" s="197"/>
      <c r="H1" s="26" t="s">
        <v>29</v>
      </c>
    </row>
    <row r="2" spans="1:22" ht="33.75" customHeight="1" thickBot="1" x14ac:dyDescent="0.25">
      <c r="A2" s="72" t="s">
        <v>30</v>
      </c>
      <c r="B2" s="9" t="s">
        <v>3</v>
      </c>
      <c r="C2" s="9" t="s">
        <v>4</v>
      </c>
      <c r="D2" s="9" t="s">
        <v>25</v>
      </c>
      <c r="E2" s="9" t="s">
        <v>31</v>
      </c>
      <c r="F2" s="9" t="s">
        <v>59</v>
      </c>
      <c r="G2" s="72" t="s">
        <v>32</v>
      </c>
      <c r="H2" s="26" t="s">
        <v>29</v>
      </c>
      <c r="K2" s="221" t="s">
        <v>55</v>
      </c>
      <c r="L2" s="221"/>
      <c r="M2" s="221"/>
      <c r="N2" s="221"/>
      <c r="O2" s="221"/>
      <c r="P2" s="221"/>
      <c r="Q2" s="221"/>
      <c r="R2" s="221"/>
      <c r="S2" s="221"/>
      <c r="T2" s="221"/>
      <c r="U2" s="221"/>
    </row>
    <row r="3" spans="1:22" ht="36" customHeight="1" x14ac:dyDescent="0.45">
      <c r="A3" s="28"/>
      <c r="B3" s="29" t="str">
        <f>'Control Entry'!N54</f>
        <v/>
      </c>
      <c r="C3" s="29" t="str">
        <f>'Control Entry'!O54</f>
        <v/>
      </c>
      <c r="D3" s="30"/>
      <c r="E3" s="31" t="str">
        <f>IF(ISBLANK('Control Entry'!F54),"",'Control Entry'!F54)</f>
        <v/>
      </c>
      <c r="F3" s="95" t="str">
        <f>IF(ISBLANK('Control Entry'!I54),"",'Control Entry'!I54)</f>
        <v/>
      </c>
      <c r="G3" s="96"/>
      <c r="H3" s="26" t="s">
        <v>29</v>
      </c>
      <c r="K3" s="13"/>
      <c r="O3" s="205" t="s">
        <v>73</v>
      </c>
      <c r="P3" s="205"/>
      <c r="Q3" s="205"/>
      <c r="R3" s="205"/>
      <c r="S3" s="83" t="str">
        <f>IF(AND('Control Entry'!D41=0,'Control Entry'!D54&lt;&gt;0),"#2",IF('Control Entry'!D54=0,"","#4"))</f>
        <v/>
      </c>
      <c r="T3" s="84"/>
      <c r="U3" s="41"/>
    </row>
    <row r="4" spans="1:22" ht="36" customHeight="1" x14ac:dyDescent="0.2">
      <c r="A4" s="37" t="str">
        <f>IF(ISBLANK('Control Entry'!D54),"",'Control Entry'!D54)</f>
        <v/>
      </c>
      <c r="B4" s="38" t="str">
        <f>'Control Entry'!N54</f>
        <v/>
      </c>
      <c r="C4" s="38" t="str">
        <f>'Control Entry'!O54</f>
        <v/>
      </c>
      <c r="D4" s="39" t="str">
        <f>IF(ISBLANK('Control Entry'!E54),"",'Control Entry'!E54)</f>
        <v/>
      </c>
      <c r="E4" s="31" t="str">
        <f>IF(ISBLANK('Control Entry'!G54),"",'Control Entry'!G54)</f>
        <v/>
      </c>
      <c r="F4" s="95" t="str">
        <f>IF(ISBLANK('Control Entry'!J54),"",'Control Entry'!J54)</f>
        <v/>
      </c>
      <c r="G4" s="96"/>
      <c r="H4" s="26" t="s">
        <v>29</v>
      </c>
      <c r="K4" s="13"/>
      <c r="M4" s="206" t="str">
        <f>IF(ISBLANK(Brevet_Length),"",Brevet_Length&amp;" km Randonnée")</f>
        <v>200 km Randonnée</v>
      </c>
      <c r="N4" s="206"/>
      <c r="O4" s="206"/>
      <c r="P4" s="206"/>
      <c r="Q4" s="206"/>
      <c r="R4" s="206"/>
      <c r="S4" s="206"/>
      <c r="T4" s="206"/>
      <c r="U4" s="42"/>
    </row>
    <row r="5" spans="1:22" ht="36" customHeight="1" thickBot="1" x14ac:dyDescent="0.25">
      <c r="A5" s="32"/>
      <c r="B5" s="33" t="str">
        <f>'Control Entry'!N54</f>
        <v/>
      </c>
      <c r="C5" s="33" t="str">
        <f>'Control Entry'!O54</f>
        <v/>
      </c>
      <c r="D5" s="34"/>
      <c r="E5" s="35" t="str">
        <f>IF(ISBLANK('Control Entry'!H54),"",'Control Entry'!H54)</f>
        <v/>
      </c>
      <c r="F5" s="100" t="str">
        <f>IF(ISBLANK('Control Entry'!K54),"",'Control Entry'!K54)</f>
        <v/>
      </c>
      <c r="G5" s="99"/>
      <c r="H5" s="26" t="s">
        <v>29</v>
      </c>
      <c r="K5" s="13"/>
      <c r="M5" s="14"/>
      <c r="N5" s="207" t="s">
        <v>47</v>
      </c>
      <c r="O5" s="207"/>
      <c r="P5" s="60">
        <f>IF(ISBLANK(Brevet_Number),"",Brevet_Number)</f>
        <v>5277</v>
      </c>
      <c r="Q5" s="61"/>
      <c r="R5" s="220">
        <f>IF(ISBLANK('Control Entry'!$B10),"",'Control Entry'!$B10)</f>
        <v>45178</v>
      </c>
      <c r="S5" s="220"/>
      <c r="T5" s="220"/>
      <c r="U5" s="220"/>
      <c r="V5" s="43"/>
    </row>
    <row r="6" spans="1:22" ht="36" customHeight="1" x14ac:dyDescent="0.2">
      <c r="A6" s="28"/>
      <c r="B6" s="29" t="str">
        <f>'Control Entry'!N55</f>
        <v/>
      </c>
      <c r="C6" s="29" t="str">
        <f>'Control Entry'!O55</f>
        <v/>
      </c>
      <c r="D6" s="36"/>
      <c r="E6" s="31" t="str">
        <f>IF(ISBLANK('Control Entry'!F55),"",'Control Entry'!F55)</f>
        <v/>
      </c>
      <c r="F6" s="95" t="str">
        <f>IF(ISBLANK('Control Entry'!I55),"",'Control Entry'!I55)</f>
        <v/>
      </c>
      <c r="G6" s="96"/>
      <c r="H6" s="26" t="s">
        <v>29</v>
      </c>
      <c r="K6" s="13"/>
      <c r="L6" s="210" t="str">
        <f>IF(ISBLANK(Brevet_Description),"",Brevet_Description)</f>
        <v>Comox Valley Crisscross</v>
      </c>
      <c r="M6" s="210"/>
      <c r="N6" s="210"/>
      <c r="O6" s="210"/>
      <c r="P6" s="210"/>
      <c r="Q6" s="210"/>
      <c r="R6" s="210"/>
      <c r="S6" s="210"/>
      <c r="T6" s="210"/>
      <c r="U6" s="210"/>
    </row>
    <row r="7" spans="1:22" ht="36" customHeight="1" x14ac:dyDescent="0.2">
      <c r="A7" s="37" t="str">
        <f>IF(ISBLANK('Control Entry'!D55),"",'Control Entry'!D55)</f>
        <v/>
      </c>
      <c r="B7" s="38" t="str">
        <f>'Control Entry'!N55</f>
        <v/>
      </c>
      <c r="C7" s="38" t="str">
        <f>'Control Entry'!O55</f>
        <v/>
      </c>
      <c r="D7" s="39" t="str">
        <f>IF(ISBLANK('Control Entry'!E55),"",'Control Entry'!E55)</f>
        <v/>
      </c>
      <c r="E7" s="31" t="str">
        <f>IF(ISBLANK('Control Entry'!G55),"",'Control Entry'!G55)</f>
        <v/>
      </c>
      <c r="F7" s="95" t="str">
        <f>IF(ISBLANK('Control Entry'!J55),"",'Control Entry'!J55)</f>
        <v/>
      </c>
      <c r="G7" s="96"/>
      <c r="H7" s="26" t="s">
        <v>29</v>
      </c>
    </row>
    <row r="8" spans="1:22" ht="36" customHeight="1" thickBot="1" x14ac:dyDescent="0.25">
      <c r="A8" s="32"/>
      <c r="B8" s="33" t="str">
        <f>'Control Entry'!N55</f>
        <v/>
      </c>
      <c r="C8" s="33" t="str">
        <f>'Control Entry'!O55</f>
        <v/>
      </c>
      <c r="D8" s="34"/>
      <c r="E8" s="35" t="str">
        <f>IF(ISBLANK('Control Entry'!H55),"",'Control Entry'!H55)</f>
        <v/>
      </c>
      <c r="F8" s="100" t="str">
        <f>IF(ISBLANK('Control Entry'!K55),"",'Control Entry'!K55)</f>
        <v/>
      </c>
      <c r="G8" s="99"/>
      <c r="H8" s="26" t="s">
        <v>29</v>
      </c>
      <c r="J8" s="14" t="s">
        <v>34</v>
      </c>
      <c r="L8" s="222"/>
      <c r="M8" s="222"/>
      <c r="N8" s="222"/>
      <c r="O8" s="222"/>
      <c r="P8" s="222"/>
      <c r="Q8" s="222"/>
      <c r="R8" s="27"/>
      <c r="S8" s="44" t="s">
        <v>46</v>
      </c>
      <c r="T8" s="229"/>
      <c r="U8" s="229"/>
    </row>
    <row r="9" spans="1:22" ht="36" customHeight="1" thickBot="1" x14ac:dyDescent="0.3">
      <c r="A9" s="28"/>
      <c r="B9" s="29" t="str">
        <f>'Control Entry'!N56</f>
        <v/>
      </c>
      <c r="C9" s="29" t="str">
        <f>'Control Entry'!O56</f>
        <v/>
      </c>
      <c r="D9" s="36"/>
      <c r="E9" s="31" t="str">
        <f>IF(ISBLANK('Control Entry'!F56),"",'Control Entry'!F56)</f>
        <v/>
      </c>
      <c r="F9" s="95" t="str">
        <f>IF(ISBLANK('Control Entry'!I56),"",'Control Entry'!I56)</f>
        <v/>
      </c>
      <c r="G9" s="96"/>
      <c r="H9" s="26" t="s">
        <v>29</v>
      </c>
      <c r="J9" s="14" t="s">
        <v>35</v>
      </c>
      <c r="K9" s="14"/>
      <c r="L9" s="212" t="s">
        <v>54</v>
      </c>
      <c r="M9" s="212"/>
      <c r="N9" s="212"/>
      <c r="O9" s="212"/>
      <c r="P9" s="212"/>
      <c r="Q9" s="212"/>
      <c r="R9" s="212"/>
      <c r="S9" s="212"/>
      <c r="T9" s="212"/>
      <c r="U9" s="212"/>
    </row>
    <row r="10" spans="1:22" ht="36" customHeight="1" thickBot="1" x14ac:dyDescent="0.3">
      <c r="A10" s="37" t="str">
        <f>IF(ISBLANK('Control Entry'!D56),"",'Control Entry'!D56)</f>
        <v/>
      </c>
      <c r="B10" s="38" t="str">
        <f>'Control Entry'!N56</f>
        <v/>
      </c>
      <c r="C10" s="38" t="str">
        <f>'Control Entry'!O56</f>
        <v/>
      </c>
      <c r="D10" s="39" t="str">
        <f>IF(ISBLANK('Control Entry'!E56),"",'Control Entry'!E56)</f>
        <v/>
      </c>
      <c r="E10" s="31" t="str">
        <f>IF(ISBLANK('Control Entry'!G56),"",'Control Entry'!G56)</f>
        <v/>
      </c>
      <c r="F10" s="95" t="str">
        <f>IF(ISBLANK('Control Entry'!J56),"",'Control Entry'!J56)</f>
        <v/>
      </c>
      <c r="G10" s="96"/>
      <c r="H10" s="26" t="s">
        <v>29</v>
      </c>
      <c r="J10" s="14"/>
      <c r="K10" s="14"/>
      <c r="L10" s="213"/>
      <c r="M10" s="213"/>
      <c r="N10" s="213"/>
      <c r="O10" s="213"/>
      <c r="P10" s="213"/>
      <c r="Q10" s="213"/>
      <c r="R10" s="213"/>
      <c r="S10" s="213"/>
      <c r="T10" s="213"/>
      <c r="U10" s="213"/>
    </row>
    <row r="11" spans="1:22" ht="36" customHeight="1" thickBot="1" x14ac:dyDescent="0.3">
      <c r="A11" s="32"/>
      <c r="B11" s="33" t="str">
        <f>'Control Entry'!N56</f>
        <v/>
      </c>
      <c r="C11" s="33" t="str">
        <f>'Control Entry'!O56</f>
        <v/>
      </c>
      <c r="D11" s="34"/>
      <c r="E11" s="35" t="str">
        <f>IF(ISBLANK('Control Entry'!H56),"",'Control Entry'!H56)</f>
        <v/>
      </c>
      <c r="F11" s="100" t="str">
        <f>IF(ISBLANK('Control Entry'!K56),"",'Control Entry'!K56)</f>
        <v/>
      </c>
      <c r="G11" s="99"/>
      <c r="H11" s="26" t="s">
        <v>29</v>
      </c>
      <c r="J11" s="14" t="s">
        <v>36</v>
      </c>
      <c r="K11" s="14"/>
      <c r="L11" s="213"/>
      <c r="M11" s="213"/>
      <c r="N11" s="213"/>
      <c r="O11" s="17"/>
      <c r="P11" s="17" t="s">
        <v>37</v>
      </c>
      <c r="Q11" s="17"/>
      <c r="R11" s="17"/>
      <c r="S11" s="217"/>
      <c r="T11" s="217"/>
      <c r="U11" s="217"/>
    </row>
    <row r="12" spans="1:22" ht="36" customHeight="1" thickBot="1" x14ac:dyDescent="0.3">
      <c r="A12" s="28"/>
      <c r="B12" s="29" t="str">
        <f>'Control Entry'!N57</f>
        <v/>
      </c>
      <c r="C12" s="29" t="str">
        <f>'Control Entry'!O57</f>
        <v/>
      </c>
      <c r="D12" s="36"/>
      <c r="E12" s="31" t="str">
        <f>IF(ISBLANK('Control Entry'!F57),"",'Control Entry'!F57)</f>
        <v/>
      </c>
      <c r="F12" s="95" t="str">
        <f>IF(ISBLANK('Control Entry'!I57),"",'Control Entry'!I57)</f>
        <v/>
      </c>
      <c r="G12" s="96"/>
      <c r="H12" s="26" t="s">
        <v>29</v>
      </c>
      <c r="J12" s="14" t="s">
        <v>38</v>
      </c>
      <c r="K12" s="14"/>
      <c r="L12" s="213"/>
      <c r="M12" s="213"/>
      <c r="N12" s="213"/>
      <c r="O12" s="17"/>
      <c r="P12" s="17" t="s">
        <v>39</v>
      </c>
      <c r="Q12" s="17"/>
      <c r="R12" s="17"/>
      <c r="S12" s="217"/>
      <c r="T12" s="217"/>
      <c r="U12" s="217"/>
    </row>
    <row r="13" spans="1:22" ht="36" customHeight="1" thickBot="1" x14ac:dyDescent="0.3">
      <c r="A13" s="37" t="str">
        <f>IF(ISBLANK('Control Entry'!D57),"",'Control Entry'!D57)</f>
        <v/>
      </c>
      <c r="B13" s="38" t="str">
        <f>'Control Entry'!N57</f>
        <v/>
      </c>
      <c r="C13" s="38" t="str">
        <f>'Control Entry'!O57</f>
        <v/>
      </c>
      <c r="D13" s="39" t="str">
        <f>IF(ISBLANK('Control Entry'!E57),"",'Control Entry'!E57)</f>
        <v/>
      </c>
      <c r="E13" s="31" t="str">
        <f>IF(ISBLANK('Control Entry'!G57),"",'Control Entry'!G57)</f>
        <v/>
      </c>
      <c r="F13" s="95" t="str">
        <f>IF(ISBLANK('Control Entry'!J57),"",'Control Entry'!J57)</f>
        <v/>
      </c>
      <c r="G13" s="96"/>
      <c r="H13" s="26" t="s">
        <v>29</v>
      </c>
      <c r="J13" s="14" t="s">
        <v>40</v>
      </c>
      <c r="L13" s="216"/>
      <c r="M13" s="216"/>
      <c r="N13" s="216"/>
      <c r="O13" s="18"/>
      <c r="P13" s="17" t="s">
        <v>41</v>
      </c>
      <c r="Q13" s="17"/>
      <c r="R13" s="219"/>
      <c r="S13" s="219"/>
      <c r="T13" s="219"/>
      <c r="U13" s="219"/>
    </row>
    <row r="14" spans="1:22" ht="36" customHeight="1" thickBot="1" x14ac:dyDescent="0.25">
      <c r="A14" s="32"/>
      <c r="B14" s="33" t="str">
        <f>'Control Entry'!N57</f>
        <v/>
      </c>
      <c r="C14" s="33" t="str">
        <f>'Control Entry'!O57</f>
        <v/>
      </c>
      <c r="D14" s="34"/>
      <c r="E14" s="35" t="str">
        <f>IF(ISBLANK('Control Entry'!H57),"",'Control Entry'!H57)</f>
        <v/>
      </c>
      <c r="F14" s="100" t="str">
        <f>IF(ISBLANK('Control Entry'!K57),"",'Control Entry'!K57)</f>
        <v/>
      </c>
      <c r="G14" s="99"/>
      <c r="H14" s="26" t="s">
        <v>29</v>
      </c>
    </row>
    <row r="15" spans="1:22" ht="36" customHeight="1" x14ac:dyDescent="0.2">
      <c r="A15" s="28"/>
      <c r="B15" s="29" t="str">
        <f>'Control Entry'!N58</f>
        <v/>
      </c>
      <c r="C15" s="29" t="str">
        <f>'Control Entry'!O58</f>
        <v/>
      </c>
      <c r="D15" s="36"/>
      <c r="E15" s="31" t="str">
        <f>IF(ISBLANK('Control Entry'!F58),"",'Control Entry'!F58)</f>
        <v/>
      </c>
      <c r="F15" s="95" t="str">
        <f>IF(ISBLANK('Control Entry'!I58),"",'Control Entry'!I58)</f>
        <v/>
      </c>
      <c r="G15" s="96"/>
      <c r="H15" s="26" t="s">
        <v>29</v>
      </c>
      <c r="J15" s="14"/>
      <c r="L15" s="209" t="s">
        <v>58</v>
      </c>
      <c r="M15" s="209"/>
      <c r="N15" s="209"/>
      <c r="O15" s="209"/>
      <c r="P15" s="209"/>
      <c r="Q15" s="209"/>
      <c r="R15" s="209"/>
      <c r="S15" s="209"/>
      <c r="T15" s="209"/>
      <c r="U15" s="209"/>
    </row>
    <row r="16" spans="1:22" ht="36" customHeight="1" thickBot="1" x14ac:dyDescent="0.25">
      <c r="A16" s="37" t="str">
        <f>IF(ISBLANK('Control Entry'!D58),"",'Control Entry'!D58)</f>
        <v/>
      </c>
      <c r="B16" s="38" t="str">
        <f>'Control Entry'!N58</f>
        <v/>
      </c>
      <c r="C16" s="38" t="str">
        <f>'Control Entry'!O58</f>
        <v/>
      </c>
      <c r="D16" s="39" t="str">
        <f>IF(ISBLANK('Control Entry'!E58),"",'Control Entry'!E58)</f>
        <v/>
      </c>
      <c r="E16" s="31" t="str">
        <f>IF(ISBLANK('Control Entry'!G58),"",'Control Entry'!G58)</f>
        <v/>
      </c>
      <c r="F16" s="95" t="str">
        <f>IF(ISBLANK('Control Entry'!J58),"",'Control Entry'!J58)</f>
        <v/>
      </c>
      <c r="G16" s="96"/>
      <c r="H16" s="26" t="s">
        <v>29</v>
      </c>
      <c r="L16" s="236"/>
      <c r="M16" s="236"/>
      <c r="N16" s="236"/>
      <c r="O16" s="236"/>
      <c r="P16" s="236"/>
      <c r="Q16" s="236"/>
      <c r="R16" s="236"/>
      <c r="S16" s="236"/>
      <c r="T16" s="236"/>
      <c r="U16" s="236"/>
    </row>
    <row r="17" spans="1:22" ht="36" customHeight="1" thickBot="1" x14ac:dyDescent="0.25">
      <c r="A17" s="32"/>
      <c r="B17" s="33" t="str">
        <f>'Control Entry'!N58</f>
        <v/>
      </c>
      <c r="C17" s="33" t="str">
        <f>'Control Entry'!O58</f>
        <v/>
      </c>
      <c r="D17" s="34"/>
      <c r="E17" s="35" t="str">
        <f>IF(ISBLANK('Control Entry'!H58),"",'Control Entry'!H58)</f>
        <v/>
      </c>
      <c r="F17" s="100" t="str">
        <f>IF(ISBLANK('Control Entry'!K58),"",'Control Entry'!K58)</f>
        <v/>
      </c>
      <c r="G17" s="99"/>
      <c r="H17" s="26" t="s">
        <v>29</v>
      </c>
    </row>
    <row r="18" spans="1:22" ht="36" customHeight="1" x14ac:dyDescent="0.2">
      <c r="A18" s="28"/>
      <c r="B18" s="29" t="str">
        <f>'Control Entry'!N59</f>
        <v/>
      </c>
      <c r="C18" s="29" t="str">
        <f>'Control Entry'!O59</f>
        <v/>
      </c>
      <c r="D18" s="36"/>
      <c r="E18" s="31" t="str">
        <f>IF(ISBLANK('Control Entry'!F59),"",'Control Entry'!F59)</f>
        <v/>
      </c>
      <c r="F18" s="95" t="str">
        <f>IF(ISBLANK('Control Entry'!I59),"",'Control Entry'!I59)</f>
        <v/>
      </c>
      <c r="G18" s="96"/>
      <c r="H18" s="26" t="s">
        <v>29</v>
      </c>
    </row>
    <row r="19" spans="1:22" ht="36" customHeight="1" x14ac:dyDescent="0.2">
      <c r="A19" s="37" t="str">
        <f>IF(ISBLANK('Control Entry'!D59),"",'Control Entry'!D59)</f>
        <v/>
      </c>
      <c r="B19" s="38" t="str">
        <f>'Control Entry'!N59</f>
        <v/>
      </c>
      <c r="C19" s="38" t="str">
        <f>'Control Entry'!O59</f>
        <v/>
      </c>
      <c r="D19" s="39" t="str">
        <f>IF(ISBLANK('Control Entry'!E59),"",'Control Entry'!E59)</f>
        <v/>
      </c>
      <c r="E19" s="31" t="str">
        <f>IF(ISBLANK('Control Entry'!G59),"",'Control Entry'!G59)</f>
        <v/>
      </c>
      <c r="F19" s="95" t="str">
        <f>IF(ISBLANK('Control Entry'!J59),"",'Control Entry'!J59)</f>
        <v/>
      </c>
      <c r="G19" s="96"/>
      <c r="H19" s="26" t="s">
        <v>29</v>
      </c>
    </row>
    <row r="20" spans="1:22" ht="36" customHeight="1" thickBot="1" x14ac:dyDescent="0.25">
      <c r="A20" s="32"/>
      <c r="B20" s="33" t="str">
        <f>'Control Entry'!N59</f>
        <v/>
      </c>
      <c r="C20" s="33" t="str">
        <f>'Control Entry'!O59</f>
        <v/>
      </c>
      <c r="D20" s="34"/>
      <c r="E20" s="35" t="str">
        <f>IF(ISBLANK('Control Entry'!H59),"",'Control Entry'!H59)</f>
        <v/>
      </c>
      <c r="F20" s="100" t="str">
        <f>IF(ISBLANK('Control Entry'!K59),"",'Control Entry'!K59)</f>
        <v/>
      </c>
      <c r="G20" s="99"/>
      <c r="H20" s="26" t="s">
        <v>29</v>
      </c>
      <c r="J20" s="58" t="s">
        <v>44</v>
      </c>
      <c r="K20" s="58"/>
      <c r="L20" s="230">
        <f>IF(ISBLANK('Control Entry'!B12),"",'Control Entry'!B12)</f>
        <v>45178</v>
      </c>
      <c r="M20" s="230"/>
      <c r="N20" s="230"/>
      <c r="P20" s="17" t="s">
        <v>0</v>
      </c>
      <c r="Q20" s="17"/>
      <c r="S20" s="208">
        <f>IF(ISBLANK('Control Entry'!B13),"",'Control Entry'!B13)</f>
        <v>0.29166666666666669</v>
      </c>
      <c r="T20" s="208"/>
      <c r="U20" s="208"/>
    </row>
    <row r="21" spans="1:22" ht="36" customHeight="1" x14ac:dyDescent="0.2">
      <c r="A21" s="28"/>
      <c r="B21" s="29" t="str">
        <f>'Control Entry'!N60</f>
        <v/>
      </c>
      <c r="C21" s="29" t="str">
        <f>'Control Entry'!O60</f>
        <v/>
      </c>
      <c r="D21" s="36"/>
      <c r="E21" s="31" t="str">
        <f>IF(ISBLANK('Control Entry'!F60),"",'Control Entry'!F60)</f>
        <v/>
      </c>
      <c r="F21" s="95" t="str">
        <f>IF(ISBLANK('Control Entry'!I60),"",'Control Entry'!I60)</f>
        <v/>
      </c>
      <c r="G21" s="96"/>
      <c r="H21" s="26" t="s">
        <v>29</v>
      </c>
      <c r="J21" s="234" t="s">
        <v>88</v>
      </c>
      <c r="K21" s="234"/>
      <c r="L21" s="234"/>
      <c r="M21" s="234"/>
      <c r="N21" s="234"/>
      <c r="O21" s="234"/>
      <c r="P21" s="234"/>
      <c r="Q21" s="234"/>
      <c r="R21" s="234"/>
      <c r="S21" s="234"/>
      <c r="T21" s="234"/>
      <c r="U21" s="234"/>
      <c r="V21" s="27"/>
    </row>
    <row r="22" spans="1:22" ht="36" customHeight="1" thickBot="1" x14ac:dyDescent="0.25">
      <c r="A22" s="37" t="str">
        <f>IF(ISBLANK('Control Entry'!D60),"",'Control Entry'!D60)</f>
        <v/>
      </c>
      <c r="B22" s="38" t="str">
        <f>'Control Entry'!N60</f>
        <v/>
      </c>
      <c r="C22" s="38" t="str">
        <f>'Control Entry'!O60</f>
        <v/>
      </c>
      <c r="D22" s="39" t="str">
        <f>IF(ISBLANK('Control Entry'!E60),"",'Control Entry'!E60)</f>
        <v/>
      </c>
      <c r="E22" s="31" t="str">
        <f>IF(ISBLANK('Control Entry'!G60),"",'Control Entry'!G60)</f>
        <v/>
      </c>
      <c r="F22" s="95" t="str">
        <f>IF(ISBLANK('Control Entry'!J60),"",'Control Entry'!J60)</f>
        <v/>
      </c>
      <c r="G22" s="96"/>
      <c r="H22" s="26" t="s">
        <v>29</v>
      </c>
      <c r="J22" s="17" t="s">
        <v>45</v>
      </c>
      <c r="K22" s="17"/>
      <c r="L22" s="18"/>
      <c r="M22" s="211"/>
      <c r="N22" s="211"/>
      <c r="O22" s="211"/>
      <c r="P22" s="17" t="s">
        <v>1</v>
      </c>
      <c r="Q22" s="17"/>
      <c r="R22" s="18"/>
      <c r="S22" s="211"/>
      <c r="T22" s="211"/>
      <c r="U22" s="211"/>
    </row>
    <row r="23" spans="1:22" ht="36" customHeight="1" thickBot="1" x14ac:dyDescent="0.25">
      <c r="A23" s="32"/>
      <c r="B23" s="33" t="str">
        <f>'Control Entry'!N60</f>
        <v/>
      </c>
      <c r="C23" s="33" t="str">
        <f>'Control Entry'!O60</f>
        <v/>
      </c>
      <c r="D23" s="34"/>
      <c r="E23" s="35" t="str">
        <f>IF(ISBLANK('Control Entry'!H60),"",'Control Entry'!H60)</f>
        <v/>
      </c>
      <c r="F23" s="100" t="str">
        <f>IF(ISBLANK('Control Entry'!K60),"",'Control Entry'!K60)</f>
        <v/>
      </c>
      <c r="G23" s="99"/>
      <c r="H23" s="26" t="s">
        <v>29</v>
      </c>
      <c r="J23" s="79"/>
      <c r="K23" s="79"/>
      <c r="L23" s="56"/>
      <c r="M23" s="56"/>
      <c r="N23" s="56"/>
      <c r="O23" s="21"/>
      <c r="P23" s="55"/>
      <c r="Q23" s="55"/>
      <c r="R23" s="21"/>
      <c r="S23" s="21"/>
      <c r="T23" s="21"/>
      <c r="U23" s="21"/>
      <c r="V23" s="27"/>
    </row>
    <row r="24" spans="1:22" ht="36" customHeight="1" thickBot="1" x14ac:dyDescent="0.25">
      <c r="A24" s="28"/>
      <c r="B24" s="29" t="str">
        <f>'Control Entry'!N61</f>
        <v/>
      </c>
      <c r="C24" s="29" t="str">
        <f>'Control Entry'!O61</f>
        <v/>
      </c>
      <c r="D24" s="36"/>
      <c r="E24" s="31" t="str">
        <f>IF(ISBLANK('Control Entry'!F61),"",'Control Entry'!F61)</f>
        <v/>
      </c>
      <c r="F24" s="95" t="str">
        <f>IF(ISBLANK('Control Entry'!I61),"",'Control Entry'!I61)</f>
        <v/>
      </c>
      <c r="G24" s="96"/>
      <c r="H24" s="26" t="s">
        <v>29</v>
      </c>
      <c r="J24" s="211"/>
      <c r="K24" s="211"/>
      <c r="L24" s="211"/>
      <c r="M24" s="211"/>
      <c r="N24" s="211"/>
      <c r="O24" s="18"/>
      <c r="P24" s="17" t="s">
        <v>2</v>
      </c>
      <c r="Q24" s="17"/>
      <c r="R24" s="18"/>
      <c r="S24" s="211"/>
      <c r="T24" s="211"/>
      <c r="U24" s="211"/>
    </row>
    <row r="25" spans="1:22" ht="36" customHeight="1" x14ac:dyDescent="0.2">
      <c r="A25" s="37" t="str">
        <f>IF(ISBLANK('Control Entry'!D61),"",'Control Entry'!D61)</f>
        <v/>
      </c>
      <c r="B25" s="38" t="str">
        <f>'Control Entry'!N61</f>
        <v/>
      </c>
      <c r="C25" s="38" t="str">
        <f>'Control Entry'!O61</f>
        <v/>
      </c>
      <c r="D25" s="39" t="str">
        <f>IF(ISBLANK('Control Entry'!E61),"",'Control Entry'!E61)</f>
        <v/>
      </c>
      <c r="E25" s="31" t="str">
        <f>IF(ISBLANK('Control Entry'!G61),"",'Control Entry'!G61)</f>
        <v/>
      </c>
      <c r="F25" s="95" t="str">
        <f>IF(ISBLANK('Control Entry'!J61),"",'Control Entry'!J61)</f>
        <v/>
      </c>
      <c r="G25" s="96"/>
      <c r="H25" s="26" t="s">
        <v>29</v>
      </c>
      <c r="J25" s="194" t="s">
        <v>17</v>
      </c>
      <c r="K25" s="194"/>
      <c r="L25" s="194"/>
      <c r="M25" s="194"/>
      <c r="N25" s="194"/>
      <c r="O25" s="50"/>
      <c r="P25" s="195"/>
      <c r="Q25" s="195"/>
      <c r="R25" s="50"/>
      <c r="S25" s="176"/>
      <c r="T25" s="176"/>
      <c r="U25" s="176"/>
      <c r="V25" s="176"/>
    </row>
    <row r="26" spans="1:22" ht="36" customHeight="1" thickBot="1" x14ac:dyDescent="0.25">
      <c r="A26" s="32"/>
      <c r="B26" s="33" t="str">
        <f>'Control Entry'!N61</f>
        <v/>
      </c>
      <c r="C26" s="33" t="str">
        <f>'Control Entry'!O61</f>
        <v/>
      </c>
      <c r="D26" s="34"/>
      <c r="E26" s="35" t="str">
        <f>IF(ISBLANK('Control Entry'!H61),"",'Control Entry'!H61)</f>
        <v/>
      </c>
      <c r="F26" s="100" t="str">
        <f>IF(ISBLANK('Control Entry'!K61),"",'Control Entry'!K61)</f>
        <v/>
      </c>
      <c r="G26" s="99"/>
      <c r="H26" s="26" t="s">
        <v>29</v>
      </c>
    </row>
    <row r="27" spans="1:22" ht="36" customHeight="1" x14ac:dyDescent="0.2">
      <c r="A27" s="28"/>
      <c r="B27" s="29" t="str">
        <f>'Control Entry'!N62</f>
        <v/>
      </c>
      <c r="C27" s="29" t="str">
        <f>'Control Entry'!O62</f>
        <v/>
      </c>
      <c r="D27" s="36"/>
      <c r="E27" s="31" t="str">
        <f>IF(ISBLANK('Control Entry'!F62),"",'Control Entry'!F62)</f>
        <v/>
      </c>
      <c r="F27" s="95" t="str">
        <f>IF(ISBLANK('Control Entry'!I62),"",'Control Entry'!I62)</f>
        <v/>
      </c>
      <c r="G27" s="96"/>
      <c r="H27" s="26" t="s">
        <v>29</v>
      </c>
      <c r="K27" s="206" t="s">
        <v>56</v>
      </c>
      <c r="L27" s="195"/>
      <c r="M27" s="49" t="s">
        <v>57</v>
      </c>
      <c r="N27" s="195" t="s">
        <v>49</v>
      </c>
      <c r="O27" s="195"/>
      <c r="P27" s="195" t="s">
        <v>50</v>
      </c>
      <c r="Q27" s="195"/>
      <c r="R27" s="50" t="s">
        <v>51</v>
      </c>
      <c r="S27" s="176" t="s">
        <v>52</v>
      </c>
      <c r="T27" s="176"/>
      <c r="U27" s="176" t="s">
        <v>53</v>
      </c>
      <c r="V27" s="176"/>
    </row>
    <row r="28" spans="1:22" ht="36" customHeight="1" x14ac:dyDescent="0.2">
      <c r="A28" s="37" t="str">
        <f>IF(ISBLANK('Control Entry'!D62),"",'Control Entry'!D62)</f>
        <v/>
      </c>
      <c r="B28" s="38" t="str">
        <f>'Control Entry'!N62</f>
        <v/>
      </c>
      <c r="C28" s="38" t="str">
        <f>'Control Entry'!O62</f>
        <v/>
      </c>
      <c r="D28" s="39" t="str">
        <f>IF(ISBLANK('Control Entry'!E62),"",'Control Entry'!E62)</f>
        <v/>
      </c>
      <c r="E28" s="31" t="str">
        <f>IF(ISBLANK('Control Entry'!G62),"",'Control Entry'!G62)</f>
        <v/>
      </c>
      <c r="F28" s="95" t="str">
        <f>IF(ISBLANK('Control Entry'!J62),"",'Control Entry'!J62)</f>
        <v/>
      </c>
      <c r="G28" s="96"/>
      <c r="H28" s="26" t="s">
        <v>29</v>
      </c>
    </row>
    <row r="29" spans="1:22" ht="36" customHeight="1" thickBot="1" x14ac:dyDescent="0.25">
      <c r="A29" s="32"/>
      <c r="B29" s="33" t="str">
        <f>'Control Entry'!N62</f>
        <v/>
      </c>
      <c r="C29" s="33" t="str">
        <f>'Control Entry'!O62</f>
        <v/>
      </c>
      <c r="D29" s="34"/>
      <c r="E29" s="35" t="str">
        <f>IF(ISBLANK('Control Entry'!H62),"",'Control Entry'!H62)</f>
        <v/>
      </c>
      <c r="F29" s="100" t="str">
        <f>IF(ISBLANK('Control Entry'!K62),"",'Control Entry'!K62)</f>
        <v/>
      </c>
      <c r="G29" s="99"/>
      <c r="H29" s="26" t="s">
        <v>29</v>
      </c>
      <c r="M29" s="231" t="s">
        <v>42</v>
      </c>
      <c r="N29" s="231"/>
      <c r="O29" s="231"/>
      <c r="P29" s="231"/>
      <c r="Q29" s="231"/>
      <c r="R29" s="231"/>
      <c r="S29" s="231"/>
      <c r="T29" s="231"/>
      <c r="U29" s="53"/>
    </row>
    <row r="30" spans="1:22" ht="36" customHeight="1" x14ac:dyDescent="0.2">
      <c r="A30" s="28"/>
      <c r="B30" s="29" t="str">
        <f>'Control Entry'!N63</f>
        <v/>
      </c>
      <c r="C30" s="29" t="str">
        <f>'Control Entry'!O63</f>
        <v/>
      </c>
      <c r="D30" s="36"/>
      <c r="E30" s="31" t="str">
        <f>IF(ISBLANK('Control Entry'!F63),"",'Control Entry'!F63)</f>
        <v/>
      </c>
      <c r="F30" s="95" t="str">
        <f>IF(ISBLANK('Control Entry'!I63),"",'Control Entry'!I63)</f>
        <v/>
      </c>
      <c r="G30" s="96"/>
      <c r="H30" s="26" t="s">
        <v>29</v>
      </c>
      <c r="M30" s="15"/>
      <c r="N30" s="19"/>
      <c r="O30" s="19"/>
      <c r="P30" s="20"/>
      <c r="Q30" s="102"/>
      <c r="R30" s="19"/>
      <c r="S30" s="19"/>
      <c r="T30" s="20"/>
      <c r="U30" s="21"/>
    </row>
    <row r="31" spans="1:22" ht="36" customHeight="1" x14ac:dyDescent="0.2">
      <c r="A31" s="37" t="str">
        <f>IF(ISBLANK('Control Entry'!D63),"",'Control Entry'!D63)</f>
        <v/>
      </c>
      <c r="B31" s="38" t="str">
        <f>'Control Entry'!N63</f>
        <v/>
      </c>
      <c r="C31" s="38" t="str">
        <f>'Control Entry'!O63</f>
        <v/>
      </c>
      <c r="D31" s="39" t="str">
        <f>IF(ISBLANK('Control Entry'!E63),"",'Control Entry'!E63)</f>
        <v/>
      </c>
      <c r="E31" s="31" t="str">
        <f>IF(ISBLANK('Control Entry'!G63),"",'Control Entry'!G63)</f>
        <v/>
      </c>
      <c r="F31" s="95" t="str">
        <f>IF(ISBLANK('Control Entry'!J63),"",'Control Entry'!J63)</f>
        <v/>
      </c>
      <c r="G31" s="96"/>
      <c r="H31" s="26" t="s">
        <v>29</v>
      </c>
      <c r="M31" s="16"/>
      <c r="N31" s="21"/>
      <c r="O31" s="21"/>
      <c r="P31" s="22"/>
      <c r="Q31" s="103"/>
      <c r="R31" s="21"/>
      <c r="S31" s="21"/>
      <c r="T31" s="22"/>
      <c r="U31" s="21"/>
    </row>
    <row r="32" spans="1:22" ht="36" customHeight="1" thickBot="1" x14ac:dyDescent="0.25">
      <c r="A32" s="32"/>
      <c r="B32" s="33" t="str">
        <f>'Control Entry'!N63</f>
        <v/>
      </c>
      <c r="C32" s="33" t="str">
        <f>'Control Entry'!O63</f>
        <v/>
      </c>
      <c r="D32" s="34"/>
      <c r="E32" s="35" t="str">
        <f>IF(ISBLANK('Control Entry'!H63),"",'Control Entry'!H63)</f>
        <v/>
      </c>
      <c r="F32" s="100" t="str">
        <f>IF(ISBLANK('Control Entry'!K63),"",'Control Entry'!K63)</f>
        <v/>
      </c>
      <c r="G32" s="99"/>
      <c r="H32" s="26" t="s">
        <v>29</v>
      </c>
      <c r="M32" s="223" t="s">
        <v>82</v>
      </c>
      <c r="N32" s="224"/>
      <c r="O32" s="224"/>
      <c r="P32" s="225"/>
      <c r="Q32" s="226">
        <f>'Control Entry'!B3</f>
        <v>45163</v>
      </c>
      <c r="R32" s="227"/>
      <c r="S32" s="227"/>
      <c r="T32" s="228"/>
      <c r="U32" s="21"/>
    </row>
    <row r="33" spans="1:22" ht="36" customHeight="1" x14ac:dyDescent="0.2">
      <c r="A33" s="218" t="s">
        <v>43</v>
      </c>
      <c r="B33" s="218"/>
      <c r="C33" s="218"/>
      <c r="D33" s="218"/>
      <c r="E33" s="218"/>
      <c r="F33" s="218"/>
      <c r="G33" s="218"/>
      <c r="H33" s="40"/>
      <c r="I33" s="40"/>
      <c r="M33" s="232" t="s">
        <v>84</v>
      </c>
      <c r="N33" s="233"/>
      <c r="O33" s="233"/>
      <c r="P33" s="233"/>
      <c r="Q33" s="177">
        <f>'Control Entry'!B4</f>
        <v>45170</v>
      </c>
      <c r="R33" s="178"/>
      <c r="S33" s="178"/>
      <c r="T33" s="178"/>
      <c r="U33" s="90"/>
      <c r="V33" s="56"/>
    </row>
    <row r="34" spans="1:22" ht="36" customHeight="1" x14ac:dyDescent="0.2">
      <c r="A34"/>
      <c r="O34" s="46"/>
      <c r="P34" s="46"/>
      <c r="Q34" s="46"/>
      <c r="R34" s="45"/>
    </row>
    <row r="35" spans="1:22" ht="36" customHeight="1" x14ac:dyDescent="0.2">
      <c r="A35"/>
      <c r="N35" s="231"/>
      <c r="O35" s="231"/>
      <c r="P35" s="231"/>
      <c r="Q35" s="231"/>
      <c r="R35" s="231"/>
      <c r="S35" s="231"/>
      <c r="T35" s="231"/>
      <c r="U35" s="231"/>
    </row>
    <row r="36" spans="1:22" ht="36" customHeight="1" x14ac:dyDescent="0.15">
      <c r="A36"/>
      <c r="N36" s="27"/>
      <c r="O36" s="21"/>
      <c r="P36" s="21"/>
      <c r="Q36" s="21"/>
      <c r="R36" s="21"/>
      <c r="S36" s="21"/>
      <c r="T36" s="21"/>
      <c r="U36" s="21"/>
    </row>
    <row r="37" spans="1:22" ht="36" customHeight="1" x14ac:dyDescent="0.15">
      <c r="A37"/>
      <c r="N37" s="27"/>
      <c r="O37" s="21"/>
      <c r="P37" s="21"/>
      <c r="Q37" s="21"/>
      <c r="R37" s="21"/>
      <c r="S37" s="21"/>
      <c r="T37" s="21"/>
      <c r="U37" s="21"/>
    </row>
    <row r="38" spans="1:22" ht="36" customHeight="1" x14ac:dyDescent="0.2">
      <c r="A38"/>
      <c r="N38" s="54"/>
      <c r="O38" s="21"/>
      <c r="P38" s="21"/>
      <c r="Q38" s="21"/>
      <c r="R38" s="21"/>
      <c r="S38" s="21"/>
      <c r="T38" s="21"/>
      <c r="U38" s="21"/>
    </row>
    <row r="39" spans="1:22" ht="36" customHeight="1" x14ac:dyDescent="0.15">
      <c r="A39"/>
    </row>
    <row r="40" spans="1:22" ht="36" customHeight="1" x14ac:dyDescent="0.15">
      <c r="A40"/>
    </row>
  </sheetData>
  <sheetProtection algorithmName="SHA-512" hashValue="m+5DxS5z0jGPz2enrJCRgFwjkf0y6S+KVRFuN1IjzuBtg7DxgRkCvJA9CD6YWcWRfvJNtgkjCl2dSguY7geJVQ==" saltValue="ged3XotTQX8HcL4AYG6aUg==" spinCount="100000" sheet="1" objects="1" scenarios="1" formatCells="0" selectLockedCells="1"/>
  <mergeCells count="42">
    <mergeCell ref="A33:G33"/>
    <mergeCell ref="M33:P33"/>
    <mergeCell ref="Q33:T33"/>
    <mergeCell ref="N35:U35"/>
    <mergeCell ref="K27:L27"/>
    <mergeCell ref="N27:O27"/>
    <mergeCell ref="P27:Q27"/>
    <mergeCell ref="S27:T27"/>
    <mergeCell ref="U27:V27"/>
    <mergeCell ref="M29:T29"/>
    <mergeCell ref="M32:P32"/>
    <mergeCell ref="Q32:T32"/>
    <mergeCell ref="J25:N25"/>
    <mergeCell ref="P25:Q25"/>
    <mergeCell ref="S25:T25"/>
    <mergeCell ref="U25:V25"/>
    <mergeCell ref="L12:N12"/>
    <mergeCell ref="S12:U12"/>
    <mergeCell ref="L13:N13"/>
    <mergeCell ref="R13:U13"/>
    <mergeCell ref="L15:U15"/>
    <mergeCell ref="L16:U16"/>
    <mergeCell ref="L20:N20"/>
    <mergeCell ref="S20:U20"/>
    <mergeCell ref="S22:U22"/>
    <mergeCell ref="J24:N24"/>
    <mergeCell ref="S24:U24"/>
    <mergeCell ref="M22:O22"/>
    <mergeCell ref="J21:U21"/>
    <mergeCell ref="L11:N11"/>
    <mergeCell ref="S11:U11"/>
    <mergeCell ref="A1:G1"/>
    <mergeCell ref="K2:U2"/>
    <mergeCell ref="O3:R3"/>
    <mergeCell ref="M4:T4"/>
    <mergeCell ref="N5:O5"/>
    <mergeCell ref="R5:U5"/>
    <mergeCell ref="L6:U6"/>
    <mergeCell ref="L8:Q8"/>
    <mergeCell ref="T8:U8"/>
    <mergeCell ref="L9:U9"/>
    <mergeCell ref="L10:U10"/>
  </mergeCells>
  <conditionalFormatting sqref="K27:V27">
    <cfRule type="expression" dxfId="6" priority="7">
      <formula>$S$3="#2"</formula>
    </cfRule>
    <cfRule type="expression" dxfId="5" priority="8">
      <formula>$S$3="#4"</formula>
    </cfRule>
  </conditionalFormatting>
  <conditionalFormatting sqref="P22:U24">
    <cfRule type="expression" dxfId="4" priority="5">
      <formula>$S$3="#2"</formula>
    </cfRule>
    <cfRule type="expression" dxfId="3" priority="6">
      <formula>$S$3="#4"</formula>
    </cfRule>
  </conditionalFormatting>
  <conditionalFormatting sqref="J22:O22">
    <cfRule type="expression" dxfId="2" priority="3">
      <formula>$S$3="#2"</formula>
    </cfRule>
    <cfRule type="expression" dxfId="1" priority="4">
      <formula>$S$3="#4"</formula>
    </cfRule>
  </conditionalFormatting>
  <conditionalFormatting sqref="J21:U21">
    <cfRule type="expression" dxfId="0" priority="2">
      <formula>AND($S$3&lt;&gt;"#2",$S$3&lt;&gt;"#4")</formula>
    </cfRule>
  </conditionalFormatting>
  <printOptions horizontalCentered="1" verticalCentered="1"/>
  <pageMargins left="0.2" right="0.2" top="0.2" bottom="0.2" header="0.51" footer="0.51"/>
  <pageSetup scale="44" orientation="landscape" horizontalDpi="4294967292" verticalDpi="4294967292"/>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31</vt:i4>
      </vt:variant>
    </vt:vector>
  </HeadingPairs>
  <TitlesOfParts>
    <vt:vector size="37" baseType="lpstr">
      <vt:lpstr>Control Entry</vt:lpstr>
      <vt:lpstr>Card #1</vt:lpstr>
      <vt:lpstr>Control Card #1</vt:lpstr>
      <vt:lpstr>Control Card #2</vt:lpstr>
      <vt:lpstr>Control Card #3</vt:lpstr>
      <vt:lpstr>Control Card #4</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'Control Card #1'!Print_Titles</vt:lpstr>
      <vt:lpstr>'Control Card #2'!Print_Titles</vt:lpstr>
      <vt:lpstr>'Control Card #3'!Print_Titles</vt:lpstr>
      <vt:lpstr>'Control Card #4'!Print_Titles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2023-08-30T05:53:45Z</cp:lastPrinted>
  <dcterms:created xsi:type="dcterms:W3CDTF">1997-11-12T04:43:39Z</dcterms:created>
  <dcterms:modified xsi:type="dcterms:W3CDTF">2023-09-01T17:33:28Z</dcterms:modified>
</cp:coreProperties>
</file>