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914"/>
  <workbookPr showInkAnnotation="0" autoCompressPictures="0"/>
  <mc:AlternateContent xmlns:mc="http://schemas.openxmlformats.org/markup-compatibility/2006">
    <mc:Choice Requires="x15">
      <x15ac:absPath xmlns:x15ac="http://schemas.microsoft.com/office/spreadsheetml/2010/11/ac" url="/Users/stephencarol/Documents/BCR/Templates/"/>
    </mc:Choice>
  </mc:AlternateContent>
  <xr:revisionPtr revIDLastSave="0" documentId="8_{7638F472-18C8-4D3A-B064-8902FDD31CA2}" xr6:coauthVersionLast="47" xr6:coauthVersionMax="47" xr10:uidLastSave="{00000000-0000-0000-0000-000000000000}"/>
  <bookViews>
    <workbookView xWindow="0" yWindow="500" windowWidth="25600" windowHeight="15500" tabRatio="509" xr2:uid="{00000000-000D-0000-FFFF-FFFF00000000}"/>
  </bookViews>
  <sheets>
    <sheet name="Control Entry" sheetId="1" r:id="rId1"/>
    <sheet name="Card #1" sheetId="7" r:id="rId2"/>
    <sheet name="Card #2" sheetId="8" r:id="rId3"/>
  </sheets>
  <definedNames>
    <definedName name="Address_1" localSheetId="1">#REF!</definedName>
    <definedName name="Address_1" localSheetId="2">#REF!</definedName>
    <definedName name="Address_1">#REF!</definedName>
    <definedName name="Address_2" localSheetId="1">#REF!</definedName>
    <definedName name="Address_2" localSheetId="2">#REF!</definedName>
    <definedName name="Address_2">#REF!</definedName>
    <definedName name="brevet">'Control Entry'!$C$6</definedName>
    <definedName name="Brevet_Description">'Control Entry'!$B$8</definedName>
    <definedName name="Brevet_Length">'Control Entry'!$B$6</definedName>
    <definedName name="Brevet_Number">'Control Entry'!$B$9</definedName>
    <definedName name="City" localSheetId="1">#REF!</definedName>
    <definedName name="City" localSheetId="2">#REF!</definedName>
    <definedName name="City">#REF!</definedName>
    <definedName name="Close">'Control Entry'!$M$15:$M$24</definedName>
    <definedName name="Close_time">'Control Entry'!$O$15:$O$24</definedName>
    <definedName name="Control_1">'Control Entry'!$D$15:$O$15</definedName>
    <definedName name="Control_10">'Control Entry'!$D$24:$O$24</definedName>
    <definedName name="Control_11" localSheetId="1">'Control Entry'!#REF!</definedName>
    <definedName name="Control_11" localSheetId="2">'Control Entry'!#REF!</definedName>
    <definedName name="Control_11">'Control Entry'!#REF!</definedName>
    <definedName name="Control_12" localSheetId="1">'Control Entry'!#REF!</definedName>
    <definedName name="Control_12" localSheetId="2">'Control Entry'!#REF!</definedName>
    <definedName name="Control_12">'Control Entry'!#REF!</definedName>
    <definedName name="Control_13" localSheetId="1">'Control Entry'!#REF!</definedName>
    <definedName name="Control_13" localSheetId="2">'Control Entry'!#REF!</definedName>
    <definedName name="Control_13">'Control Entry'!#REF!</definedName>
    <definedName name="Control_14" localSheetId="1">'Control Entry'!#REF!</definedName>
    <definedName name="Control_14" localSheetId="2">'Control Entry'!#REF!</definedName>
    <definedName name="Control_14">'Control Entry'!#REF!</definedName>
    <definedName name="Control_15" localSheetId="1">'Control Entry'!#REF!</definedName>
    <definedName name="Control_15" localSheetId="2">'Control Entry'!#REF!</definedName>
    <definedName name="Control_15">'Control Entry'!#REF!</definedName>
    <definedName name="Control_16" localSheetId="1">'Control Entry'!#REF!</definedName>
    <definedName name="Control_16" localSheetId="2">'Control Entry'!#REF!</definedName>
    <definedName name="Control_16">'Control Entry'!#REF!</definedName>
    <definedName name="Control_17" localSheetId="1">'Control Entry'!#REF!</definedName>
    <definedName name="Control_17" localSheetId="2">'Control Entry'!#REF!</definedName>
    <definedName name="Control_17">'Control Entry'!#REF!</definedName>
    <definedName name="Control_18" localSheetId="1">'Control Entry'!#REF!</definedName>
    <definedName name="Control_18" localSheetId="2">'Control Entry'!#REF!</definedName>
    <definedName name="Control_18">'Control Entry'!#REF!</definedName>
    <definedName name="Control_19" localSheetId="1">'Control Entry'!#REF!</definedName>
    <definedName name="Control_19" localSheetId="2">'Control Entry'!#REF!</definedName>
    <definedName name="Control_19">'Control Entry'!#REF!</definedName>
    <definedName name="Control_2">'Control Entry'!$D$16:$O$16</definedName>
    <definedName name="Control_20" localSheetId="1">'Control Entry'!#REF!</definedName>
    <definedName name="Control_20" localSheetId="2">'Control Entry'!#REF!</definedName>
    <definedName name="Control_20">'Control Entry'!#REF!</definedName>
    <definedName name="Control_3">'Control Entry'!$D$17:$O$17</definedName>
    <definedName name="Control_4">'Control Entry'!$D$18:$O$18</definedName>
    <definedName name="Control_5">'Control Entry'!$D$19:$O$19</definedName>
    <definedName name="Control_6">'Control Entry'!$D$20:$O$20</definedName>
    <definedName name="Control_7">'Control Entry'!$D$21:$O$21</definedName>
    <definedName name="Control_8">'Control Entry'!$D$22:$O$22</definedName>
    <definedName name="Control_9">'Control Entry'!$D$23:$O$23</definedName>
    <definedName name="Country" localSheetId="1">#REF!</definedName>
    <definedName name="Country" localSheetId="2">#REF!</definedName>
    <definedName name="Country">#REF!</definedName>
    <definedName name="Distance">'Control Entry'!$D$15:$D$24</definedName>
    <definedName name="email" localSheetId="1">#REF!</definedName>
    <definedName name="email" localSheetId="2">#REF!</definedName>
    <definedName name="email">#REF!</definedName>
    <definedName name="Establishment_1">'Control Entry'!$F$15:$F$24</definedName>
    <definedName name="Establishment_2">'Control Entry'!$G$15:$G$24</definedName>
    <definedName name="Establishment_3">'Control Entry'!$H$15:$H$24</definedName>
    <definedName name="Fax" localSheetId="1">#REF!</definedName>
    <definedName name="Fax" localSheetId="2">#REF!</definedName>
    <definedName name="Fax">#REF!</definedName>
    <definedName name="First_Name" localSheetId="1">#REF!</definedName>
    <definedName name="First_Name" localSheetId="2">#REF!</definedName>
    <definedName name="First_Name">#REF!</definedName>
    <definedName name="Home_telephone" localSheetId="1">#REF!</definedName>
    <definedName name="Home_telephone" localSheetId="2">#REF!</definedName>
    <definedName name="Home_telephone">#REF!</definedName>
    <definedName name="HTML_CodePage" hidden="1">1252</definedName>
    <definedName name="HTML_Control" hidden="1">{"'Web sheet'!$A$1:$D$92"}</definedName>
    <definedName name="HTML_Description" hidden="1">""</definedName>
    <definedName name="HTML_Email" hidden="1">"randos@island.net"</definedName>
    <definedName name="HTML_Header" hidden="1">"Web sheet"</definedName>
    <definedName name="HTML_LastUpdate" hidden="1">"99-03-06"</definedName>
    <definedName name="HTML_LineAfter" hidden="1">TRUE</definedName>
    <definedName name="HTML_LineBefore" hidden="1">TRUE</definedName>
    <definedName name="HTML_Name" hidden="1">"Stephen Hinde"</definedName>
    <definedName name="HTML_OBDlg2" hidden="1">TRUE</definedName>
    <definedName name="HTML_OBDlg4" hidden="1">TRUE</definedName>
    <definedName name="HTML_OS" hidden="1">0</definedName>
    <definedName name="HTML_PathFile" hidden="1">"C:\My Documents\excel\MyHTML.htm"</definedName>
    <definedName name="HTML_Title" hidden="1">"VI0100B Nanaimo Populaire"</definedName>
    <definedName name="HTML1_1" hidden="1">"'[vi0100b.xls]VI0100B 970310'!$A$3:$D$22"</definedName>
    <definedName name="HTML1_10" hidden="1">"randos@island.net"</definedName>
    <definedName name="HTML1_11" hidden="1">1</definedName>
    <definedName name="HTML1_12" hidden="1">"C:\My Documents\Web Page\vi0100b.htm"</definedName>
    <definedName name="HTML1_2" hidden="1">1</definedName>
    <definedName name="HTML1_3" hidden="1">"100 km Populaire"</definedName>
    <definedName name="HTML1_4" hidden="1">"VI0100B 970310"</definedName>
    <definedName name="HTML1_5" hidden="1">"Nanaimo--Lantzville--Nanaimo--Yellow Point--Nanaimo"</definedName>
    <definedName name="HTML1_6" hidden="1">1</definedName>
    <definedName name="HTML1_7" hidden="1">1</definedName>
    <definedName name="HTML1_8" hidden="1">"26/10/97"</definedName>
    <definedName name="HTML1_9" hidden="1">"Stephen Hinde"</definedName>
    <definedName name="HTML2_1" hidden="1">"'[vi0100b.xls]VI0100B 970310'!$A$1:$D$22"</definedName>
    <definedName name="HTML2_10" hidden="1">"randos@island.net"</definedName>
    <definedName name="HTML2_11" hidden="1">1</definedName>
    <definedName name="HTML2_12" hidden="1">"C:\My Documents\Web Page\vi0100b.htm"</definedName>
    <definedName name="HTML2_2" hidden="1">1</definedName>
    <definedName name="HTML2_3" hidden="1">"100 km Populaire"</definedName>
    <definedName name="HTML2_4" hidden="1">"VI0100B 970310"</definedName>
    <definedName name="HTML2_5" hidden="1">"Nanaimo--Lantzville--Nanaimo--Yellow Point--Nanaimo"</definedName>
    <definedName name="HTML2_6" hidden="1">1</definedName>
    <definedName name="HTML2_7" hidden="1">1</definedName>
    <definedName name="HTML2_8" hidden="1">"26/10/97"</definedName>
    <definedName name="HTML2_9" hidden="1">"Stephen Hinde"</definedName>
    <definedName name="HTML3_1" hidden="1">"'[vi0100b.xls]VI0100B 970310'!$A$1:$D$24"</definedName>
    <definedName name="HTML3_10" hidden="1">"randos@island.net"</definedName>
    <definedName name="HTML3_11" hidden="1">1</definedName>
    <definedName name="HTML3_12" hidden="1">"C:\My Documents\excel\vi0100b.htm"</definedName>
    <definedName name="HTML3_2" hidden="1">1</definedName>
    <definedName name="HTML3_3" hidden="1">"Vancouver Island Populaire"</definedName>
    <definedName name="HTML3_4" hidden="1">"VI0100B 970310"</definedName>
    <definedName name="HTML3_5" hidden="1">"Nanaimo--Lantzville--Yellow Point--Nanaimo"</definedName>
    <definedName name="HTML3_6" hidden="1">1</definedName>
    <definedName name="HTML3_7" hidden="1">1</definedName>
    <definedName name="HTML3_8" hidden="1">"26/10/97"</definedName>
    <definedName name="HTML3_9" hidden="1">"Stephen Hinde"</definedName>
    <definedName name="HTML4_1" hidden="1">"'[VI0100B.xls]VI0100B 971026'!$A$1:$I$47"</definedName>
    <definedName name="HTML4_10" hidden="1">""</definedName>
    <definedName name="HTML4_11" hidden="1">1</definedName>
    <definedName name="HTML4_12" hidden="1">"C:\My Documents\Web Page\VI0100B.htm"</definedName>
    <definedName name="HTML4_2" hidden="1">1</definedName>
    <definedName name="HTML4_3" hidden="1">"VI0100B"</definedName>
    <definedName name="HTML4_4" hidden="1">"VI0100B 971026"</definedName>
    <definedName name="HTML4_5" hidden="1">""</definedName>
    <definedName name="HTML4_6" hidden="1">-4146</definedName>
    <definedName name="HTML4_7" hidden="1">-4146</definedName>
    <definedName name="HTML4_8" hidden="1">"26/10/97"</definedName>
    <definedName name="HTML4_9" hidden="1">"Stephen Hinde"</definedName>
    <definedName name="HTML5_1" hidden="1">"'[VI0100B.xls]VI0100B 971026'!$A$1:$I$23"</definedName>
    <definedName name="HTML5_10" hidden="1">""</definedName>
    <definedName name="HTML5_11" hidden="1">1</definedName>
    <definedName name="HTML5_12" hidden="1">"C:\My Documents\Web Page\VI0100B top.htm"</definedName>
    <definedName name="HTML5_2" hidden="1">1</definedName>
    <definedName name="HTML5_3" hidden="1">"VI0100B"</definedName>
    <definedName name="HTML5_4" hidden="1">"VI0100B 971026"</definedName>
    <definedName name="HTML5_5" hidden="1">""</definedName>
    <definedName name="HTML5_6" hidden="1">-4146</definedName>
    <definedName name="HTML5_7" hidden="1">-4146</definedName>
    <definedName name="HTML5_8" hidden="1">"97-10-26"</definedName>
    <definedName name="HTML5_9" hidden="1">"Stephen Hinde"</definedName>
    <definedName name="HTML6_1" hidden="1">"'[VI0100B.xls]VI0100B 971026'!$A$25:$I$47"</definedName>
    <definedName name="HTML6_10" hidden="1">""</definedName>
    <definedName name="HTML6_11" hidden="1">1</definedName>
    <definedName name="HTML6_12" hidden="1">"C:\My Documents\Web Page\VI0100B bottom"</definedName>
    <definedName name="HTML6_2" hidden="1">1</definedName>
    <definedName name="HTML6_3" hidden="1">"VI0100B"</definedName>
    <definedName name="HTML6_4" hidden="1">"VI0100B 971026"</definedName>
    <definedName name="HTML6_5" hidden="1">""</definedName>
    <definedName name="HTML6_6" hidden="1">-4146</definedName>
    <definedName name="HTML6_7" hidden="1">-4146</definedName>
    <definedName name="HTML6_8" hidden="1">"97-10-26"</definedName>
    <definedName name="HTML6_9" hidden="1">"Stephen Hinde"</definedName>
    <definedName name="HTML7_1" hidden="1">"'[VI0200A  Tour of Cowichan Valley.xls]Web sheet'!$A$1:$E$92"</definedName>
    <definedName name="HTML7_10" hidden="1">"randos@island.net"</definedName>
    <definedName name="HTML7_11" hidden="1">1</definedName>
    <definedName name="HTML7_12" hidden="1">"C:\My Documents\Web Page\200km_route_sheet.htm"</definedName>
    <definedName name="HTML7_2" hidden="1">1</definedName>
    <definedName name="HTML7_3" hidden="1">"VI0200A  Tour of Cowichan Valley"</definedName>
    <definedName name="HTML7_4" hidden="1">"Vancouver Island 200 km Brevet"</definedName>
    <definedName name="HTML7_5" hidden="1">""</definedName>
    <definedName name="HTML7_6" hidden="1">1</definedName>
    <definedName name="HTML7_7" hidden="1">1</definedName>
    <definedName name="HTML7_8" hidden="1">"97-11-23"</definedName>
    <definedName name="HTML7_9" hidden="1">"Stephen Hinde"</definedName>
    <definedName name="HTML8_1" hidden="1">"'[VI0300A  Duncan--Victoria.xls]Web sheet'!$A$1:$E$161"</definedName>
    <definedName name="HTML8_10" hidden="1">"randos@island.net"</definedName>
    <definedName name="HTML8_11" hidden="1">1</definedName>
    <definedName name="HTML8_12" hidden="1">"C:\My Documents\Web Page\300km_route_sheet_duncan.htm"</definedName>
    <definedName name="HTML8_2" hidden="1">1</definedName>
    <definedName name="HTML8_3" hidden="1">"VI0300A  Duncan--Victoria"</definedName>
    <definedName name="HTML8_4" hidden="1">"Web sheet"</definedName>
    <definedName name="HTML8_5" hidden="1">""</definedName>
    <definedName name="HTML8_6" hidden="1">1</definedName>
    <definedName name="HTML8_7" hidden="1">1</definedName>
    <definedName name="HTML8_8" hidden="1">"98-01-25"</definedName>
    <definedName name="HTML8_9" hidden="1">"Stephen Hinde"</definedName>
    <definedName name="HTMLCount" hidden="1">8</definedName>
    <definedName name="Initial" localSheetId="1">#REF!</definedName>
    <definedName name="Initial" localSheetId="2">#REF!</definedName>
    <definedName name="Initial">#REF!</definedName>
    <definedName name="Locale">'Control Entry'!$E$15:$E$24</definedName>
    <definedName name="Max_time">'Control Entry'!$B$7</definedName>
    <definedName name="Open">'Control Entry'!$L$15:$L$24</definedName>
    <definedName name="Open_time">'Control Entry'!$N$15:$N$24</definedName>
    <definedName name="Postal_Code" localSheetId="1">#REF!</definedName>
    <definedName name="Postal_Code" localSheetId="2">#REF!</definedName>
    <definedName name="Postal_Code">#REF!</definedName>
    <definedName name="_xlnm.Print_Area" localSheetId="1">'Card #1'!$A$1:$K$55</definedName>
    <definedName name="_xlnm.Print_Area" localSheetId="2">'Card #2'!$A$1:$K$55</definedName>
    <definedName name="Province_State" localSheetId="1">#REF!</definedName>
    <definedName name="Province_State" localSheetId="2">#REF!</definedName>
    <definedName name="Province_State">#REF!</definedName>
    <definedName name="Start_date">'Control Entry'!$B$12</definedName>
    <definedName name="Start_time">'Control Entry'!$B$13</definedName>
    <definedName name="surname" localSheetId="1">#REF!</definedName>
    <definedName name="surname" localSheetId="2">#REF!</definedName>
    <definedName name="surname">#REF!</definedName>
    <definedName name="Work_telephone" localSheetId="1">#REF!</definedName>
    <definedName name="Work_telephone" localSheetId="2">#REF!</definedName>
    <definedName name="Work_telephone">#REF!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G48" i="7" l="1"/>
  <c r="F38" i="7"/>
  <c r="G50" i="8"/>
  <c r="G49" i="8"/>
  <c r="G48" i="8"/>
  <c r="F50" i="8"/>
  <c r="F49" i="8"/>
  <c r="F48" i="8"/>
  <c r="E49" i="8"/>
  <c r="B49" i="8"/>
  <c r="G47" i="8"/>
  <c r="G46" i="8"/>
  <c r="G45" i="8"/>
  <c r="F47" i="8"/>
  <c r="F46" i="8"/>
  <c r="F45" i="8"/>
  <c r="E46" i="8"/>
  <c r="B46" i="8"/>
  <c r="G44" i="8"/>
  <c r="G43" i="8"/>
  <c r="G42" i="8"/>
  <c r="F44" i="8"/>
  <c r="F43" i="8"/>
  <c r="F42" i="8"/>
  <c r="E43" i="8"/>
  <c r="B43" i="8"/>
  <c r="G41" i="8"/>
  <c r="G40" i="8"/>
  <c r="G39" i="8"/>
  <c r="F41" i="8"/>
  <c r="F40" i="8"/>
  <c r="F39" i="8"/>
  <c r="E40" i="8"/>
  <c r="B40" i="8"/>
  <c r="G38" i="8"/>
  <c r="G37" i="8"/>
  <c r="G36" i="8"/>
  <c r="F38" i="8"/>
  <c r="F37" i="8"/>
  <c r="F36" i="8"/>
  <c r="E37" i="8"/>
  <c r="B37" i="8"/>
  <c r="G35" i="8"/>
  <c r="G34" i="8"/>
  <c r="G33" i="8"/>
  <c r="F35" i="8"/>
  <c r="F34" i="8"/>
  <c r="F33" i="8"/>
  <c r="E34" i="8"/>
  <c r="B34" i="8"/>
  <c r="G32" i="8"/>
  <c r="G31" i="8"/>
  <c r="G30" i="8"/>
  <c r="F32" i="8"/>
  <c r="F31" i="8"/>
  <c r="F30" i="8"/>
  <c r="E31" i="8"/>
  <c r="B31" i="8"/>
  <c r="G29" i="8"/>
  <c r="G28" i="8"/>
  <c r="G26" i="8"/>
  <c r="G25" i="8"/>
  <c r="G27" i="8"/>
  <c r="F29" i="8"/>
  <c r="F28" i="8"/>
  <c r="F27" i="8"/>
  <c r="E28" i="8"/>
  <c r="B28" i="8"/>
  <c r="G24" i="8"/>
  <c r="F26" i="8"/>
  <c r="F25" i="8"/>
  <c r="F24" i="8"/>
  <c r="E25" i="8"/>
  <c r="B25" i="8"/>
  <c r="B22" i="8"/>
  <c r="G23" i="8"/>
  <c r="G22" i="8"/>
  <c r="G21" i="8"/>
  <c r="F23" i="8"/>
  <c r="F22" i="8"/>
  <c r="F21" i="8"/>
  <c r="E22" i="8"/>
  <c r="C54" i="8"/>
  <c r="J52" i="8"/>
  <c r="I12" i="8"/>
  <c r="F12" i="8"/>
  <c r="E5" i="8"/>
  <c r="E4" i="8"/>
  <c r="J3" i="8"/>
  <c r="J2" i="8"/>
  <c r="M37" i="1"/>
  <c r="O37" i="1" s="1"/>
  <c r="D49" i="8" s="1"/>
  <c r="L37" i="1"/>
  <c r="N37" i="1" s="1"/>
  <c r="C48" i="8" s="1"/>
  <c r="N36" i="1"/>
  <c r="C47" i="8" s="1"/>
  <c r="M36" i="1"/>
  <c r="O36" i="1" s="1"/>
  <c r="D47" i="8" s="1"/>
  <c r="L36" i="1"/>
  <c r="N35" i="1"/>
  <c r="C42" i="8" s="1"/>
  <c r="M35" i="1"/>
  <c r="O35" i="1" s="1"/>
  <c r="D43" i="8" s="1"/>
  <c r="L35" i="1"/>
  <c r="N34" i="1"/>
  <c r="C41" i="8" s="1"/>
  <c r="M34" i="1"/>
  <c r="O34" i="1" s="1"/>
  <c r="D41" i="8" s="1"/>
  <c r="L34" i="1"/>
  <c r="N33" i="1"/>
  <c r="C36" i="8" s="1"/>
  <c r="M33" i="1"/>
  <c r="O33" i="1" s="1"/>
  <c r="D37" i="8" s="1"/>
  <c r="L33" i="1"/>
  <c r="N32" i="1"/>
  <c r="C35" i="8" s="1"/>
  <c r="M32" i="1"/>
  <c r="O32" i="1" s="1"/>
  <c r="D35" i="8" s="1"/>
  <c r="L32" i="1"/>
  <c r="M31" i="1"/>
  <c r="O31" i="1" s="1"/>
  <c r="D31" i="8" s="1"/>
  <c r="L31" i="1"/>
  <c r="N31" i="1" s="1"/>
  <c r="C30" i="8" s="1"/>
  <c r="M30" i="1"/>
  <c r="O30" i="1" s="1"/>
  <c r="D28" i="8" s="1"/>
  <c r="L30" i="1"/>
  <c r="N30" i="1" s="1"/>
  <c r="C27" i="8" s="1"/>
  <c r="M29" i="1"/>
  <c r="L29" i="1"/>
  <c r="M28" i="1"/>
  <c r="L28" i="1"/>
  <c r="D50" i="8" l="1"/>
  <c r="C31" i="8"/>
  <c r="D44" i="8"/>
  <c r="D39" i="8"/>
  <c r="C43" i="8"/>
  <c r="C28" i="8"/>
  <c r="D32" i="8"/>
  <c r="D38" i="8"/>
  <c r="C49" i="8"/>
  <c r="D29" i="8"/>
  <c r="D33" i="8"/>
  <c r="C37" i="8"/>
  <c r="D45" i="8"/>
  <c r="C29" i="8"/>
  <c r="C32" i="8"/>
  <c r="C33" i="8"/>
  <c r="D34" i="8"/>
  <c r="C38" i="8"/>
  <c r="C39" i="8"/>
  <c r="D40" i="8"/>
  <c r="C44" i="8"/>
  <c r="C45" i="8"/>
  <c r="D46" i="8"/>
  <c r="C50" i="8"/>
  <c r="D27" i="8"/>
  <c r="D30" i="8"/>
  <c r="C34" i="8"/>
  <c r="D36" i="8"/>
  <c r="C40" i="8"/>
  <c r="D42" i="8"/>
  <c r="C46" i="8"/>
  <c r="D48" i="8"/>
  <c r="L7" i="1"/>
  <c r="E5" i="7" l="1"/>
  <c r="G50" i="7"/>
  <c r="G49" i="7"/>
  <c r="G47" i="7"/>
  <c r="G46" i="7"/>
  <c r="G45" i="7"/>
  <c r="G44" i="7"/>
  <c r="G43" i="7"/>
  <c r="G42" i="7"/>
  <c r="G41" i="7"/>
  <c r="G40" i="7"/>
  <c r="G39" i="7"/>
  <c r="G38" i="7"/>
  <c r="G37" i="7"/>
  <c r="G36" i="7"/>
  <c r="G35" i="7"/>
  <c r="G34" i="7"/>
  <c r="G33" i="7"/>
  <c r="G32" i="7"/>
  <c r="G31" i="7"/>
  <c r="G30" i="7"/>
  <c r="G29" i="7"/>
  <c r="G28" i="7"/>
  <c r="G27" i="7"/>
  <c r="G26" i="7"/>
  <c r="G25" i="7"/>
  <c r="G24" i="7"/>
  <c r="G23" i="7"/>
  <c r="G22" i="7"/>
  <c r="G21" i="7"/>
  <c r="F50" i="7"/>
  <c r="F49" i="7"/>
  <c r="E49" i="7"/>
  <c r="B49" i="7"/>
  <c r="F48" i="7"/>
  <c r="F47" i="7"/>
  <c r="F46" i="7"/>
  <c r="E46" i="7"/>
  <c r="B46" i="7"/>
  <c r="F45" i="7"/>
  <c r="F44" i="7"/>
  <c r="F43" i="7"/>
  <c r="E43" i="7"/>
  <c r="B43" i="7"/>
  <c r="F42" i="7"/>
  <c r="F41" i="7"/>
  <c r="F40" i="7"/>
  <c r="E40" i="7"/>
  <c r="B40" i="7"/>
  <c r="F39" i="7"/>
  <c r="F37" i="7"/>
  <c r="E37" i="7"/>
  <c r="B37" i="7"/>
  <c r="F36" i="7"/>
  <c r="F35" i="7"/>
  <c r="F34" i="7"/>
  <c r="E34" i="7"/>
  <c r="B34" i="7"/>
  <c r="F33" i="7"/>
  <c r="F32" i="7"/>
  <c r="F31" i="7"/>
  <c r="E31" i="7"/>
  <c r="B31" i="7"/>
  <c r="F30" i="7"/>
  <c r="F29" i="7"/>
  <c r="F28" i="7"/>
  <c r="E28" i="7"/>
  <c r="B28" i="7"/>
  <c r="F27" i="7"/>
  <c r="F26" i="7"/>
  <c r="F25" i="7"/>
  <c r="E25" i="7"/>
  <c r="B25" i="7"/>
  <c r="F24" i="7"/>
  <c r="F23" i="7"/>
  <c r="F22" i="7"/>
  <c r="E22" i="7"/>
  <c r="B22" i="7"/>
  <c r="F21" i="7"/>
  <c r="J52" i="7" l="1"/>
  <c r="I12" i="7"/>
  <c r="F12" i="7"/>
  <c r="J2" i="7"/>
  <c r="C54" i="7"/>
  <c r="J3" i="7"/>
  <c r="E4" i="7" l="1"/>
  <c r="L15" i="1" l="1"/>
  <c r="N15" i="1" s="1"/>
  <c r="C6" i="1"/>
  <c r="L24" i="1"/>
  <c r="L23" i="1"/>
  <c r="L22" i="1"/>
  <c r="L21" i="1"/>
  <c r="L20" i="1"/>
  <c r="L19" i="1"/>
  <c r="L18" i="1"/>
  <c r="L17" i="1"/>
  <c r="L16" i="1"/>
  <c r="O29" i="1" l="1"/>
  <c r="N29" i="1"/>
  <c r="N28" i="1"/>
  <c r="O28" i="1"/>
  <c r="M16" i="1"/>
  <c r="C22" i="7"/>
  <c r="C23" i="7"/>
  <c r="C21" i="7"/>
  <c r="B7" i="1"/>
  <c r="M21" i="1" s="1"/>
  <c r="O21" i="1" s="1"/>
  <c r="O16" i="1"/>
  <c r="M19" i="1"/>
  <c r="O19" i="1" s="1"/>
  <c r="M18" i="1"/>
  <c r="O18" i="1" s="1"/>
  <c r="M17" i="1"/>
  <c r="O17" i="1" s="1"/>
  <c r="M15" i="1"/>
  <c r="O15" i="1" s="1"/>
  <c r="N18" i="1"/>
  <c r="N22" i="1"/>
  <c r="N17" i="1"/>
  <c r="N21" i="1"/>
  <c r="N24" i="1"/>
  <c r="N16" i="1"/>
  <c r="N20" i="1"/>
  <c r="N19" i="1"/>
  <c r="N23" i="1"/>
  <c r="C24" i="8" l="1"/>
  <c r="C25" i="8"/>
  <c r="C26" i="8"/>
  <c r="D25" i="8"/>
  <c r="D26" i="8"/>
  <c r="D24" i="8"/>
  <c r="C21" i="8"/>
  <c r="C23" i="8"/>
  <c r="C22" i="8"/>
  <c r="D21" i="8"/>
  <c r="D22" i="8"/>
  <c r="D23" i="8"/>
  <c r="M24" i="1"/>
  <c r="O24" i="1" s="1"/>
  <c r="M23" i="1"/>
  <c r="O23" i="1" s="1"/>
  <c r="M20" i="1"/>
  <c r="O20" i="1" s="1"/>
  <c r="M22" i="1"/>
  <c r="O22" i="1" s="1"/>
  <c r="D29" i="7"/>
  <c r="D28" i="7"/>
  <c r="D27" i="7"/>
  <c r="C26" i="7"/>
  <c r="C25" i="7"/>
  <c r="C24" i="7"/>
  <c r="D26" i="7"/>
  <c r="D24" i="7"/>
  <c r="D25" i="7"/>
  <c r="C47" i="7"/>
  <c r="C45" i="7"/>
  <c r="C46" i="7"/>
  <c r="D41" i="7"/>
  <c r="D40" i="7"/>
  <c r="D39" i="7"/>
  <c r="C39" i="7"/>
  <c r="C41" i="7"/>
  <c r="C40" i="7"/>
  <c r="C43" i="7"/>
  <c r="C42" i="7"/>
  <c r="C44" i="7"/>
  <c r="C31" i="7"/>
  <c r="C32" i="7"/>
  <c r="C30" i="7"/>
  <c r="D23" i="7"/>
  <c r="D21" i="7"/>
  <c r="D22" i="7"/>
  <c r="C50" i="7"/>
  <c r="C49" i="7"/>
  <c r="C48" i="7"/>
  <c r="C35" i="7"/>
  <c r="C33" i="7"/>
  <c r="C34" i="7"/>
  <c r="C38" i="7"/>
  <c r="C37" i="7"/>
  <c r="C36" i="7"/>
  <c r="C29" i="7"/>
  <c r="C27" i="7"/>
  <c r="C28" i="7"/>
  <c r="D35" i="7"/>
  <c r="D33" i="7"/>
  <c r="D34" i="7"/>
  <c r="D31" i="7"/>
  <c r="D32" i="7"/>
  <c r="D30" i="7"/>
  <c r="D37" i="7" l="1"/>
  <c r="D47" i="7"/>
  <c r="D50" i="7"/>
  <c r="D44" i="7"/>
  <c r="D48" i="7"/>
  <c r="D49" i="7"/>
  <c r="D38" i="7"/>
  <c r="D36" i="7"/>
  <c r="D42" i="7"/>
  <c r="D46" i="7"/>
  <c r="D45" i="7"/>
  <c r="D43"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Stephen Hinde</author>
    <author>A satisfied Microsoft Office user</author>
  </authors>
  <commentList>
    <comment ref="B4" authorId="0" shapeId="0" xr:uid="{4563209B-AACD-704D-A715-734D9228E28F}">
      <text>
        <r>
          <rPr>
            <b/>
            <sz val="10"/>
            <color rgb="FF000000"/>
            <rFont val="Tahoma"/>
            <family val="2"/>
          </rPr>
          <t>Stephen Hinde:</t>
        </r>
        <r>
          <rPr>
            <sz val="10"/>
            <color rgb="FF000000"/>
            <rFont val="Tahoma"/>
            <family val="2"/>
          </rPr>
          <t xml:space="preserve">Revision date of the brevet details on this sheet
</t>
        </r>
      </text>
    </comment>
    <comment ref="B6" authorId="0" shapeId="0" xr:uid="{00000000-0006-0000-0000-000001000000}">
      <text>
        <r>
          <rPr>
            <b/>
            <sz val="10"/>
            <color rgb="FF000000"/>
            <rFont val="Tahoma"/>
            <family val="2"/>
          </rPr>
          <t>Stephen Hinde:</t>
        </r>
        <r>
          <rPr>
            <sz val="10"/>
            <color rgb="FF000000"/>
            <rFont val="Tahoma"/>
            <family val="2"/>
          </rPr>
          <t xml:space="preserve">
</t>
        </r>
        <r>
          <rPr>
            <sz val="10"/>
            <color rgb="FF000000"/>
            <rFont val="Tahoma"/>
            <family val="2"/>
          </rPr>
          <t xml:space="preserve">Nominal ACP distance
</t>
        </r>
        <r>
          <rPr>
            <sz val="10"/>
            <color rgb="FF000000"/>
            <rFont val="Tahoma"/>
            <family val="2"/>
          </rPr>
          <t xml:space="preserve">1200, 1000, 600, 400, 300, 200, 150, 100, 50, 25
</t>
        </r>
      </text>
    </comment>
    <comment ref="B7" authorId="1" shapeId="0" xr:uid="{00000000-0006-0000-0000-000002000000}">
      <text>
        <r>
          <rPr>
            <sz val="8"/>
            <color rgb="FF000000"/>
            <rFont val="Tahoma"/>
            <family val="2"/>
          </rPr>
          <t>Autocalculated based on ACP specified times</t>
        </r>
      </text>
    </comment>
    <comment ref="B8" authorId="0" shapeId="0" xr:uid="{3C1C451D-6AE0-F242-A53A-80693F934BEF}">
      <text>
        <r>
          <rPr>
            <b/>
            <sz val="10"/>
            <color rgb="FF000000"/>
            <rFont val="Tahoma"/>
            <family val="2"/>
          </rPr>
          <t>Stephen Hinde:</t>
        </r>
        <r>
          <rPr>
            <sz val="10"/>
            <color rgb="FF000000"/>
            <rFont val="Tahoma"/>
            <family val="2"/>
          </rPr>
          <t xml:space="preserve">
</t>
        </r>
        <r>
          <rPr>
            <sz val="10"/>
            <color rgb="FF000000"/>
            <rFont val="Tahoma"/>
            <family val="2"/>
          </rPr>
          <t xml:space="preserve">Name of event
</t>
        </r>
      </text>
    </comment>
    <comment ref="B9" authorId="0" shapeId="0" xr:uid="{00000000-0006-0000-0000-000003000000}">
      <text>
        <r>
          <rPr>
            <b/>
            <sz val="10"/>
            <color rgb="FF000000"/>
            <rFont val="Tahoma"/>
            <family val="2"/>
          </rPr>
          <t>Stephen Hinde:</t>
        </r>
        <r>
          <rPr>
            <sz val="10"/>
            <color rgb="FF000000"/>
            <rFont val="Tahoma"/>
            <family val="2"/>
          </rPr>
          <t xml:space="preserve">
</t>
        </r>
        <r>
          <rPr>
            <sz val="10"/>
            <color rgb="FF000000"/>
            <rFont val="Tahoma"/>
            <family val="2"/>
          </rPr>
          <t>On event page</t>
        </r>
      </text>
    </comment>
    <comment ref="B10" authorId="0" shapeId="0" xr:uid="{00000000-0006-0000-0000-000004000000}">
      <text>
        <r>
          <rPr>
            <b/>
            <sz val="10"/>
            <color rgb="FF000000"/>
            <rFont val="Tahoma"/>
            <family val="2"/>
          </rPr>
          <t>Stephen Hinde:</t>
        </r>
        <r>
          <rPr>
            <sz val="10"/>
            <color rgb="FF000000"/>
            <rFont val="Tahoma"/>
            <family val="2"/>
          </rPr>
          <t xml:space="preserve">
</t>
        </r>
        <r>
          <rPr>
            <sz val="10"/>
            <color rgb="FF000000"/>
            <rFont val="Tahoma"/>
            <family val="2"/>
          </rPr>
          <t>Official ACP date</t>
        </r>
      </text>
    </comment>
    <comment ref="F10" authorId="0" shapeId="0" xr:uid="{C2700BB7-AC40-4846-9773-3956CB914942}">
      <text>
        <r>
          <rPr>
            <b/>
            <sz val="10"/>
            <color rgb="FF000000"/>
            <rFont val="Tahoma"/>
            <family val="2"/>
          </rPr>
          <t>Stephen Hinde:</t>
        </r>
        <r>
          <rPr>
            <sz val="10"/>
            <color rgb="FF000000"/>
            <rFont val="Tahoma"/>
            <family val="2"/>
          </rPr>
          <t xml:space="preserve">
</t>
        </r>
        <r>
          <rPr>
            <sz val="10"/>
            <color rgb="FF000000"/>
            <rFont val="Tahoma"/>
            <family val="2"/>
          </rPr>
          <t xml:space="preserve">Optional.  </t>
        </r>
      </text>
    </comment>
    <comment ref="B12" authorId="0" shapeId="0" xr:uid="{23558CA1-4512-6144-8D64-23E7C0C33489}">
      <text>
        <r>
          <rPr>
            <b/>
            <sz val="10"/>
            <color rgb="FF000000"/>
            <rFont val="Tahoma"/>
            <family val="2"/>
          </rPr>
          <t>Stephen Hinde:</t>
        </r>
        <r>
          <rPr>
            <sz val="10"/>
            <color rgb="FF000000"/>
            <rFont val="Tahoma"/>
            <family val="2"/>
          </rPr>
          <t xml:space="preserve">
</t>
        </r>
        <r>
          <rPr>
            <sz val="10"/>
            <color rgb="FF000000"/>
            <rFont val="Tahoma"/>
            <family val="2"/>
          </rPr>
          <t xml:space="preserve">Ride date
</t>
        </r>
      </text>
    </comment>
    <comment ref="B13" authorId="0" shapeId="0" xr:uid="{B42762EC-1925-AE46-9F2A-7C3A271E16AF}">
      <text>
        <r>
          <rPr>
            <b/>
            <sz val="10"/>
            <color rgb="FF000000"/>
            <rFont val="Tahoma"/>
            <family val="2"/>
          </rPr>
          <t>Stephen Hinde:</t>
        </r>
        <r>
          <rPr>
            <sz val="10"/>
            <color rgb="FF000000"/>
            <rFont val="Tahoma"/>
            <family val="2"/>
          </rPr>
          <t xml:space="preserve">
</t>
        </r>
        <r>
          <rPr>
            <sz val="10"/>
            <color rgb="FF000000"/>
            <rFont val="Tahoma"/>
            <family val="2"/>
          </rPr>
          <t xml:space="preserve">24hr clock format
</t>
        </r>
        <r>
          <rPr>
            <sz val="10"/>
            <color rgb="FF000000"/>
            <rFont val="Tahoma"/>
            <family val="2"/>
          </rPr>
          <t>hh:mm</t>
        </r>
      </text>
    </comment>
    <comment ref="F14" authorId="0" shapeId="0" xr:uid="{E6B5DB4F-63CC-9A4E-B02A-4C28633B0FBD}">
      <text>
        <r>
          <rPr>
            <b/>
            <sz val="10"/>
            <color rgb="FF000000"/>
            <rFont val="Tahoma"/>
            <family val="2"/>
          </rPr>
          <t>Stephen Hinde:</t>
        </r>
        <r>
          <rPr>
            <sz val="10"/>
            <color rgb="FF000000"/>
            <rFont val="Tahoma"/>
            <family val="2"/>
          </rPr>
          <t xml:space="preserve">
</t>
        </r>
        <r>
          <rPr>
            <sz val="10"/>
            <color rgb="FF000000"/>
            <rFont val="Tahoma"/>
            <family val="2"/>
          </rPr>
          <t xml:space="preserve">It is recommended to put the type of control in this space ie 
</t>
        </r>
        <r>
          <rPr>
            <sz val="10"/>
            <color rgb="FF000000"/>
            <rFont val="Tahoma"/>
            <family val="2"/>
          </rPr>
          <t xml:space="preserve">STAFFED
</t>
        </r>
        <r>
          <rPr>
            <sz val="10"/>
            <color rgb="FF000000"/>
            <rFont val="Tahoma"/>
            <family val="2"/>
          </rPr>
          <t xml:space="preserve">BUSINESS INFORMATION
</t>
        </r>
        <r>
          <rPr>
            <sz val="10"/>
            <color rgb="FF000000"/>
            <rFont val="Tahoma"/>
            <family val="2"/>
          </rPr>
          <t>SELF CHECK</t>
        </r>
      </text>
    </comment>
  </commentList>
</comments>
</file>

<file path=xl/sharedStrings.xml><?xml version="1.0" encoding="utf-8"?>
<sst xmlns="http://schemas.openxmlformats.org/spreadsheetml/2006/main" count="177" uniqueCount="128">
  <si>
    <t>DO NOT MOVE OR DELETE ROWS OR COLUMNS (delete contents of cells only)</t>
  </si>
  <si>
    <t>Scroll right to see further instructions</t>
  </si>
  <si>
    <t>You can create 2control cards  (upto 20 controls) for one event, or 2control cards (up to 10 controls) with different start loctions for a single event.</t>
  </si>
  <si>
    <t xml:space="preserve">Template Revised:  </t>
  </si>
  <si>
    <t xml:space="preserve">Card Revised:  </t>
  </si>
  <si>
    <t>Brevet Length:</t>
  </si>
  <si>
    <t>Instructions</t>
  </si>
  <si>
    <t>Fill nominal brevet length.  This is the ACP distance eg 200, 300, 1000</t>
  </si>
  <si>
    <t>Maximum Time:</t>
  </si>
  <si>
    <t>Maximum allowable time automatically calculated</t>
  </si>
  <si>
    <t>Brevet Description:</t>
  </si>
  <si>
    <t>LM Hope and Desperation 600</t>
  </si>
  <si>
    <t>Enter the brevet name eg 'Remembrance Day Brevet'</t>
  </si>
  <si>
    <t>Brevet Number:</t>
  </si>
  <si>
    <t>Enter the brevet number.  This is the BCR database number, and can be found on the event page in the database</t>
  </si>
  <si>
    <t>Schedule date:</t>
  </si>
  <si>
    <t>Organizer phone #</t>
  </si>
  <si>
    <t>604-721-0309</t>
  </si>
  <si>
    <t>Enter the schedule date.  This is the official ACP listed date and can be found on the shcedule on the website</t>
  </si>
  <si>
    <t>Start Date:</t>
  </si>
  <si>
    <t>Enter the start date.  This will be the same as the schedule date, exceot for pre-rides or unless a ride window has been enabled.</t>
  </si>
  <si>
    <t>Start Time:</t>
  </si>
  <si>
    <t>Control Card #1</t>
  </si>
  <si>
    <t>Control Card #1 Information Control Question (optional)</t>
  </si>
  <si>
    <t>Enter the start time.  This will be the official ACP listed start time found on the event page, unless a ride window has been enabled.</t>
  </si>
  <si>
    <t>Distance</t>
  </si>
  <si>
    <t>Locale</t>
  </si>
  <si>
    <t>Establishment 1</t>
  </si>
  <si>
    <t>Establishment 2</t>
  </si>
  <si>
    <t>Establishment 3</t>
  </si>
  <si>
    <t>Signature/Answer 1</t>
  </si>
  <si>
    <t>Signature/Answer 2</t>
  </si>
  <si>
    <t>Signature/Answer 3</t>
  </si>
  <si>
    <t>Open</t>
  </si>
  <si>
    <t>Close</t>
  </si>
  <si>
    <t>Open time</t>
  </si>
  <si>
    <t>Close time</t>
  </si>
  <si>
    <t>Organizer phone number is optional</t>
  </si>
  <si>
    <t>Control 1</t>
  </si>
  <si>
    <t>Vancouver</t>
  </si>
  <si>
    <t>McDonald's</t>
  </si>
  <si>
    <t>3695 Lougheed Hwy</t>
  </si>
  <si>
    <t>@ Boundary Rd</t>
  </si>
  <si>
    <t>Staffed control</t>
  </si>
  <si>
    <t>Fill in the control distance.  The opening and closing times will be automatically calculated based on the start time and the brevet distance.  If you need more than 10 controls, or need an alternate start loction, use card #2, otherwise leave that section blank.</t>
  </si>
  <si>
    <t>Control 2</t>
  </si>
  <si>
    <t>Britannia Beach</t>
  </si>
  <si>
    <t>Outbound Station</t>
  </si>
  <si>
    <t>Fill in the Locale (city) for each control.  Establishment 1, 2, and 3 can be used to describe the control itself eg Locale HOPE  Est.1  BUSINESS Est.2 Dairy Queen Est.3 817 Water Ave .  For a secret control, use SECRET as the locale.</t>
  </si>
  <si>
    <t>Control 3</t>
  </si>
  <si>
    <t>Stave Falls</t>
  </si>
  <si>
    <t>Hayward Lake Rec Area</t>
  </si>
  <si>
    <t>Info board by washroom,</t>
  </si>
  <si>
    <t>bottom right of map</t>
  </si>
  <si>
    <t>How much time to hike both trails?</t>
  </si>
  <si>
    <t>When using information controls, you can put your question in the Signature/Answer section eg Sig/Ans.1 Sign on main door  Sig/Ans. 2  This week's special is?  Sig/Ans. 3 ________________</t>
  </si>
  <si>
    <t>Control 4</t>
  </si>
  <si>
    <t>Hope</t>
  </si>
  <si>
    <t>Temporary Visitor Centre</t>
  </si>
  <si>
    <t>Plaque at flagpoles,</t>
  </si>
  <si>
    <t>"Great point of view"</t>
  </si>
  <si>
    <t>Date on plaque?</t>
  </si>
  <si>
    <t>Control 5</t>
  </si>
  <si>
    <t>Chilliwack</t>
  </si>
  <si>
    <t>Camp River Rd</t>
  </si>
  <si>
    <t>@ Reeves Rd</t>
  </si>
  <si>
    <t>Our westbound stop sign</t>
  </si>
  <si>
    <t>Two-digit number on back of "3 way"?</t>
  </si>
  <si>
    <t>Control 6</t>
  </si>
  <si>
    <t>Columbia Valley</t>
  </si>
  <si>
    <t>Iverson Rd</t>
  </si>
  <si>
    <t>@ Henderson Rd</t>
  </si>
  <si>
    <t>Big ◇ "→" caution sign</t>
  </si>
  <si>
    <t>Two-digit number on back (upside-down)?</t>
  </si>
  <si>
    <t>Control 7</t>
  </si>
  <si>
    <t>Abbotsford</t>
  </si>
  <si>
    <t>Clarion Hotel</t>
  </si>
  <si>
    <t>36035 N Parallel Rd</t>
  </si>
  <si>
    <t>Exterior right of lobby</t>
  </si>
  <si>
    <t>Boarded up by what construction company?</t>
  </si>
  <si>
    <t>Control 8</t>
  </si>
  <si>
    <t>Surrey</t>
  </si>
  <si>
    <t>Marine Dr</t>
  </si>
  <si>
    <t>@ 128 St</t>
  </si>
  <si>
    <t>First Aid station</t>
  </si>
  <si>
    <t>Company at bottom of "Safety first" sign?</t>
  </si>
  <si>
    <t>Control 9</t>
  </si>
  <si>
    <t>Delta</t>
  </si>
  <si>
    <t>Ladner Trunk Rd</t>
  </si>
  <si>
    <t>@ Elliot St</t>
  </si>
  <si>
    <t>Orange sign before turn</t>
  </si>
  <si>
    <t>Hampton Cove construction traffic do what?</t>
  </si>
  <si>
    <t>Control 10</t>
  </si>
  <si>
    <t>Richmond</t>
  </si>
  <si>
    <t>Moncton Rd</t>
  </si>
  <si>
    <t>@ No 2 Rd</t>
  </si>
  <si>
    <t>Bus stop 56590</t>
  </si>
  <si>
    <t>Date range for bus stop closure?</t>
  </si>
  <si>
    <t>Control Card #2</t>
  </si>
  <si>
    <t>Control Card #2 Information Control Question (optional)</t>
  </si>
  <si>
    <t>UBC</t>
  </si>
  <si>
    <t>Chancellor Blvd</t>
  </si>
  <si>
    <t>after East Mall</t>
  </si>
  <si>
    <t>but before Wesbrook Mall</t>
  </si>
  <si>
    <t>Bystander signature or selfie</t>
  </si>
  <si>
    <t>Founding member of LES RANDONNEURS MONDIAUX (1983)</t>
  </si>
  <si>
    <t>Card revised:</t>
  </si>
  <si>
    <t>Control Card</t>
  </si>
  <si>
    <t>Brevet #</t>
  </si>
  <si>
    <t>Rider:</t>
  </si>
  <si>
    <t>Member #</t>
  </si>
  <si>
    <t>Bicycle Type
Circle one</t>
  </si>
  <si>
    <t>-------&gt;</t>
  </si>
  <si>
    <t>Single     Tandem     Fixed     Recumbent     Velomobile</t>
  </si>
  <si>
    <t>(circle)</t>
  </si>
  <si>
    <t>Start time:</t>
  </si>
  <si>
    <t>Finish Date:</t>
  </si>
  <si>
    <t>Finish time:</t>
  </si>
  <si>
    <t>Elapsed time:</t>
  </si>
  <si>
    <t>Rider's signature at completion</t>
  </si>
  <si>
    <r>
      <t xml:space="preserve">At each control, please </t>
    </r>
    <r>
      <rPr>
        <b/>
        <i/>
        <sz val="16"/>
        <rFont val="Arial"/>
        <family val="2"/>
      </rPr>
      <t>have signed or answer question</t>
    </r>
    <r>
      <rPr>
        <i/>
        <sz val="16"/>
        <rFont val="Arial"/>
        <family val="2"/>
      </rPr>
      <t xml:space="preserve"> and</t>
    </r>
    <r>
      <rPr>
        <b/>
        <i/>
        <sz val="16"/>
        <rFont val="Arial"/>
        <family val="2"/>
      </rPr>
      <t xml:space="preserve"> note time of day</t>
    </r>
  </si>
  <si>
    <t>DIST (km)</t>
  </si>
  <si>
    <t>Establishment</t>
  </si>
  <si>
    <t>Signature/Answer</t>
  </si>
  <si>
    <t>Time of Passage</t>
  </si>
  <si>
    <t>Report results through registration email link. If abandoning, please call / text the organizer.</t>
  </si>
  <si>
    <t xml:space="preserve">Organizer: </t>
  </si>
  <si>
    <t>Template revised: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</si>
</sst>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dd/mmm/yy\ hh:mm\ AM/PM"/>
    <numFmt numFmtId="165" formatCode="d/mmm/yy"/>
    <numFmt numFmtId="166" formatCode="dddd"/>
    <numFmt numFmtId="167" formatCode="0.0"/>
    <numFmt numFmtId="168" formatCode="mmmm\ d\,\ yyyy"/>
    <numFmt numFmtId="169" formatCode="[&lt;=9999999]###\-####;###\-###\-####"/>
  </numFmts>
  <fonts count="37">
    <font>
      <sz val="10"/>
      <name val="Arial"/>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0"/>
      <name val="Arial"/>
      <family val="2"/>
    </font>
    <font>
      <sz val="12"/>
      <name val="Arial"/>
      <family val="2"/>
    </font>
    <font>
      <sz val="14"/>
      <name val="Arial"/>
      <family val="2"/>
    </font>
    <font>
      <sz val="20"/>
      <name val="Arial"/>
      <family val="2"/>
    </font>
    <font>
      <sz val="36"/>
      <name val="Arial"/>
      <family val="2"/>
    </font>
    <font>
      <sz val="16"/>
      <name val="Arial"/>
      <family val="2"/>
    </font>
    <font>
      <sz val="18"/>
      <name val="Arial"/>
      <family val="2"/>
    </font>
    <font>
      <sz val="14"/>
      <name val="Arial Narrow"/>
      <family val="2"/>
    </font>
    <font>
      <sz val="8"/>
      <name val="Arial"/>
      <family val="2"/>
    </font>
    <font>
      <u/>
      <sz val="10"/>
      <color theme="10"/>
      <name val="Arial"/>
      <family val="2"/>
    </font>
    <font>
      <u/>
      <sz val="10"/>
      <color theme="11"/>
      <name val="Arial"/>
      <family val="2"/>
    </font>
    <font>
      <b/>
      <sz val="16"/>
      <name val="Arial"/>
      <family val="2"/>
    </font>
    <font>
      <sz val="8"/>
      <color rgb="FF000000"/>
      <name val="Tahoma"/>
      <family val="2"/>
    </font>
    <font>
      <i/>
      <sz val="16"/>
      <name val="Arial"/>
      <family val="2"/>
    </font>
    <font>
      <b/>
      <i/>
      <sz val="16"/>
      <name val="Arial"/>
      <family val="2"/>
    </font>
    <font>
      <sz val="16"/>
      <name val="Arial Narrow"/>
      <family val="2"/>
    </font>
    <font>
      <sz val="11"/>
      <color theme="1"/>
      <name val="Calibri"/>
      <family val="2"/>
      <scheme val="minor"/>
    </font>
    <font>
      <sz val="10"/>
      <color rgb="FF000000"/>
      <name val="Tahoma"/>
      <family val="2"/>
    </font>
    <font>
      <b/>
      <sz val="10"/>
      <color rgb="FF000000"/>
      <name val="Tahoma"/>
      <family val="2"/>
    </font>
    <font>
      <sz val="10"/>
      <name val="Arial Narrow"/>
      <family val="2"/>
    </font>
    <font>
      <sz val="16"/>
      <color rgb="FFFF0000"/>
      <name val="Arial"/>
      <family val="2"/>
    </font>
    <font>
      <sz val="9"/>
      <name val="Arial"/>
      <family val="2"/>
    </font>
    <font>
      <sz val="11"/>
      <name val="Arial Narrow"/>
      <family val="2"/>
    </font>
    <font>
      <sz val="22"/>
      <name val="Arial"/>
      <family val="2"/>
    </font>
    <font>
      <b/>
      <sz val="18"/>
      <name val="Arial"/>
      <family val="2"/>
    </font>
    <font>
      <sz val="14"/>
      <color rgb="FFFF0000"/>
      <name val="Arial"/>
      <family val="2"/>
    </font>
    <font>
      <sz val="11"/>
      <name val="Arial"/>
      <family val="2"/>
    </font>
    <font>
      <sz val="11"/>
      <color rgb="FFFF0000"/>
      <name val="Arial"/>
      <family val="2"/>
    </font>
    <font>
      <b/>
      <sz val="22"/>
      <name val="Arial"/>
      <family val="2"/>
    </font>
    <font>
      <sz val="20"/>
      <name val="Arial Narrow"/>
      <family val="2"/>
    </font>
    <font>
      <b/>
      <sz val="20"/>
      <name val="Arial Narrow"/>
      <family val="2"/>
    </font>
    <font>
      <sz val="10"/>
      <color rgb="FF000000"/>
      <name val="Arial"/>
      <charset val="1"/>
    </font>
  </fonts>
  <fills count="3">
    <fill>
      <patternFill patternType="none"/>
    </fill>
    <fill>
      <patternFill patternType="gray125"/>
    </fill>
    <fill>
      <patternFill patternType="solid">
        <fgColor indexed="22"/>
        <bgColor indexed="64"/>
      </patternFill>
    </fill>
  </fills>
  <borders count="31">
    <border>
      <left/>
      <right/>
      <top/>
      <bottom/>
      <diagonal/>
    </border>
    <border>
      <left style="medium">
        <color auto="1"/>
      </left>
      <right style="medium">
        <color auto="1"/>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bottom style="thin">
        <color auto="1"/>
      </bottom>
      <diagonal/>
    </border>
    <border>
      <left/>
      <right style="medium">
        <color auto="1"/>
      </right>
      <top/>
      <bottom style="thin">
        <color auto="1"/>
      </bottom>
      <diagonal/>
    </border>
    <border>
      <left/>
      <right/>
      <top style="medium">
        <color auto="1"/>
      </top>
      <bottom style="medium">
        <color auto="1"/>
      </bottom>
      <diagonal/>
    </border>
    <border>
      <left style="medium">
        <color auto="1"/>
      </left>
      <right/>
      <top/>
      <bottom/>
      <diagonal/>
    </border>
    <border>
      <left style="medium">
        <color auto="1"/>
      </left>
      <right style="medium">
        <color auto="1"/>
      </right>
      <top/>
      <bottom style="medium">
        <color auto="1"/>
      </bottom>
      <diagonal/>
    </border>
    <border>
      <left/>
      <right style="medium">
        <color auto="1"/>
      </right>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right style="thin">
        <color auto="1"/>
      </right>
      <top style="medium">
        <color auto="1"/>
      </top>
      <bottom style="medium">
        <color auto="1"/>
      </bottom>
      <diagonal/>
    </border>
    <border>
      <left style="medium">
        <color auto="1"/>
      </left>
      <right style="thin">
        <color auto="1"/>
      </right>
      <top/>
      <bottom style="thin">
        <color auto="1"/>
      </bottom>
      <diagonal/>
    </border>
    <border>
      <left/>
      <right style="thin">
        <color auto="1"/>
      </right>
      <top/>
      <bottom style="thin">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bottom/>
      <diagonal/>
    </border>
    <border>
      <left/>
      <right style="medium">
        <color auto="1"/>
      </right>
      <top/>
      <bottom/>
      <diagonal/>
    </border>
    <border>
      <left/>
      <right/>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style="medium">
        <color auto="1"/>
      </left>
      <right style="thin">
        <color auto="1"/>
      </right>
      <top style="thin">
        <color auto="1"/>
      </top>
      <bottom style="medium">
        <color auto="1"/>
      </bottom>
      <diagonal/>
    </border>
    <border>
      <left/>
      <right style="thin">
        <color auto="1"/>
      </right>
      <top style="thin">
        <color auto="1"/>
      </top>
      <bottom style="medium">
        <color auto="1"/>
      </bottom>
      <diagonal/>
    </border>
    <border>
      <left style="thin">
        <color indexed="64"/>
      </left>
      <right style="thin">
        <color indexed="64"/>
      </right>
      <top style="thin">
        <color indexed="64"/>
      </top>
      <bottom style="thin">
        <color indexed="64"/>
      </bottom>
      <diagonal/>
    </border>
    <border>
      <left style="medium">
        <color auto="1"/>
      </left>
      <right/>
      <top style="thin">
        <color auto="1"/>
      </top>
      <bottom style="thin">
        <color auto="1"/>
      </bottom>
      <diagonal/>
    </border>
    <border>
      <left style="medium">
        <color auto="1"/>
      </left>
      <right/>
      <top style="medium">
        <color auto="1"/>
      </top>
      <bottom style="thin">
        <color auto="1"/>
      </bottom>
      <diagonal/>
    </border>
    <border>
      <left style="medium">
        <color auto="1"/>
      </left>
      <right style="medium">
        <color auto="1"/>
      </right>
      <top style="medium">
        <color auto="1"/>
      </top>
      <bottom/>
      <diagonal/>
    </border>
    <border>
      <left/>
      <right/>
      <top/>
      <bottom style="double">
        <color indexed="64"/>
      </bottom>
      <diagonal/>
    </border>
    <border>
      <left style="medium">
        <color auto="1"/>
      </left>
      <right/>
      <top/>
      <bottom style="thin">
        <color auto="1"/>
      </bottom>
      <diagonal/>
    </border>
  </borders>
  <cellStyleXfs count="356">
    <xf numFmtId="0" fontId="0" fillId="0" borderId="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21" fillId="0" borderId="0"/>
    <xf numFmtId="0" fontId="4" fillId="0" borderId="0"/>
    <xf numFmtId="0" fontId="5" fillId="0" borderId="0"/>
    <xf numFmtId="0" fontId="3" fillId="0" borderId="0"/>
    <xf numFmtId="0" fontId="2" fillId="0" borderId="0"/>
    <xf numFmtId="0" fontId="1" fillId="0" borderId="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cellStyleXfs>
  <cellXfs count="144">
    <xf numFmtId="0" fontId="0" fillId="0" borderId="0" xfId="0"/>
    <xf numFmtId="0" fontId="0" fillId="0" borderId="0" xfId="0" applyAlignment="1">
      <alignment horizontal="right"/>
    </xf>
    <xf numFmtId="0" fontId="0" fillId="0" borderId="0" xfId="0" applyProtection="1">
      <protection hidden="1"/>
    </xf>
    <xf numFmtId="164" fontId="0" fillId="0" borderId="0" xfId="0" applyNumberFormat="1"/>
    <xf numFmtId="164" fontId="0" fillId="0" borderId="0" xfId="0" applyNumberFormat="1" applyAlignment="1">
      <alignment horizontal="center" vertical="center" wrapText="1"/>
    </xf>
    <xf numFmtId="0" fontId="0" fillId="2" borderId="11" xfId="0" applyFill="1" applyBorder="1"/>
    <xf numFmtId="0" fontId="0" fillId="2" borderId="12" xfId="0" applyFill="1" applyBorder="1"/>
    <xf numFmtId="0" fontId="0" fillId="2" borderId="10" xfId="0" applyFill="1" applyBorder="1"/>
    <xf numFmtId="0" fontId="7" fillId="2" borderId="15" xfId="0" applyFont="1" applyFill="1" applyBorder="1" applyAlignment="1">
      <alignment horizontal="center"/>
    </xf>
    <xf numFmtId="0" fontId="0" fillId="2" borderId="7" xfId="0" applyFill="1" applyBorder="1" applyAlignment="1">
      <alignment horizontal="right"/>
    </xf>
    <xf numFmtId="0" fontId="0" fillId="2" borderId="1" xfId="0" applyFill="1" applyBorder="1" applyAlignment="1">
      <alignment horizontal="right"/>
    </xf>
    <xf numFmtId="0" fontId="0" fillId="2" borderId="3" xfId="0" applyFill="1" applyBorder="1" applyAlignment="1">
      <alignment horizontal="right"/>
    </xf>
    <xf numFmtId="0" fontId="0" fillId="0" borderId="0" xfId="0" applyAlignment="1">
      <alignment vertical="top" textRotation="90"/>
    </xf>
    <xf numFmtId="0" fontId="0" fillId="0" borderId="0" xfId="0" applyAlignment="1" applyProtection="1">
      <alignment horizontal="centerContinuous"/>
      <protection hidden="1"/>
    </xf>
    <xf numFmtId="0" fontId="0" fillId="0" borderId="0" xfId="0" applyAlignment="1">
      <alignment horizontal="centerContinuous"/>
    </xf>
    <xf numFmtId="167" fontId="0" fillId="0" borderId="13" xfId="0" applyNumberFormat="1" applyBorder="1" applyProtection="1">
      <protection locked="0"/>
    </xf>
    <xf numFmtId="0" fontId="0" fillId="0" borderId="0" xfId="0" applyAlignment="1">
      <alignment horizontal="center"/>
    </xf>
    <xf numFmtId="0" fontId="10" fillId="0" borderId="0" xfId="0" applyFont="1" applyAlignment="1">
      <alignment horizontal="right"/>
    </xf>
    <xf numFmtId="0" fontId="5" fillId="2" borderId="3" xfId="0" applyFont="1" applyFill="1" applyBorder="1" applyAlignment="1">
      <alignment horizontal="right"/>
    </xf>
    <xf numFmtId="0" fontId="10" fillId="0" borderId="0" xfId="0" applyFont="1" applyAlignment="1">
      <alignment vertical="center"/>
    </xf>
    <xf numFmtId="167" fontId="0" fillId="0" borderId="23" xfId="0" applyNumberFormat="1" applyBorder="1" applyProtection="1">
      <protection locked="0"/>
    </xf>
    <xf numFmtId="168" fontId="10" fillId="0" borderId="0" xfId="0" applyNumberFormat="1" applyFont="1" applyAlignment="1">
      <alignment horizontal="center"/>
    </xf>
    <xf numFmtId="0" fontId="10" fillId="0" borderId="0" xfId="0" applyFont="1" applyAlignment="1">
      <alignment horizontal="center"/>
    </xf>
    <xf numFmtId="18" fontId="20" fillId="0" borderId="0" xfId="0" applyNumberFormat="1" applyFont="1" applyAlignment="1">
      <alignment horizontal="center" wrapText="1"/>
    </xf>
    <xf numFmtId="0" fontId="24" fillId="2" borderId="12" xfId="0" applyFont="1" applyFill="1" applyBorder="1"/>
    <xf numFmtId="0" fontId="24" fillId="2" borderId="10" xfId="0" applyFont="1" applyFill="1" applyBorder="1"/>
    <xf numFmtId="167" fontId="0" fillId="0" borderId="22" xfId="0" applyNumberFormat="1" applyBorder="1" applyProtection="1">
      <protection locked="0"/>
    </xf>
    <xf numFmtId="0" fontId="12" fillId="0" borderId="18" xfId="0" applyFont="1" applyBorder="1" applyProtection="1">
      <protection locked="0"/>
    </xf>
    <xf numFmtId="49" fontId="12" fillId="0" borderId="18" xfId="0" applyNumberFormat="1" applyFont="1" applyBorder="1" applyAlignment="1" applyProtection="1">
      <alignment horizontal="center"/>
      <protection locked="0"/>
    </xf>
    <xf numFmtId="49" fontId="12" fillId="0" borderId="8" xfId="0" applyNumberFormat="1" applyFont="1" applyBorder="1" applyAlignment="1" applyProtection="1">
      <alignment horizontal="center"/>
      <protection locked="0"/>
    </xf>
    <xf numFmtId="0" fontId="12" fillId="0" borderId="2" xfId="0" applyFont="1" applyBorder="1" applyProtection="1">
      <protection locked="0"/>
    </xf>
    <xf numFmtId="1" fontId="12" fillId="0" borderId="4" xfId="0" applyNumberFormat="1" applyFont="1" applyBorder="1" applyProtection="1">
      <protection locked="0"/>
    </xf>
    <xf numFmtId="15" fontId="12" fillId="0" borderId="4" xfId="0" applyNumberFormat="1" applyFont="1" applyBorder="1" applyProtection="1">
      <protection locked="0"/>
    </xf>
    <xf numFmtId="20" fontId="12" fillId="0" borderId="8" xfId="0" applyNumberFormat="1" applyFont="1" applyBorder="1" applyProtection="1">
      <protection locked="0"/>
    </xf>
    <xf numFmtId="0" fontId="5" fillId="0" borderId="14" xfId="0" applyFont="1" applyBorder="1" applyProtection="1">
      <protection locked="0"/>
    </xf>
    <xf numFmtId="49" fontId="5" fillId="0" borderId="14" xfId="0" applyNumberFormat="1" applyFont="1" applyBorder="1" applyAlignment="1" applyProtection="1">
      <alignment horizontal="center"/>
      <protection locked="0"/>
    </xf>
    <xf numFmtId="49" fontId="5" fillId="0" borderId="4" xfId="0" applyNumberFormat="1" applyFont="1" applyBorder="1" applyAlignment="1" applyProtection="1">
      <alignment horizontal="center"/>
      <protection locked="0"/>
    </xf>
    <xf numFmtId="0" fontId="5" fillId="0" borderId="24" xfId="0" applyFont="1" applyBorder="1" applyProtection="1">
      <protection locked="0"/>
    </xf>
    <xf numFmtId="167" fontId="0" fillId="0" borderId="0" xfId="0" applyNumberFormat="1"/>
    <xf numFmtId="0" fontId="9" fillId="0" borderId="0" xfId="0" applyFont="1"/>
    <xf numFmtId="0" fontId="5" fillId="0" borderId="0" xfId="0" applyFont="1"/>
    <xf numFmtId="0" fontId="0" fillId="2" borderId="26" xfId="0" applyFill="1" applyBorder="1" applyAlignment="1">
      <alignment horizontal="right"/>
    </xf>
    <xf numFmtId="15" fontId="12" fillId="0" borderId="25" xfId="0" applyNumberFormat="1" applyFont="1" applyBorder="1" applyProtection="1">
      <protection locked="0"/>
    </xf>
    <xf numFmtId="0" fontId="5" fillId="2" borderId="27" xfId="0" applyFont="1" applyFill="1" applyBorder="1" applyAlignment="1">
      <alignment horizontal="right"/>
    </xf>
    <xf numFmtId="0" fontId="5" fillId="0" borderId="0" xfId="0" applyFont="1" applyAlignment="1">
      <alignment wrapText="1"/>
    </xf>
    <xf numFmtId="0" fontId="0" fillId="0" borderId="0" xfId="0" applyProtection="1">
      <protection locked="0"/>
    </xf>
    <xf numFmtId="15" fontId="27" fillId="0" borderId="4" xfId="0" applyNumberFormat="1" applyFont="1" applyBorder="1" applyAlignment="1" applyProtection="1">
      <alignment horizontal="center"/>
      <protection locked="0"/>
    </xf>
    <xf numFmtId="0" fontId="26" fillId="2" borderId="27" xfId="0" applyFont="1" applyFill="1" applyBorder="1" applyAlignment="1">
      <alignment horizontal="right"/>
    </xf>
    <xf numFmtId="0" fontId="26" fillId="0" borderId="0" xfId="0" applyFont="1"/>
    <xf numFmtId="0" fontId="26" fillId="0" borderId="0" xfId="0" applyFont="1" applyAlignment="1">
      <alignment wrapText="1"/>
    </xf>
    <xf numFmtId="0" fontId="7" fillId="2" borderId="15" xfId="0" applyFont="1" applyFill="1" applyBorder="1" applyAlignment="1">
      <alignment horizontal="center" wrapText="1"/>
    </xf>
    <xf numFmtId="0" fontId="10" fillId="0" borderId="0" xfId="0" applyFont="1" applyAlignment="1">
      <alignment vertical="center" wrapText="1"/>
    </xf>
    <xf numFmtId="0" fontId="16" fillId="0" borderId="0" xfId="0" applyFont="1"/>
    <xf numFmtId="0" fontId="10" fillId="0" borderId="0" xfId="0" applyFont="1" applyProtection="1">
      <protection locked="0"/>
    </xf>
    <xf numFmtId="0" fontId="11" fillId="0" borderId="0" xfId="0" applyFont="1" applyAlignment="1">
      <alignment vertical="center"/>
    </xf>
    <xf numFmtId="0" fontId="6" fillId="0" borderId="0" xfId="0" applyFont="1" applyAlignment="1">
      <alignment vertical="top"/>
    </xf>
    <xf numFmtId="0" fontId="5" fillId="0" borderId="0" xfId="0" applyFont="1" applyAlignment="1">
      <alignment vertical="top"/>
    </xf>
    <xf numFmtId="0" fontId="0" fillId="0" borderId="0" xfId="0" applyAlignment="1">
      <alignment vertical="top"/>
    </xf>
    <xf numFmtId="0" fontId="11" fillId="0" borderId="0" xfId="0" applyFont="1" applyAlignment="1">
      <alignment horizontal="right" vertical="center"/>
    </xf>
    <xf numFmtId="0" fontId="5" fillId="0" borderId="0" xfId="0" applyFont="1" applyAlignment="1">
      <alignment horizontal="right"/>
    </xf>
    <xf numFmtId="0" fontId="11" fillId="0" borderId="0" xfId="0" applyFont="1" applyAlignment="1">
      <alignment horizontal="left" vertical="center"/>
    </xf>
    <xf numFmtId="0" fontId="11" fillId="0" borderId="29" xfId="0" applyFont="1" applyBorder="1" applyAlignment="1">
      <alignment horizontal="right" vertical="center"/>
    </xf>
    <xf numFmtId="0" fontId="11" fillId="0" borderId="29" xfId="0" applyFont="1" applyBorder="1" applyAlignment="1">
      <alignment vertical="center"/>
    </xf>
    <xf numFmtId="0" fontId="11" fillId="0" borderId="29" xfId="0" applyFont="1" applyBorder="1" applyAlignment="1">
      <alignment horizontal="left" vertical="center"/>
    </xf>
    <xf numFmtId="0" fontId="10" fillId="0" borderId="0" xfId="0" quotePrefix="1" applyFont="1" applyAlignment="1">
      <alignment horizontal="left" vertical="center"/>
    </xf>
    <xf numFmtId="0" fontId="0" fillId="0" borderId="18" xfId="0" applyBorder="1" applyProtection="1">
      <protection locked="0"/>
    </xf>
    <xf numFmtId="0" fontId="28" fillId="0" borderId="0" xfId="0" applyFont="1" applyAlignment="1">
      <alignment horizontal="right" vertical="center"/>
    </xf>
    <xf numFmtId="0" fontId="16" fillId="0" borderId="0" xfId="0" applyFont="1" applyAlignment="1">
      <alignment vertical="top"/>
    </xf>
    <xf numFmtId="18" fontId="20" fillId="0" borderId="18" xfId="0" applyNumberFormat="1" applyFont="1" applyBorder="1" applyAlignment="1">
      <alignment horizontal="center" wrapText="1"/>
    </xf>
    <xf numFmtId="168" fontId="10" fillId="0" borderId="18" xfId="0" applyNumberFormat="1" applyFont="1" applyBorder="1" applyAlignment="1" applyProtection="1">
      <alignment horizontal="center"/>
      <protection locked="0"/>
    </xf>
    <xf numFmtId="0" fontId="10" fillId="0" borderId="0" xfId="0" applyFont="1" applyAlignment="1">
      <alignment horizontal="left" vertical="center"/>
    </xf>
    <xf numFmtId="0" fontId="28" fillId="0" borderId="0" xfId="0" applyFont="1" applyAlignment="1">
      <alignment horizontal="left" vertical="center"/>
    </xf>
    <xf numFmtId="15" fontId="26" fillId="2" borderId="2" xfId="0" applyNumberFormat="1" applyFont="1" applyFill="1" applyBorder="1" applyAlignment="1">
      <alignment horizontal="center"/>
    </xf>
    <xf numFmtId="168" fontId="10" fillId="0" borderId="0" xfId="0" applyNumberFormat="1" applyFont="1" applyAlignment="1" applyProtection="1">
      <alignment horizontal="center"/>
      <protection locked="0"/>
    </xf>
    <xf numFmtId="0" fontId="16" fillId="0" borderId="0" xfId="0" applyFont="1" applyAlignment="1">
      <alignment vertical="center" wrapText="1"/>
    </xf>
    <xf numFmtId="0" fontId="0" fillId="0" borderId="0" xfId="0" applyAlignment="1">
      <alignment horizontal="left"/>
    </xf>
    <xf numFmtId="0" fontId="5" fillId="0" borderId="0" xfId="0" applyFont="1" applyAlignment="1">
      <alignment horizontal="right" vertical="top"/>
    </xf>
    <xf numFmtId="15" fontId="5" fillId="0" borderId="0" xfId="0" applyNumberFormat="1" applyFont="1" applyAlignment="1">
      <alignment horizontal="left"/>
    </xf>
    <xf numFmtId="0" fontId="7" fillId="0" borderId="0" xfId="0" applyFont="1" applyAlignment="1">
      <alignment horizontal="right" vertical="top"/>
    </xf>
    <xf numFmtId="15" fontId="7" fillId="0" borderId="0" xfId="0" applyNumberFormat="1" applyFont="1" applyAlignment="1">
      <alignment horizontal="left"/>
    </xf>
    <xf numFmtId="0" fontId="5" fillId="2" borderId="25" xfId="0" applyFont="1" applyFill="1" applyBorder="1" applyAlignment="1">
      <alignment horizontal="right" vertical="center"/>
    </xf>
    <xf numFmtId="169" fontId="11" fillId="0" borderId="0" xfId="0" applyNumberFormat="1" applyFont="1" applyAlignment="1">
      <alignment vertical="center"/>
    </xf>
    <xf numFmtId="169" fontId="0" fillId="0" borderId="25" xfId="0" applyNumberFormat="1" applyBorder="1" applyAlignment="1" applyProtection="1">
      <alignment horizontal="left"/>
      <protection locked="0"/>
    </xf>
    <xf numFmtId="0" fontId="0" fillId="2" borderId="30" xfId="0" applyFill="1" applyBorder="1" applyAlignment="1">
      <alignment horizontal="right"/>
    </xf>
    <xf numFmtId="0" fontId="0" fillId="2" borderId="17" xfId="0" applyFill="1" applyBorder="1"/>
    <xf numFmtId="0" fontId="12" fillId="0" borderId="0" xfId="0" applyFont="1" applyProtection="1">
      <protection locked="0"/>
    </xf>
    <xf numFmtId="0" fontId="32" fillId="0" borderId="0" xfId="0" applyFont="1"/>
    <xf numFmtId="0" fontId="31" fillId="0" borderId="0" xfId="0" applyFont="1"/>
    <xf numFmtId="0" fontId="31" fillId="0" borderId="0" xfId="0" applyFont="1" applyAlignment="1">
      <alignment vertical="top" wrapText="1"/>
    </xf>
    <xf numFmtId="167" fontId="34" fillId="0" borderId="16" xfId="0" applyNumberFormat="1" applyFont="1" applyBorder="1" applyAlignment="1">
      <alignment horizontal="center" wrapText="1"/>
    </xf>
    <xf numFmtId="0" fontId="34" fillId="0" borderId="17" xfId="0" applyFont="1" applyBorder="1" applyAlignment="1">
      <alignment horizontal="center" vertical="center"/>
    </xf>
    <xf numFmtId="0" fontId="35" fillId="0" borderId="16" xfId="0" applyFont="1" applyBorder="1" applyAlignment="1">
      <alignment horizontal="center" vertical="center" wrapText="1"/>
    </xf>
    <xf numFmtId="0" fontId="8" fillId="0" borderId="28" xfId="0" applyFont="1" applyBorder="1"/>
    <xf numFmtId="167" fontId="35" fillId="0" borderId="16" xfId="0" applyNumberFormat="1" applyFont="1" applyBorder="1" applyAlignment="1">
      <alignment horizontal="center" vertical="center"/>
    </xf>
    <xf numFmtId="18" fontId="35" fillId="0" borderId="16" xfId="0" applyNumberFormat="1" applyFont="1" applyBorder="1" applyAlignment="1">
      <alignment horizontal="center" vertical="center" wrapText="1"/>
    </xf>
    <xf numFmtId="0" fontId="8" fillId="0" borderId="16" xfId="0" applyFont="1" applyBorder="1"/>
    <xf numFmtId="167" fontId="34" fillId="0" borderId="7" xfId="0" applyNumberFormat="1" applyFont="1" applyBorder="1"/>
    <xf numFmtId="0" fontId="34" fillId="0" borderId="18" xfId="0" applyFont="1" applyBorder="1" applyAlignment="1">
      <alignment horizontal="center" vertical="center"/>
    </xf>
    <xf numFmtId="0" fontId="35" fillId="0" borderId="7" xfId="0" applyFont="1" applyBorder="1" applyAlignment="1">
      <alignment horizontal="center" vertical="center" wrapText="1"/>
    </xf>
    <xf numFmtId="0" fontId="8" fillId="0" borderId="7" xfId="0" applyFont="1" applyBorder="1"/>
    <xf numFmtId="0" fontId="34" fillId="0" borderId="16" xfId="0" applyFont="1" applyBorder="1" applyAlignment="1">
      <alignment horizontal="center" vertical="center"/>
    </xf>
    <xf numFmtId="166" fontId="20" fillId="0" borderId="16" xfId="0" applyNumberFormat="1" applyFont="1" applyBorder="1" applyAlignment="1">
      <alignment horizontal="center" vertical="center" wrapText="1"/>
    </xf>
    <xf numFmtId="165" fontId="20" fillId="0" borderId="7" xfId="0" applyNumberFormat="1" applyFont="1" applyBorder="1" applyAlignment="1">
      <alignment horizontal="center" vertical="center" wrapText="1"/>
    </xf>
    <xf numFmtId="0" fontId="36" fillId="0" borderId="0" xfId="0" quotePrefix="1" applyFont="1" applyProtection="1">
      <protection locked="0"/>
    </xf>
    <xf numFmtId="49" fontId="5" fillId="0" borderId="14" xfId="0" quotePrefix="1" applyNumberFormat="1" applyFont="1" applyBorder="1" applyAlignment="1" applyProtection="1">
      <alignment horizontal="center"/>
      <protection locked="0"/>
    </xf>
    <xf numFmtId="49" fontId="5" fillId="0" borderId="4" xfId="0" quotePrefix="1" applyNumberFormat="1" applyFont="1" applyBorder="1" applyAlignment="1" applyProtection="1">
      <alignment horizontal="center"/>
      <protection locked="0"/>
    </xf>
    <xf numFmtId="0" fontId="5" fillId="2" borderId="9" xfId="0" applyFont="1" applyFill="1" applyBorder="1" applyAlignment="1">
      <alignment horizontal="center"/>
    </xf>
    <xf numFmtId="0" fontId="0" fillId="2" borderId="5" xfId="0" applyFill="1" applyBorder="1" applyAlignment="1">
      <alignment horizontal="center"/>
    </xf>
    <xf numFmtId="0" fontId="0" fillId="2" borderId="9" xfId="0" applyFill="1" applyBorder="1" applyAlignment="1">
      <alignment horizontal="center"/>
    </xf>
    <xf numFmtId="0" fontId="0" fillId="2" borderId="10" xfId="0" applyFill="1" applyBorder="1" applyAlignment="1">
      <alignment horizontal="center"/>
    </xf>
    <xf numFmtId="0" fontId="25" fillId="0" borderId="0" xfId="0" applyFont="1" applyAlignment="1">
      <alignment horizontal="center"/>
    </xf>
    <xf numFmtId="0" fontId="12" fillId="0" borderId="25" xfId="0" applyFont="1" applyBorder="1" applyAlignment="1" applyProtection="1">
      <alignment horizontal="center"/>
      <protection locked="0"/>
    </xf>
    <xf numFmtId="0" fontId="31" fillId="0" borderId="0" xfId="0" applyFont="1" applyAlignment="1">
      <alignment horizontal="left" vertical="top" wrapText="1"/>
    </xf>
    <xf numFmtId="0" fontId="30" fillId="0" borderId="0" xfId="0" applyFont="1" applyAlignment="1">
      <alignment horizontal="right"/>
    </xf>
    <xf numFmtId="0" fontId="29" fillId="0" borderId="0" xfId="0" applyFont="1" applyAlignment="1">
      <alignment horizontal="left" vertical="center"/>
    </xf>
    <xf numFmtId="0" fontId="5" fillId="0" borderId="0" xfId="0" applyFont="1" applyAlignment="1">
      <alignment horizontal="left"/>
    </xf>
    <xf numFmtId="0" fontId="18" fillId="0" borderId="18" xfId="0" applyFont="1" applyBorder="1" applyAlignment="1">
      <alignment horizontal="center" vertical="center"/>
    </xf>
    <xf numFmtId="0" fontId="10" fillId="0" borderId="0" xfId="0" applyFont="1" applyAlignment="1">
      <alignment horizontal="right" vertical="center" wrapText="1"/>
    </xf>
    <xf numFmtId="0" fontId="10" fillId="0" borderId="0" xfId="0" applyFont="1" applyAlignment="1">
      <alignment horizontal="left" vertical="center"/>
    </xf>
    <xf numFmtId="2" fontId="0" fillId="0" borderId="0" xfId="0" applyNumberFormat="1" applyAlignment="1">
      <alignment horizontal="center"/>
    </xf>
    <xf numFmtId="2" fontId="0" fillId="0" borderId="18" xfId="0" applyNumberFormat="1" applyBorder="1" applyAlignment="1">
      <alignment horizontal="center"/>
    </xf>
    <xf numFmtId="0" fontId="0" fillId="0" borderId="0" xfId="0" applyAlignment="1">
      <alignment horizontal="center"/>
    </xf>
    <xf numFmtId="0" fontId="0" fillId="0" borderId="18" xfId="0" applyBorder="1" applyAlignment="1">
      <alignment horizontal="center"/>
    </xf>
    <xf numFmtId="0" fontId="33" fillId="0" borderId="0" xfId="0" applyFont="1" applyAlignment="1">
      <alignment horizontal="center" vertical="center" wrapText="1"/>
    </xf>
    <xf numFmtId="0" fontId="9" fillId="0" borderId="0" xfId="0" applyFont="1" applyAlignment="1">
      <alignment horizontal="center"/>
    </xf>
    <xf numFmtId="0" fontId="10" fillId="0" borderId="0" xfId="0" applyFont="1" applyAlignment="1">
      <alignment horizontal="center" vertical="center" wrapText="1"/>
    </xf>
    <xf numFmtId="0" fontId="10" fillId="0" borderId="0" xfId="0" applyFont="1" applyAlignment="1">
      <alignment horizontal="right" vertical="center"/>
    </xf>
    <xf numFmtId="0" fontId="35" fillId="0" borderId="22" xfId="0" applyFont="1" applyBorder="1" applyAlignment="1" applyProtection="1">
      <alignment horizontal="center" vertical="center" wrapText="1"/>
      <protection locked="0"/>
    </xf>
    <xf numFmtId="0" fontId="35" fillId="0" borderId="18" xfId="0" applyFont="1" applyBorder="1" applyAlignment="1" applyProtection="1">
      <alignment horizontal="center" vertical="center" wrapText="1"/>
      <protection locked="0"/>
    </xf>
    <xf numFmtId="0" fontId="35" fillId="0" borderId="8" xfId="0" applyFont="1" applyBorder="1" applyAlignment="1" applyProtection="1">
      <alignment horizontal="center" vertical="center" wrapText="1"/>
      <protection locked="0"/>
    </xf>
    <xf numFmtId="0" fontId="35" fillId="0" borderId="19" xfId="0" applyFont="1" applyBorder="1" applyAlignment="1" applyProtection="1">
      <alignment horizontal="center" vertical="center" wrapText="1"/>
      <protection locked="0"/>
    </xf>
    <xf numFmtId="0" fontId="35" fillId="0" borderId="20" xfId="0" applyFont="1" applyBorder="1" applyAlignment="1" applyProtection="1">
      <alignment horizontal="center" vertical="center" wrapText="1"/>
      <protection locked="0"/>
    </xf>
    <xf numFmtId="0" fontId="35" fillId="0" borderId="21" xfId="0" applyFont="1" applyBorder="1" applyAlignment="1" applyProtection="1">
      <alignment horizontal="center" vertical="center" wrapText="1"/>
      <protection locked="0"/>
    </xf>
    <xf numFmtId="0" fontId="35" fillId="0" borderId="6" xfId="0" applyFont="1" applyBorder="1" applyAlignment="1" applyProtection="1">
      <alignment horizontal="center" vertical="center" wrapText="1"/>
      <protection locked="0"/>
    </xf>
    <xf numFmtId="0" fontId="35" fillId="0" borderId="0" xfId="0" applyFont="1" applyAlignment="1" applyProtection="1">
      <alignment horizontal="center" vertical="center" wrapText="1"/>
      <protection locked="0"/>
    </xf>
    <xf numFmtId="0" fontId="35" fillId="0" borderId="17" xfId="0" applyFont="1" applyBorder="1" applyAlignment="1" applyProtection="1">
      <alignment horizontal="center" vertical="center" wrapText="1"/>
      <protection locked="0"/>
    </xf>
    <xf numFmtId="0" fontId="10" fillId="0" borderId="0" xfId="0" applyFont="1" applyAlignment="1">
      <alignment horizontal="center" vertical="center"/>
    </xf>
    <xf numFmtId="0" fontId="7" fillId="2" borderId="9" xfId="0" applyFont="1" applyFill="1" applyBorder="1" applyAlignment="1">
      <alignment horizontal="center"/>
    </xf>
    <xf numFmtId="0" fontId="7" fillId="2" borderId="5" xfId="0" applyFont="1" applyFill="1" applyBorder="1" applyAlignment="1">
      <alignment horizontal="center"/>
    </xf>
    <xf numFmtId="0" fontId="7" fillId="2" borderId="10" xfId="0" applyFont="1" applyFill="1" applyBorder="1" applyAlignment="1">
      <alignment horizontal="center"/>
    </xf>
    <xf numFmtId="0" fontId="10" fillId="0" borderId="0" xfId="0" applyFont="1" applyAlignment="1">
      <alignment horizontal="right"/>
    </xf>
    <xf numFmtId="0" fontId="6" fillId="0" borderId="20" xfId="0" applyFont="1" applyBorder="1" applyAlignment="1">
      <alignment horizontal="center" vertical="top"/>
    </xf>
    <xf numFmtId="15" fontId="0" fillId="0" borderId="0" xfId="0" applyNumberFormat="1" applyAlignment="1">
      <alignment horizontal="left" vertical="top"/>
    </xf>
    <xf numFmtId="0" fontId="0" fillId="0" borderId="0" xfId="0" applyAlignment="1">
      <alignment horizontal="left" vertical="top"/>
    </xf>
  </cellXfs>
  <cellStyles count="356">
    <cellStyle name="Followed Hyperlink" xfId="270" builtinId="9" hidden="1"/>
    <cellStyle name="Followed Hyperlink" xfId="278" builtinId="9" hidden="1"/>
    <cellStyle name="Followed Hyperlink" xfId="297" builtinId="9" hidden="1"/>
    <cellStyle name="Followed Hyperlink" xfId="313" builtinId="9" hidden="1"/>
    <cellStyle name="Followed Hyperlink" xfId="329" builtinId="9" hidden="1"/>
    <cellStyle name="Followed Hyperlink" xfId="345" builtinId="9" hidden="1"/>
    <cellStyle name="Followed Hyperlink" xfId="351" builtinId="9" hidden="1"/>
    <cellStyle name="Followed Hyperlink" xfId="335" builtinId="9" hidden="1"/>
    <cellStyle name="Followed Hyperlink" xfId="319" builtinId="9" hidden="1"/>
    <cellStyle name="Followed Hyperlink" xfId="303" builtinId="9" hidden="1"/>
    <cellStyle name="Followed Hyperlink" xfId="281" builtinId="9" hidden="1"/>
    <cellStyle name="Followed Hyperlink" xfId="273" builtinId="9" hidden="1"/>
    <cellStyle name="Followed Hyperlink" xfId="265" builtinId="9" hidden="1"/>
    <cellStyle name="Followed Hyperlink" xfId="257" builtinId="9" hidden="1"/>
    <cellStyle name="Followed Hyperlink" xfId="249" builtinId="9" hidden="1"/>
    <cellStyle name="Followed Hyperlink" xfId="241" builtinId="9" hidden="1"/>
    <cellStyle name="Followed Hyperlink" xfId="233" builtinId="9" hidden="1"/>
    <cellStyle name="Followed Hyperlink" xfId="225" builtinId="9" hidden="1"/>
    <cellStyle name="Followed Hyperlink" xfId="217" builtinId="9" hidden="1"/>
    <cellStyle name="Followed Hyperlink" xfId="209" builtinId="9" hidden="1"/>
    <cellStyle name="Followed Hyperlink" xfId="201" builtinId="9" hidden="1"/>
    <cellStyle name="Followed Hyperlink" xfId="193" builtinId="9" hidden="1"/>
    <cellStyle name="Followed Hyperlink" xfId="185" builtinId="9" hidden="1"/>
    <cellStyle name="Followed Hyperlink" xfId="177" builtinId="9" hidden="1"/>
    <cellStyle name="Followed Hyperlink" xfId="169" builtinId="9" hidden="1"/>
    <cellStyle name="Followed Hyperlink" xfId="161" builtinId="9" hidden="1"/>
    <cellStyle name="Followed Hyperlink" xfId="153" builtinId="9" hidden="1"/>
    <cellStyle name="Followed Hyperlink" xfId="145" builtinId="9" hidden="1"/>
    <cellStyle name="Followed Hyperlink" xfId="137" builtinId="9" hidden="1"/>
    <cellStyle name="Followed Hyperlink" xfId="129" builtinId="9" hidden="1"/>
    <cellStyle name="Followed Hyperlink" xfId="121" builtinId="9" hidden="1"/>
    <cellStyle name="Followed Hyperlink" xfId="113" builtinId="9" hidden="1"/>
    <cellStyle name="Followed Hyperlink" xfId="105" builtinId="9" hidden="1"/>
    <cellStyle name="Followed Hyperlink" xfId="97" builtinId="9" hidden="1"/>
    <cellStyle name="Followed Hyperlink" xfId="89" builtinId="9" hidden="1"/>
    <cellStyle name="Followed Hyperlink" xfId="81" builtinId="9" hidden="1"/>
    <cellStyle name="Followed Hyperlink" xfId="70" builtinId="9" hidden="1"/>
    <cellStyle name="Followed Hyperlink" xfId="28" builtinId="9" hidden="1"/>
    <cellStyle name="Followed Hyperlink" xfId="40" builtinId="9" hidden="1"/>
    <cellStyle name="Followed Hyperlink" xfId="50" builtinId="9" hidden="1"/>
    <cellStyle name="Followed Hyperlink" xfId="60" builtinId="9" hidden="1"/>
    <cellStyle name="Followed Hyperlink" xfId="46" builtinId="9" hidden="1"/>
    <cellStyle name="Followed Hyperlink" xfId="10" builtinId="9" hidden="1"/>
    <cellStyle name="Followed Hyperlink" xfId="20" builtinId="9" hidden="1"/>
    <cellStyle name="Followed Hyperlink" xfId="4" builtinId="9" hidden="1"/>
    <cellStyle name="Followed Hyperlink" xfId="8" builtinId="9" hidden="1"/>
    <cellStyle name="Followed Hyperlink" xfId="18" builtinId="9" hidden="1"/>
    <cellStyle name="Followed Hyperlink" xfId="22" builtinId="9" hidden="1"/>
    <cellStyle name="Followed Hyperlink" xfId="54" builtinId="9" hidden="1"/>
    <cellStyle name="Followed Hyperlink" xfId="58" builtinId="9" hidden="1"/>
    <cellStyle name="Followed Hyperlink" xfId="48" builtinId="9" hidden="1"/>
    <cellStyle name="Followed Hyperlink" xfId="36" builtinId="9" hidden="1"/>
    <cellStyle name="Followed Hyperlink" xfId="26" builtinId="9" hidden="1"/>
    <cellStyle name="Followed Hyperlink" xfId="74" builtinId="9" hidden="1"/>
    <cellStyle name="Followed Hyperlink" xfId="83" builtinId="9" hidden="1"/>
    <cellStyle name="Followed Hyperlink" xfId="91" builtinId="9" hidden="1"/>
    <cellStyle name="Followed Hyperlink" xfId="99" builtinId="9" hidden="1"/>
    <cellStyle name="Followed Hyperlink" xfId="107" builtinId="9" hidden="1"/>
    <cellStyle name="Followed Hyperlink" xfId="115" builtinId="9" hidden="1"/>
    <cellStyle name="Followed Hyperlink" xfId="123" builtinId="9" hidden="1"/>
    <cellStyle name="Followed Hyperlink" xfId="131" builtinId="9" hidden="1"/>
    <cellStyle name="Followed Hyperlink" xfId="139" builtinId="9" hidden="1"/>
    <cellStyle name="Followed Hyperlink" xfId="147" builtinId="9" hidden="1"/>
    <cellStyle name="Followed Hyperlink" xfId="155" builtinId="9" hidden="1"/>
    <cellStyle name="Followed Hyperlink" xfId="163" builtinId="9" hidden="1"/>
    <cellStyle name="Followed Hyperlink" xfId="171" builtinId="9" hidden="1"/>
    <cellStyle name="Followed Hyperlink" xfId="179" builtinId="9" hidden="1"/>
    <cellStyle name="Followed Hyperlink" xfId="187" builtinId="9" hidden="1"/>
    <cellStyle name="Followed Hyperlink" xfId="195" builtinId="9" hidden="1"/>
    <cellStyle name="Followed Hyperlink" xfId="203" builtinId="9" hidden="1"/>
    <cellStyle name="Followed Hyperlink" xfId="211" builtinId="9" hidden="1"/>
    <cellStyle name="Followed Hyperlink" xfId="219" builtinId="9" hidden="1"/>
    <cellStyle name="Followed Hyperlink" xfId="227" builtinId="9" hidden="1"/>
    <cellStyle name="Followed Hyperlink" xfId="235" builtinId="9" hidden="1"/>
    <cellStyle name="Followed Hyperlink" xfId="243" builtinId="9" hidden="1"/>
    <cellStyle name="Followed Hyperlink" xfId="251" builtinId="9" hidden="1"/>
    <cellStyle name="Followed Hyperlink" xfId="259" builtinId="9" hidden="1"/>
    <cellStyle name="Followed Hyperlink" xfId="267" builtinId="9" hidden="1"/>
    <cellStyle name="Followed Hyperlink" xfId="275" builtinId="9" hidden="1"/>
    <cellStyle name="Followed Hyperlink" xfId="291" builtinId="9" hidden="1"/>
    <cellStyle name="Followed Hyperlink" xfId="307" builtinId="9" hidden="1"/>
    <cellStyle name="Followed Hyperlink" xfId="323" builtinId="9" hidden="1"/>
    <cellStyle name="Followed Hyperlink" xfId="339" builtinId="9" hidden="1"/>
    <cellStyle name="Followed Hyperlink" xfId="355" builtinId="9" hidden="1"/>
    <cellStyle name="Followed Hyperlink" xfId="341" builtinId="9" hidden="1"/>
    <cellStyle name="Followed Hyperlink" xfId="325" builtinId="9" hidden="1"/>
    <cellStyle name="Followed Hyperlink" xfId="309" builtinId="9" hidden="1"/>
    <cellStyle name="Followed Hyperlink" xfId="293" builtinId="9" hidden="1"/>
    <cellStyle name="Followed Hyperlink" xfId="276" builtinId="9" hidden="1"/>
    <cellStyle name="Followed Hyperlink" xfId="268" builtinId="9" hidden="1"/>
    <cellStyle name="Followed Hyperlink" xfId="260" builtinId="9" hidden="1"/>
    <cellStyle name="Followed Hyperlink" xfId="252" builtinId="9" hidden="1"/>
    <cellStyle name="Followed Hyperlink" xfId="244" builtinId="9" hidden="1"/>
    <cellStyle name="Followed Hyperlink" xfId="236" builtinId="9" hidden="1"/>
    <cellStyle name="Followed Hyperlink" xfId="228" builtinId="9" hidden="1"/>
    <cellStyle name="Followed Hyperlink" xfId="220" builtinId="9" hidden="1"/>
    <cellStyle name="Followed Hyperlink" xfId="212" builtinId="9" hidden="1"/>
    <cellStyle name="Followed Hyperlink" xfId="204" builtinId="9" hidden="1"/>
    <cellStyle name="Followed Hyperlink" xfId="196" builtinId="9" hidden="1"/>
    <cellStyle name="Followed Hyperlink" xfId="188" builtinId="9" hidden="1"/>
    <cellStyle name="Followed Hyperlink" xfId="180" builtinId="9" hidden="1"/>
    <cellStyle name="Followed Hyperlink" xfId="172" builtinId="9" hidden="1"/>
    <cellStyle name="Followed Hyperlink" xfId="164" builtinId="9" hidden="1"/>
    <cellStyle name="Followed Hyperlink" xfId="156" builtinId="9" hidden="1"/>
    <cellStyle name="Followed Hyperlink" xfId="148" builtinId="9" hidden="1"/>
    <cellStyle name="Followed Hyperlink" xfId="140" builtinId="9" hidden="1"/>
    <cellStyle name="Followed Hyperlink" xfId="94" builtinId="9" hidden="1"/>
    <cellStyle name="Followed Hyperlink" xfId="98" builtinId="9" hidden="1"/>
    <cellStyle name="Followed Hyperlink" xfId="104" builtinId="9" hidden="1"/>
    <cellStyle name="Followed Hyperlink" xfId="110" builtinId="9" hidden="1"/>
    <cellStyle name="Followed Hyperlink" xfId="114" builtinId="9" hidden="1"/>
    <cellStyle name="Followed Hyperlink" xfId="120" builtinId="9" hidden="1"/>
    <cellStyle name="Followed Hyperlink" xfId="126" builtinId="9" hidden="1"/>
    <cellStyle name="Followed Hyperlink" xfId="130" builtinId="9" hidden="1"/>
    <cellStyle name="Followed Hyperlink" xfId="132" builtinId="9" hidden="1"/>
    <cellStyle name="Followed Hyperlink" xfId="116" builtinId="9" hidden="1"/>
    <cellStyle name="Followed Hyperlink" xfId="100" builtinId="9" hidden="1"/>
    <cellStyle name="Followed Hyperlink" xfId="80" builtinId="9" hidden="1"/>
    <cellStyle name="Followed Hyperlink" xfId="86" builtinId="9" hidden="1"/>
    <cellStyle name="Followed Hyperlink" xfId="90" builtinId="9" hidden="1"/>
    <cellStyle name="Followed Hyperlink" xfId="76" builtinId="9" hidden="1"/>
    <cellStyle name="Followed Hyperlink" xfId="72" builtinId="9" hidden="1"/>
    <cellStyle name="Followed Hyperlink" xfId="68" builtinId="9" hidden="1"/>
    <cellStyle name="Followed Hyperlink" xfId="78" builtinId="9" hidden="1"/>
    <cellStyle name="Followed Hyperlink" xfId="84" builtinId="9" hidden="1"/>
    <cellStyle name="Followed Hyperlink" xfId="88" builtinId="9" hidden="1"/>
    <cellStyle name="Followed Hyperlink" xfId="82" builtinId="9" hidden="1"/>
    <cellStyle name="Followed Hyperlink" xfId="92" builtinId="9" hidden="1"/>
    <cellStyle name="Followed Hyperlink" xfId="108" builtinId="9" hidden="1"/>
    <cellStyle name="Followed Hyperlink" xfId="124" builtinId="9" hidden="1"/>
    <cellStyle name="Followed Hyperlink" xfId="134" builtinId="9" hidden="1"/>
    <cellStyle name="Followed Hyperlink" xfId="128" builtinId="9" hidden="1"/>
    <cellStyle name="Followed Hyperlink" xfId="122" builtinId="9" hidden="1"/>
    <cellStyle name="Followed Hyperlink" xfId="118" builtinId="9" hidden="1"/>
    <cellStyle name="Followed Hyperlink" xfId="112" builtinId="9" hidden="1"/>
    <cellStyle name="Followed Hyperlink" xfId="106" builtinId="9" hidden="1"/>
    <cellStyle name="Followed Hyperlink" xfId="102" builtinId="9" hidden="1"/>
    <cellStyle name="Followed Hyperlink" xfId="96" builtinId="9" hidden="1"/>
    <cellStyle name="Followed Hyperlink" xfId="136" builtinId="9" hidden="1"/>
    <cellStyle name="Followed Hyperlink" xfId="144" builtinId="9" hidden="1"/>
    <cellStyle name="Followed Hyperlink" xfId="152" builtinId="9" hidden="1"/>
    <cellStyle name="Followed Hyperlink" xfId="160" builtinId="9" hidden="1"/>
    <cellStyle name="Followed Hyperlink" xfId="168" builtinId="9" hidden="1"/>
    <cellStyle name="Followed Hyperlink" xfId="176" builtinId="9" hidden="1"/>
    <cellStyle name="Followed Hyperlink" xfId="184" builtinId="9" hidden="1"/>
    <cellStyle name="Followed Hyperlink" xfId="192" builtinId="9" hidden="1"/>
    <cellStyle name="Followed Hyperlink" xfId="200" builtinId="9" hidden="1"/>
    <cellStyle name="Followed Hyperlink" xfId="208" builtinId="9" hidden="1"/>
    <cellStyle name="Followed Hyperlink" xfId="216" builtinId="9" hidden="1"/>
    <cellStyle name="Followed Hyperlink" xfId="224" builtinId="9" hidden="1"/>
    <cellStyle name="Followed Hyperlink" xfId="232" builtinId="9" hidden="1"/>
    <cellStyle name="Followed Hyperlink" xfId="240" builtinId="9" hidden="1"/>
    <cellStyle name="Followed Hyperlink" xfId="248" builtinId="9" hidden="1"/>
    <cellStyle name="Followed Hyperlink" xfId="256" builtinId="9" hidden="1"/>
    <cellStyle name="Followed Hyperlink" xfId="264" builtinId="9" hidden="1"/>
    <cellStyle name="Followed Hyperlink" xfId="272" builtinId="9" hidden="1"/>
    <cellStyle name="Followed Hyperlink" xfId="280" builtinId="9" hidden="1"/>
    <cellStyle name="Followed Hyperlink" xfId="301" builtinId="9" hidden="1"/>
    <cellStyle name="Followed Hyperlink" xfId="317" builtinId="9" hidden="1"/>
    <cellStyle name="Followed Hyperlink" xfId="333" builtinId="9" hidden="1"/>
    <cellStyle name="Followed Hyperlink" xfId="349" builtinId="9" hidden="1"/>
    <cellStyle name="Followed Hyperlink" xfId="347" builtinId="9" hidden="1"/>
    <cellStyle name="Followed Hyperlink" xfId="331" builtinId="9" hidden="1"/>
    <cellStyle name="Followed Hyperlink" xfId="315" builtinId="9" hidden="1"/>
    <cellStyle name="Followed Hyperlink" xfId="299" builtinId="9" hidden="1"/>
    <cellStyle name="Followed Hyperlink" xfId="279" builtinId="9" hidden="1"/>
    <cellStyle name="Followed Hyperlink" xfId="271" builtinId="9" hidden="1"/>
    <cellStyle name="Followed Hyperlink" xfId="263" builtinId="9" hidden="1"/>
    <cellStyle name="Followed Hyperlink" xfId="255" builtinId="9" hidden="1"/>
    <cellStyle name="Followed Hyperlink" xfId="247" builtinId="9" hidden="1"/>
    <cellStyle name="Followed Hyperlink" xfId="239" builtinId="9" hidden="1"/>
    <cellStyle name="Followed Hyperlink" xfId="231" builtinId="9" hidden="1"/>
    <cellStyle name="Followed Hyperlink" xfId="223" builtinId="9" hidden="1"/>
    <cellStyle name="Followed Hyperlink" xfId="215" builtinId="9" hidden="1"/>
    <cellStyle name="Followed Hyperlink" xfId="207" builtinId="9" hidden="1"/>
    <cellStyle name="Followed Hyperlink" xfId="199" builtinId="9" hidden="1"/>
    <cellStyle name="Followed Hyperlink" xfId="191" builtinId="9" hidden="1"/>
    <cellStyle name="Followed Hyperlink" xfId="183" builtinId="9" hidden="1"/>
    <cellStyle name="Followed Hyperlink" xfId="175" builtinId="9" hidden="1"/>
    <cellStyle name="Followed Hyperlink" xfId="167" builtinId="9" hidden="1"/>
    <cellStyle name="Followed Hyperlink" xfId="159" builtinId="9" hidden="1"/>
    <cellStyle name="Followed Hyperlink" xfId="151" builtinId="9" hidden="1"/>
    <cellStyle name="Followed Hyperlink" xfId="143" builtinId="9" hidden="1"/>
    <cellStyle name="Followed Hyperlink" xfId="135" builtinId="9" hidden="1"/>
    <cellStyle name="Followed Hyperlink" xfId="127" builtinId="9" hidden="1"/>
    <cellStyle name="Followed Hyperlink" xfId="119" builtinId="9" hidden="1"/>
    <cellStyle name="Followed Hyperlink" xfId="111" builtinId="9" hidden="1"/>
    <cellStyle name="Followed Hyperlink" xfId="103" builtinId="9" hidden="1"/>
    <cellStyle name="Followed Hyperlink" xfId="95" builtinId="9" hidden="1"/>
    <cellStyle name="Followed Hyperlink" xfId="87" builtinId="9" hidden="1"/>
    <cellStyle name="Followed Hyperlink" xfId="79" builtinId="9" hidden="1"/>
    <cellStyle name="Followed Hyperlink" xfId="66" builtinId="9" hidden="1"/>
    <cellStyle name="Followed Hyperlink" xfId="32" builtinId="9" hidden="1"/>
    <cellStyle name="Followed Hyperlink" xfId="42" builtinId="9" hidden="1"/>
    <cellStyle name="Followed Hyperlink" xfId="52" builtinId="9" hidden="1"/>
    <cellStyle name="Followed Hyperlink" xfId="64" builtinId="9" hidden="1"/>
    <cellStyle name="Followed Hyperlink" xfId="38" builtinId="9" hidden="1"/>
    <cellStyle name="Followed Hyperlink" xfId="12" builtinId="9" hidden="1"/>
    <cellStyle name="Followed Hyperlink" xfId="14" builtinId="9" hidden="1"/>
    <cellStyle name="Followed Hyperlink" xfId="2" builtinId="9" hidden="1"/>
    <cellStyle name="Followed Hyperlink" xfId="6" builtinId="9" hidden="1"/>
    <cellStyle name="Followed Hyperlink" xfId="16" builtinId="9" hidden="1"/>
    <cellStyle name="Followed Hyperlink" xfId="30" builtinId="9" hidden="1"/>
    <cellStyle name="Followed Hyperlink" xfId="62" builtinId="9" hidden="1"/>
    <cellStyle name="Followed Hyperlink" xfId="56" builtinId="9" hidden="1"/>
    <cellStyle name="Followed Hyperlink" xfId="44" builtinId="9" hidden="1"/>
    <cellStyle name="Followed Hyperlink" xfId="34" builtinId="9" hidden="1"/>
    <cellStyle name="Followed Hyperlink" xfId="24" builtinId="9" hidden="1"/>
    <cellStyle name="Followed Hyperlink" xfId="77" builtinId="9" hidden="1"/>
    <cellStyle name="Followed Hyperlink" xfId="85" builtinId="9" hidden="1"/>
    <cellStyle name="Followed Hyperlink" xfId="93" builtinId="9" hidden="1"/>
    <cellStyle name="Followed Hyperlink" xfId="101" builtinId="9" hidden="1"/>
    <cellStyle name="Followed Hyperlink" xfId="109" builtinId="9" hidden="1"/>
    <cellStyle name="Followed Hyperlink" xfId="117" builtinId="9" hidden="1"/>
    <cellStyle name="Followed Hyperlink" xfId="125" builtinId="9" hidden="1"/>
    <cellStyle name="Followed Hyperlink" xfId="133" builtinId="9" hidden="1"/>
    <cellStyle name="Followed Hyperlink" xfId="141" builtinId="9" hidden="1"/>
    <cellStyle name="Followed Hyperlink" xfId="149" builtinId="9" hidden="1"/>
    <cellStyle name="Followed Hyperlink" xfId="157" builtinId="9" hidden="1"/>
    <cellStyle name="Followed Hyperlink" xfId="165" builtinId="9" hidden="1"/>
    <cellStyle name="Followed Hyperlink" xfId="173" builtinId="9" hidden="1"/>
    <cellStyle name="Followed Hyperlink" xfId="181" builtinId="9" hidden="1"/>
    <cellStyle name="Followed Hyperlink" xfId="189" builtinId="9" hidden="1"/>
    <cellStyle name="Followed Hyperlink" xfId="197" builtinId="9" hidden="1"/>
    <cellStyle name="Followed Hyperlink" xfId="205" builtinId="9" hidden="1"/>
    <cellStyle name="Followed Hyperlink" xfId="213" builtinId="9" hidden="1"/>
    <cellStyle name="Followed Hyperlink" xfId="221" builtinId="9" hidden="1"/>
    <cellStyle name="Followed Hyperlink" xfId="229" builtinId="9" hidden="1"/>
    <cellStyle name="Followed Hyperlink" xfId="237" builtinId="9" hidden="1"/>
    <cellStyle name="Followed Hyperlink" xfId="245" builtinId="9" hidden="1"/>
    <cellStyle name="Followed Hyperlink" xfId="253" builtinId="9" hidden="1"/>
    <cellStyle name="Followed Hyperlink" xfId="261" builtinId="9" hidden="1"/>
    <cellStyle name="Followed Hyperlink" xfId="269" builtinId="9" hidden="1"/>
    <cellStyle name="Followed Hyperlink" xfId="277" builtinId="9" hidden="1"/>
    <cellStyle name="Followed Hyperlink" xfId="295" builtinId="9" hidden="1"/>
    <cellStyle name="Followed Hyperlink" xfId="311" builtinId="9" hidden="1"/>
    <cellStyle name="Followed Hyperlink" xfId="327" builtinId="9" hidden="1"/>
    <cellStyle name="Followed Hyperlink" xfId="343" builtinId="9" hidden="1"/>
    <cellStyle name="Followed Hyperlink" xfId="353" builtinId="9" hidden="1"/>
    <cellStyle name="Followed Hyperlink" xfId="337" builtinId="9" hidden="1"/>
    <cellStyle name="Followed Hyperlink" xfId="321" builtinId="9" hidden="1"/>
    <cellStyle name="Followed Hyperlink" xfId="305" builtinId="9" hidden="1"/>
    <cellStyle name="Followed Hyperlink" xfId="289" builtinId="9" hidden="1"/>
    <cellStyle name="Followed Hyperlink" xfId="274" builtinId="9" hidden="1"/>
    <cellStyle name="Followed Hyperlink" xfId="266" builtinId="9" hidden="1"/>
    <cellStyle name="Followed Hyperlink" xfId="182" builtinId="9" hidden="1"/>
    <cellStyle name="Followed Hyperlink" xfId="186" builtinId="9" hidden="1"/>
    <cellStyle name="Followed Hyperlink" xfId="190" builtinId="9" hidden="1"/>
    <cellStyle name="Followed Hyperlink" xfId="198" builtinId="9" hidden="1"/>
    <cellStyle name="Followed Hyperlink" xfId="202" builtinId="9" hidden="1"/>
    <cellStyle name="Followed Hyperlink" xfId="206" builtinId="9" hidden="1"/>
    <cellStyle name="Followed Hyperlink" xfId="214" builtinId="9" hidden="1"/>
    <cellStyle name="Followed Hyperlink" xfId="218" builtinId="9" hidden="1"/>
    <cellStyle name="Followed Hyperlink" xfId="222" builtinId="9" hidden="1"/>
    <cellStyle name="Followed Hyperlink" xfId="230" builtinId="9" hidden="1"/>
    <cellStyle name="Followed Hyperlink" xfId="234" builtinId="9" hidden="1"/>
    <cellStyle name="Followed Hyperlink" xfId="238" builtinId="9" hidden="1"/>
    <cellStyle name="Followed Hyperlink" xfId="246" builtinId="9" hidden="1"/>
    <cellStyle name="Followed Hyperlink" xfId="250" builtinId="9" hidden="1"/>
    <cellStyle name="Followed Hyperlink" xfId="254" builtinId="9" hidden="1"/>
    <cellStyle name="Followed Hyperlink" xfId="262" builtinId="9" hidden="1"/>
    <cellStyle name="Followed Hyperlink" xfId="258" builtinId="9" hidden="1"/>
    <cellStyle name="Followed Hyperlink" xfId="242" builtinId="9" hidden="1"/>
    <cellStyle name="Followed Hyperlink" xfId="226" builtinId="9" hidden="1"/>
    <cellStyle name="Followed Hyperlink" xfId="210" builtinId="9" hidden="1"/>
    <cellStyle name="Followed Hyperlink" xfId="194" builtinId="9" hidden="1"/>
    <cellStyle name="Followed Hyperlink" xfId="178" builtinId="9" hidden="1"/>
    <cellStyle name="Followed Hyperlink" xfId="154" builtinId="9" hidden="1"/>
    <cellStyle name="Followed Hyperlink" xfId="158" builtinId="9" hidden="1"/>
    <cellStyle name="Followed Hyperlink" xfId="166" builtinId="9" hidden="1"/>
    <cellStyle name="Followed Hyperlink" xfId="170" builtinId="9" hidden="1"/>
    <cellStyle name="Followed Hyperlink" xfId="174" builtinId="9" hidden="1"/>
    <cellStyle name="Followed Hyperlink" xfId="162" builtinId="9" hidden="1"/>
    <cellStyle name="Followed Hyperlink" xfId="146" builtinId="9" hidden="1"/>
    <cellStyle name="Followed Hyperlink" xfId="150" builtinId="9" hidden="1"/>
    <cellStyle name="Followed Hyperlink" xfId="142" builtinId="9" hidden="1"/>
    <cellStyle name="Followed Hyperlink" xfId="138" builtinId="9" hidden="1"/>
    <cellStyle name="Hyperlink" xfId="69" builtinId="8" hidden="1"/>
    <cellStyle name="Hyperlink" xfId="73" builtinId="8" hidden="1"/>
    <cellStyle name="Hyperlink" xfId="75" builtinId="8" hidden="1"/>
    <cellStyle name="Hyperlink" xfId="288" builtinId="8" hidden="1"/>
    <cellStyle name="Hyperlink" xfId="290" builtinId="8" hidden="1"/>
    <cellStyle name="Hyperlink" xfId="59" builtinId="8" hidden="1"/>
    <cellStyle name="Hyperlink" xfId="326" builtinId="8" hidden="1"/>
    <cellStyle name="Hyperlink" xfId="328" builtinId="8" hidden="1"/>
    <cellStyle name="Hyperlink" xfId="332" builtinId="8" hidden="1"/>
    <cellStyle name="Hyperlink" xfId="334" builtinId="8" hidden="1"/>
    <cellStyle name="Hyperlink" xfId="336" builtinId="8" hidden="1"/>
    <cellStyle name="Hyperlink" xfId="338" builtinId="8" hidden="1"/>
    <cellStyle name="Hyperlink" xfId="340" builtinId="8" hidden="1"/>
    <cellStyle name="Hyperlink" xfId="344" builtinId="8" hidden="1"/>
    <cellStyle name="Hyperlink" xfId="348" builtinId="8" hidden="1"/>
    <cellStyle name="Hyperlink" xfId="312" builtinId="8" hidden="1"/>
    <cellStyle name="Hyperlink" xfId="316" builtinId="8" hidden="1"/>
    <cellStyle name="Hyperlink" xfId="318" builtinId="8" hidden="1"/>
    <cellStyle name="Hyperlink" xfId="320" builtinId="8" hidden="1"/>
    <cellStyle name="Hyperlink" xfId="322" builtinId="8" hidden="1"/>
    <cellStyle name="Hyperlink" xfId="308" builtinId="8" hidden="1"/>
    <cellStyle name="Hyperlink" xfId="310" builtinId="8" hidden="1"/>
    <cellStyle name="Hyperlink" xfId="304" builtinId="8" hidden="1"/>
    <cellStyle name="Hyperlink" xfId="302" builtinId="8" hidden="1"/>
    <cellStyle name="Hyperlink" xfId="306" builtinId="8" hidden="1"/>
    <cellStyle name="Hyperlink" xfId="342" builtinId="8" hidden="1"/>
    <cellStyle name="Hyperlink" xfId="324" builtinId="8" hidden="1"/>
    <cellStyle name="Hyperlink" xfId="9" builtinId="8" hidden="1"/>
    <cellStyle name="Hyperlink" xfId="3" builtinId="8" hidden="1"/>
    <cellStyle name="Hyperlink" xfId="1" builtinId="8" hidden="1"/>
    <cellStyle name="Hyperlink" xfId="5" builtinId="8" hidden="1"/>
    <cellStyle name="Hyperlink" xfId="37" builtinId="8" hidden="1"/>
    <cellStyle name="Hyperlink" xfId="21" builtinId="8" hidden="1"/>
    <cellStyle name="Hyperlink" xfId="350" builtinId="8" hidden="1"/>
    <cellStyle name="Hyperlink" xfId="352" builtinId="8" hidden="1"/>
    <cellStyle name="Hyperlink" xfId="354" builtinId="8" hidden="1"/>
    <cellStyle name="Hyperlink" xfId="346" builtinId="8" hidden="1"/>
    <cellStyle name="Hyperlink" xfId="330" builtinId="8" hidden="1"/>
    <cellStyle name="Hyperlink" xfId="314" builtinId="8" hidden="1"/>
    <cellStyle name="Hyperlink" xfId="43" builtinId="8" hidden="1"/>
    <cellStyle name="Hyperlink" xfId="45"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61" builtinId="8" hidden="1"/>
    <cellStyle name="Hyperlink" xfId="63" builtinId="8" hidden="1"/>
    <cellStyle name="Hyperlink" xfId="65" builtinId="8" hidden="1"/>
    <cellStyle name="Hyperlink" xfId="67" builtinId="8" hidden="1"/>
    <cellStyle name="Hyperlink" xfId="47" builtinId="8" hidden="1"/>
    <cellStyle name="Hyperlink" xfId="31" builtinId="8" hidden="1"/>
    <cellStyle name="Hyperlink" xfId="33" builtinId="8" hidden="1"/>
    <cellStyle name="Hyperlink" xfId="35" builtinId="8" hidden="1"/>
    <cellStyle name="Hyperlink" xfId="39" builtinId="8" hidden="1"/>
    <cellStyle name="Hyperlink" xfId="41"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7" builtinId="8" hidden="1"/>
    <cellStyle name="Hyperlink" xfId="71" builtinId="8" hidden="1"/>
    <cellStyle name="Hyperlink" xfId="23" builtinId="8" hidden="1"/>
    <cellStyle name="Hyperlink" xfId="25" builtinId="8" hidden="1"/>
    <cellStyle name="Hyperlink" xfId="27" builtinId="8" hidden="1"/>
    <cellStyle name="Hyperlink" xfId="29" builtinId="8" hidden="1"/>
    <cellStyle name="Hyperlink" xfId="296" builtinId="8" hidden="1"/>
    <cellStyle name="Hyperlink" xfId="298" builtinId="8" hidden="1"/>
    <cellStyle name="Hyperlink" xfId="300" builtinId="8" hidden="1"/>
    <cellStyle name="Hyperlink" xfId="294" builtinId="8" hidden="1"/>
    <cellStyle name="Hyperlink" xfId="292" builtinId="8" hidden="1"/>
    <cellStyle name="Normal" xfId="0" builtinId="0"/>
    <cellStyle name="Normal 2" xfId="282" xr:uid="{00000000-0005-0000-0000-00005E010000}"/>
    <cellStyle name="Normal 3" xfId="283" xr:uid="{00000000-0005-0000-0000-00005F010000}"/>
    <cellStyle name="Normal 3 2" xfId="285" xr:uid="{00000000-0005-0000-0000-000060010000}"/>
    <cellStyle name="Normal 3 2 2" xfId="286" xr:uid="{00000000-0005-0000-0000-000061010000}"/>
    <cellStyle name="Normal 3 2 3" xfId="287" xr:uid="{00000000-0005-0000-0000-000062010000}"/>
    <cellStyle name="Normal 4" xfId="284" xr:uid="{00000000-0005-0000-0000-000063010000}"/>
  </cellStyles>
  <dxfs count="0"/>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101600</xdr:colOff>
      <xdr:row>2</xdr:row>
      <xdr:rowOff>24577</xdr:rowOff>
    </xdr:from>
    <xdr:to>
      <xdr:col>2</xdr:col>
      <xdr:colOff>698900</xdr:colOff>
      <xdr:row>6</xdr:row>
      <xdr:rowOff>13272</xdr:rowOff>
    </xdr:to>
    <xdr:pic>
      <xdr:nvPicPr>
        <xdr:cNvPr id="2" name="Picture 1">
          <a:extLst>
            <a:ext uri="{FF2B5EF4-FFF2-40B4-BE49-F238E27FC236}">
              <a16:creationId xmlns:a16="http://schemas.microsoft.com/office/drawing/2014/main" id="{ECF1BBFE-B8D6-B945-BD9D-81491EC69EE0}"/>
            </a:ext>
          </a:extLst>
        </xdr:cNvPr>
        <xdr:cNvPicPr>
          <a:picLocks noChangeAspect="1"/>
        </xdr:cNvPicPr>
      </xdr:nvPicPr>
      <xdr:blipFill>
        <a:blip xmlns:r="http://schemas.openxmlformats.org/officeDocument/2006/relationships" r:embed="rId1"/>
        <a:stretch>
          <a:fillRect/>
        </a:stretch>
      </xdr:blipFill>
      <xdr:spPr>
        <a:xfrm>
          <a:off x="101600" y="430977"/>
          <a:ext cx="1714900" cy="132219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101600</xdr:colOff>
      <xdr:row>2</xdr:row>
      <xdr:rowOff>24577</xdr:rowOff>
    </xdr:from>
    <xdr:to>
      <xdr:col>2</xdr:col>
      <xdr:colOff>698900</xdr:colOff>
      <xdr:row>6</xdr:row>
      <xdr:rowOff>13272</xdr:rowOff>
    </xdr:to>
    <xdr:pic>
      <xdr:nvPicPr>
        <xdr:cNvPr id="2" name="Picture 1">
          <a:extLst>
            <a:ext uri="{FF2B5EF4-FFF2-40B4-BE49-F238E27FC236}">
              <a16:creationId xmlns:a16="http://schemas.microsoft.com/office/drawing/2014/main" id="{6A28C82B-1825-634A-A3AA-8400CD049D08}"/>
            </a:ext>
          </a:extLst>
        </xdr:cNvPr>
        <xdr:cNvPicPr>
          <a:picLocks noChangeAspect="1"/>
        </xdr:cNvPicPr>
      </xdr:nvPicPr>
      <xdr:blipFill>
        <a:blip xmlns:r="http://schemas.openxmlformats.org/officeDocument/2006/relationships" r:embed="rId1"/>
        <a:stretch>
          <a:fillRect/>
        </a:stretch>
      </xdr:blipFill>
      <xdr:spPr>
        <a:xfrm>
          <a:off x="101600" y="418277"/>
          <a:ext cx="1714900" cy="132219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37"/>
  <sheetViews>
    <sheetView showGridLines="0" tabSelected="1" topLeftCell="A5" zoomScale="140" zoomScaleNormal="140" zoomScalePageLayoutView="135" workbookViewId="0">
      <selection activeCell="E22" sqref="E22"/>
    </sheetView>
  </sheetViews>
  <sheetFormatPr defaultColWidth="8.85546875" defaultRowHeight="12.95"/>
  <cols>
    <col min="1" max="1" width="16.42578125" style="1" customWidth="1"/>
    <col min="2" max="2" width="10.85546875" customWidth="1"/>
    <col min="3" max="3" width="1" style="2" hidden="1" customWidth="1"/>
    <col min="4" max="4" width="8.28515625" customWidth="1"/>
    <col min="5" max="5" width="17" bestFit="1" customWidth="1"/>
    <col min="6" max="11" width="34.140625" customWidth="1"/>
    <col min="12" max="15" width="17.85546875" hidden="1" customWidth="1"/>
    <col min="16" max="16" width="2.140625" customWidth="1"/>
  </cols>
  <sheetData>
    <row r="1" spans="1:33" ht="20.100000000000001" customHeight="1">
      <c r="A1" s="110" t="s">
        <v>0</v>
      </c>
      <c r="B1" s="110"/>
      <c r="C1" s="110"/>
      <c r="D1" s="110"/>
      <c r="E1" s="110"/>
      <c r="F1" s="110"/>
      <c r="G1" s="110"/>
      <c r="H1" s="40" t="s">
        <v>1</v>
      </c>
      <c r="Q1" s="112" t="s">
        <v>2</v>
      </c>
      <c r="R1" s="112"/>
      <c r="S1" s="112"/>
      <c r="T1" s="112"/>
      <c r="U1" s="112"/>
      <c r="V1" s="112"/>
      <c r="W1" s="112"/>
      <c r="X1" s="112"/>
      <c r="Y1" s="112"/>
      <c r="Z1" s="112"/>
      <c r="AA1" s="112"/>
      <c r="AB1" s="112"/>
      <c r="AC1" s="112"/>
      <c r="AD1" s="112"/>
      <c r="AE1" s="112"/>
      <c r="AF1" s="112"/>
      <c r="AG1" s="88"/>
    </row>
    <row r="2" spans="1:33" ht="12.95" customHeight="1" thickBot="1">
      <c r="H2" s="44"/>
      <c r="I2" s="44"/>
      <c r="Q2" s="112"/>
      <c r="R2" s="112"/>
      <c r="S2" s="112"/>
      <c r="T2" s="112"/>
      <c r="U2" s="112"/>
      <c r="V2" s="112"/>
      <c r="W2" s="112"/>
      <c r="X2" s="112"/>
      <c r="Y2" s="112"/>
      <c r="Z2" s="112"/>
      <c r="AA2" s="112"/>
      <c r="AB2" s="112"/>
      <c r="AC2" s="112"/>
      <c r="AD2" s="112"/>
      <c r="AE2" s="112"/>
      <c r="AF2" s="112"/>
      <c r="AG2" s="88"/>
    </row>
    <row r="3" spans="1:33" s="48" customFormat="1" ht="12.95" customHeight="1" thickBot="1">
      <c r="A3" s="47" t="s">
        <v>3</v>
      </c>
      <c r="B3" s="72">
        <v>45393</v>
      </c>
      <c r="H3" s="49"/>
      <c r="I3" s="49"/>
      <c r="Q3" s="112"/>
      <c r="R3" s="112"/>
      <c r="S3" s="112"/>
      <c r="T3" s="112"/>
      <c r="U3" s="112"/>
      <c r="V3" s="112"/>
      <c r="W3" s="112"/>
      <c r="X3" s="112"/>
      <c r="Y3" s="112"/>
      <c r="Z3" s="112"/>
      <c r="AA3" s="112"/>
      <c r="AB3" s="112"/>
      <c r="AC3" s="112"/>
      <c r="AD3" s="112"/>
      <c r="AE3" s="112"/>
      <c r="AF3" s="112"/>
      <c r="AG3" s="88"/>
    </row>
    <row r="4" spans="1:33" ht="12.95" customHeight="1">
      <c r="A4" s="43" t="s">
        <v>4</v>
      </c>
      <c r="B4" s="46">
        <v>45796</v>
      </c>
      <c r="C4"/>
      <c r="H4" s="44"/>
      <c r="I4" s="44"/>
      <c r="Q4" s="112"/>
      <c r="R4" s="112"/>
      <c r="S4" s="112"/>
      <c r="T4" s="112"/>
      <c r="U4" s="112"/>
      <c r="V4" s="112"/>
      <c r="W4" s="112"/>
      <c r="X4" s="112"/>
      <c r="Y4" s="112"/>
      <c r="Z4" s="112"/>
      <c r="AA4" s="112"/>
      <c r="AB4" s="112"/>
      <c r="AC4" s="112"/>
      <c r="AD4" s="112"/>
      <c r="AE4" s="112"/>
      <c r="AF4" s="112"/>
      <c r="AG4" s="88"/>
    </row>
    <row r="5" spans="1:33" ht="6.95" customHeight="1" thickBot="1">
      <c r="H5" s="44"/>
      <c r="I5" s="44"/>
      <c r="Q5" s="88"/>
      <c r="R5" s="88"/>
      <c r="S5" s="88"/>
      <c r="T5" s="88"/>
      <c r="U5" s="88"/>
      <c r="V5" s="88"/>
      <c r="W5" s="88"/>
      <c r="X5" s="88"/>
      <c r="Y5" s="88"/>
      <c r="Z5" s="88"/>
      <c r="AA5" s="88"/>
      <c r="AB5" s="88"/>
      <c r="AC5" s="88"/>
      <c r="AD5" s="88"/>
      <c r="AE5" s="88"/>
      <c r="AF5" s="88"/>
      <c r="AG5" s="88"/>
    </row>
    <row r="6" spans="1:33" ht="18">
      <c r="A6" s="10" t="s">
        <v>5</v>
      </c>
      <c r="B6" s="30">
        <v>600</v>
      </c>
      <c r="C6">
        <f>IF(Brevet_Length&gt;=1200,Brevet_Length,IF(Brevet_Length&gt;=1000,1000,IF(Brevet_Length&gt;=600,600,IF(Brevet_Length&gt;=400,400,IF(Brevet_Length&gt;=300,300,IF(Brevet_Length&gt;=200,200,100))))))</f>
        <v>600</v>
      </c>
      <c r="J6" s="113" t="s">
        <v>6</v>
      </c>
      <c r="K6" s="113"/>
      <c r="Q6" s="86" t="s">
        <v>7</v>
      </c>
      <c r="R6" s="86"/>
      <c r="S6" s="86"/>
      <c r="T6" s="86"/>
      <c r="U6" s="86"/>
      <c r="V6" s="86"/>
      <c r="W6" s="86"/>
      <c r="X6" s="87"/>
      <c r="Y6" s="87"/>
      <c r="Z6" s="87"/>
    </row>
    <row r="7" spans="1:33" ht="14.1">
      <c r="A7" s="11" t="s">
        <v>8</v>
      </c>
      <c r="B7" s="84">
        <f>IF(brevet=1200,90,IF(brevet=1000,75,IF(brevet=600,40,IF(brevet=400,27,IF(brevet=300,20,IF(brevet=200,13.5,IF(brevet&lt;200,L7,0)))))))</f>
        <v>40</v>
      </c>
      <c r="L7">
        <f>IF(Brevet_Length=150,10.5,IF(Brevet_Length=100,7,IF(Brevet_Length=50,3.5,IF(Brevet_Length=25, 2,0))))</f>
        <v>0</v>
      </c>
      <c r="Q7" s="87" t="s">
        <v>9</v>
      </c>
      <c r="R7" s="87"/>
      <c r="S7" s="87"/>
      <c r="T7" s="87"/>
      <c r="U7" s="87"/>
      <c r="V7" s="87"/>
      <c r="W7" s="87"/>
      <c r="X7" s="87"/>
      <c r="Y7" s="87"/>
      <c r="Z7" s="87"/>
    </row>
    <row r="8" spans="1:33" ht="18">
      <c r="A8" s="83" t="s">
        <v>10</v>
      </c>
      <c r="B8" s="111" t="s">
        <v>11</v>
      </c>
      <c r="C8" s="111"/>
      <c r="D8" s="111"/>
      <c r="E8" s="111"/>
      <c r="F8" s="111"/>
      <c r="G8" s="85"/>
      <c r="H8" s="85"/>
      <c r="I8" s="16"/>
      <c r="J8" s="16"/>
      <c r="K8" s="16"/>
      <c r="Q8" s="86" t="s">
        <v>12</v>
      </c>
      <c r="R8" s="87"/>
      <c r="S8" s="87"/>
      <c r="T8" s="87"/>
      <c r="U8" s="87"/>
      <c r="V8" s="87"/>
      <c r="W8" s="87"/>
      <c r="X8" s="87"/>
      <c r="Y8" s="87"/>
      <c r="Z8" s="87"/>
    </row>
    <row r="9" spans="1:33" ht="18">
      <c r="A9" s="11" t="s">
        <v>13</v>
      </c>
      <c r="B9" s="31">
        <v>5510</v>
      </c>
      <c r="C9" s="13"/>
      <c r="F9" s="14"/>
      <c r="G9" s="14"/>
      <c r="H9" s="14"/>
      <c r="I9" s="14"/>
      <c r="J9" s="14"/>
      <c r="K9" s="14"/>
      <c r="Q9" s="86" t="s">
        <v>14</v>
      </c>
      <c r="R9" s="87"/>
      <c r="S9" s="87"/>
      <c r="T9" s="87"/>
      <c r="U9" s="87"/>
      <c r="V9" s="87"/>
      <c r="W9" s="87"/>
      <c r="X9" s="87"/>
      <c r="Y9" s="87"/>
      <c r="Z9" s="87"/>
    </row>
    <row r="10" spans="1:33" ht="18">
      <c r="A10" s="18" t="s">
        <v>15</v>
      </c>
      <c r="B10" s="32">
        <v>45801</v>
      </c>
      <c r="E10" s="80" t="s">
        <v>16</v>
      </c>
      <c r="F10" s="82" t="s">
        <v>17</v>
      </c>
      <c r="Q10" s="86" t="s">
        <v>18</v>
      </c>
      <c r="R10" s="87"/>
      <c r="S10" s="87"/>
      <c r="T10" s="87"/>
      <c r="U10" s="87"/>
      <c r="V10" s="87"/>
      <c r="W10" s="87"/>
      <c r="X10" s="87"/>
      <c r="Y10" s="87"/>
      <c r="Z10" s="87"/>
    </row>
    <row r="11" spans="1:33" ht="6" customHeight="1">
      <c r="B11" s="45"/>
      <c r="Q11" s="87"/>
      <c r="R11" s="87"/>
      <c r="S11" s="87"/>
      <c r="T11" s="87"/>
      <c r="U11" s="87"/>
      <c r="V11" s="87"/>
      <c r="W11" s="87"/>
      <c r="X11" s="87"/>
      <c r="Y11" s="87"/>
      <c r="Z11" s="87"/>
    </row>
    <row r="12" spans="1:33" ht="18" customHeight="1" thickBot="1">
      <c r="A12" s="41" t="s">
        <v>19</v>
      </c>
      <c r="B12" s="42">
        <v>45801</v>
      </c>
      <c r="Q12" s="86" t="s">
        <v>20</v>
      </c>
      <c r="R12" s="87"/>
      <c r="S12" s="87"/>
      <c r="T12" s="87"/>
      <c r="U12" s="87"/>
      <c r="V12" s="87"/>
      <c r="W12" s="87"/>
      <c r="X12" s="87"/>
      <c r="Y12" s="87"/>
      <c r="Z12" s="87"/>
    </row>
    <row r="13" spans="1:33" ht="18.95" thickBot="1">
      <c r="A13" s="9" t="s">
        <v>21</v>
      </c>
      <c r="B13" s="33">
        <v>0.25</v>
      </c>
      <c r="D13" s="106" t="s">
        <v>22</v>
      </c>
      <c r="E13" s="107"/>
      <c r="F13" s="107"/>
      <c r="G13" s="107"/>
      <c r="H13" s="107"/>
      <c r="I13" s="108" t="s">
        <v>23</v>
      </c>
      <c r="J13" s="107"/>
      <c r="K13" s="109"/>
      <c r="Q13" s="86" t="s">
        <v>24</v>
      </c>
      <c r="R13" s="87"/>
      <c r="S13" s="87"/>
      <c r="T13" s="87"/>
      <c r="U13" s="87"/>
      <c r="V13" s="87"/>
      <c r="W13" s="87"/>
      <c r="X13" s="87"/>
      <c r="Y13" s="87"/>
      <c r="Z13" s="87"/>
    </row>
    <row r="14" spans="1:33" ht="15" thickBot="1">
      <c r="D14" s="5" t="s">
        <v>25</v>
      </c>
      <c r="E14" s="6" t="s">
        <v>26</v>
      </c>
      <c r="F14" s="24" t="s">
        <v>27</v>
      </c>
      <c r="G14" s="24" t="s">
        <v>28</v>
      </c>
      <c r="H14" s="25" t="s">
        <v>29</v>
      </c>
      <c r="I14" s="6" t="s">
        <v>30</v>
      </c>
      <c r="J14" s="6" t="s">
        <v>31</v>
      </c>
      <c r="K14" s="7" t="s">
        <v>32</v>
      </c>
      <c r="L14" t="s">
        <v>33</v>
      </c>
      <c r="M14" t="s">
        <v>34</v>
      </c>
      <c r="N14" t="s">
        <v>35</v>
      </c>
      <c r="O14" t="s">
        <v>36</v>
      </c>
      <c r="Q14" s="86" t="s">
        <v>37</v>
      </c>
      <c r="R14" s="87"/>
      <c r="S14" s="87"/>
      <c r="T14" s="87"/>
      <c r="U14" s="87"/>
      <c r="V14" s="87"/>
      <c r="W14" s="87"/>
      <c r="X14" s="87"/>
      <c r="Y14" s="87"/>
      <c r="Z14" s="87"/>
    </row>
    <row r="15" spans="1:33" ht="17.100000000000001" customHeight="1">
      <c r="C15" s="2" t="s">
        <v>38</v>
      </c>
      <c r="D15" s="15">
        <v>0</v>
      </c>
      <c r="E15" s="34" t="s">
        <v>39</v>
      </c>
      <c r="F15" s="35" t="s">
        <v>40</v>
      </c>
      <c r="G15" s="35" t="s">
        <v>41</v>
      </c>
      <c r="H15" s="103" t="s">
        <v>42</v>
      </c>
      <c r="I15" s="35" t="s">
        <v>43</v>
      </c>
      <c r="J15" s="35"/>
      <c r="K15" s="36"/>
      <c r="L15" s="3">
        <f>Start_date+Start_time</f>
        <v>45801.25</v>
      </c>
      <c r="M15" s="3">
        <f>L15+"1:00"</f>
        <v>45801.291666666664</v>
      </c>
      <c r="N15" s="4">
        <f ca="1">IF(ISBLANK(Distance),"",Open Control_1)</f>
        <v>45801.25</v>
      </c>
      <c r="O15" s="4">
        <f ca="1">IF(ISBLANK(Distance),"",Close Control_1)</f>
        <v>45801.291666666664</v>
      </c>
      <c r="Q15" s="86" t="s">
        <v>44</v>
      </c>
      <c r="R15" s="87"/>
      <c r="S15" s="87"/>
      <c r="T15" s="87"/>
      <c r="U15" s="87"/>
      <c r="V15" s="87"/>
      <c r="W15" s="87"/>
      <c r="X15" s="87"/>
      <c r="Y15" s="87"/>
      <c r="Z15" s="87"/>
    </row>
    <row r="16" spans="1:33" ht="17.100000000000001" customHeight="1">
      <c r="B16" s="38"/>
      <c r="C16" s="2" t="s">
        <v>45</v>
      </c>
      <c r="D16" s="15">
        <v>66.099999999999994</v>
      </c>
      <c r="E16" s="34" t="s">
        <v>46</v>
      </c>
      <c r="F16" s="35"/>
      <c r="G16" s="35" t="s">
        <v>47</v>
      </c>
      <c r="H16" s="36"/>
      <c r="I16" s="35" t="s">
        <v>43</v>
      </c>
      <c r="J16" s="35"/>
      <c r="K16" s="36"/>
      <c r="L16">
        <f>IF(ISBLANK(Distance),"",IF(Distance&gt;1000,(Distance-1000)/26+33.0847,(IF(Distance&gt;600,(Distance-600)/28+18.799,(IF(Distance&gt;400,(Distance-400)/30+12.1324,(IF(Distance&gt;200,(Distance-200)/32+5.8824,Distance/34))))))))</f>
        <v>1.9441176470588233</v>
      </c>
      <c r="M16">
        <f>IF(ISBLANK(Distance),"",IF(Distance&gt;=brevet,D16200IF(brevet&gt;1200,(brevet-1200)*75/1000+90,Max_time),IF(Distance&gt;1200,(Distance-1200)*75/1000+90,IF(Distance&gt;1000,(Distance-1000)/(1000/75)+75,IF(Distance&gt;600,(Distance-600)/(400/35)+40,IF(Distance&lt;=60,(Distance/20+1),Distance/15))))))</f>
        <v>4.4066666666666663</v>
      </c>
      <c r="N16" s="4">
        <f ca="1">IF(ISBLANK(Distance),"",Open_time Control_1+(INT(Open)&amp;":"&amp;IF(ROUND(((Open-INT(Open))*60),0)&lt;10,0,"")&amp;ROUND(((Open-INT(Open))*60),0)))</f>
        <v>45801.331250000003</v>
      </c>
      <c r="O16" s="4">
        <f ca="1">IF(ISBLANK(Distance),"",Open_time Control_1+(INT(Close)&amp;":"&amp;IF(ROUND(((Close-INT(Close))*60),0)&lt;10,0,"")&amp;ROUND(((Close-INT(Close))*60),0)))</f>
        <v>45801.433333333334</v>
      </c>
      <c r="Q16" s="86" t="s">
        <v>48</v>
      </c>
      <c r="R16" s="87"/>
      <c r="S16" s="87"/>
      <c r="T16" s="87"/>
      <c r="U16" s="87"/>
      <c r="V16" s="87"/>
      <c r="W16" s="87"/>
      <c r="X16" s="87"/>
      <c r="Y16" s="87"/>
      <c r="Z16" s="87"/>
    </row>
    <row r="17" spans="2:26" ht="17.100000000000001" customHeight="1">
      <c r="B17" s="38"/>
      <c r="C17" s="2" t="s">
        <v>49</v>
      </c>
      <c r="D17" s="15">
        <v>189</v>
      </c>
      <c r="E17" s="34" t="s">
        <v>50</v>
      </c>
      <c r="F17" s="35" t="s">
        <v>51</v>
      </c>
      <c r="G17" s="35" t="s">
        <v>52</v>
      </c>
      <c r="H17" s="36" t="s">
        <v>53</v>
      </c>
      <c r="I17" s="35" t="s">
        <v>54</v>
      </c>
      <c r="J17" s="35"/>
      <c r="K17" s="36"/>
      <c r="L17">
        <f>IF(ISBLANK(Distance),"",IF(Distance&gt;1000,(Distance-1000)/26+33.0847,(IF(Distance&gt;600,(Distance-600)/28+18.799,(IF(Distance&gt;400,(Distance-400)/30+12.1324,(IF(Distance&gt;200,(Distance-200)/32+5.8824,Distance/34))))))))</f>
        <v>5.5588235294117645</v>
      </c>
      <c r="M17">
        <f t="shared" ref="M17:M24" si="0">IF(ISBLANK(Distance),"",IF(Distance&gt;=brevet,IF(brevet&gt;1200,(brevet-1200)*75/1000+90,Max_time),IF(Distance&gt;1200,(Distance-1200)*75/1000+90,IF(Distance&gt;1000,(Distance-1000)/(1000/75)+75,IF(Distance&gt;600,(Distance-600)/(400/35)+40,IF(Distance&lt;=60,(Distance/20+1),Distance/15))))))</f>
        <v>12.6</v>
      </c>
      <c r="N17" s="4">
        <f ca="1">IF(ISBLANK(Distance),"",Open_time Control_1+(INT(Open)&amp;":"&amp;IF(ROUND(((Open-INT(Open))*60),0)&lt;10,0,"")&amp;ROUND(((Open-INT(Open))*60),0)))</f>
        <v>45801.481944444444</v>
      </c>
      <c r="O17" s="4">
        <f ca="1">IF(ISBLANK(Distance),"",Open_time Control_1+(INT(Close)&amp;":"&amp;IF(ROUND(((Close-INT(Close))*60),0)&lt;10,0,"")&amp;ROUND(((Close-INT(Close))*60),0)))</f>
        <v>45801.775000000001</v>
      </c>
      <c r="Q17" s="86" t="s">
        <v>55</v>
      </c>
      <c r="R17" s="87"/>
      <c r="S17" s="87"/>
      <c r="T17" s="87"/>
      <c r="U17" s="87"/>
      <c r="V17" s="87"/>
      <c r="W17" s="87"/>
      <c r="X17" s="87"/>
      <c r="Y17" s="87"/>
      <c r="Z17" s="87"/>
    </row>
    <row r="18" spans="2:26" ht="17.100000000000001" customHeight="1">
      <c r="B18" s="38"/>
      <c r="C18" s="2" t="s">
        <v>56</v>
      </c>
      <c r="D18" s="15">
        <v>285.89999999999998</v>
      </c>
      <c r="E18" s="34" t="s">
        <v>57</v>
      </c>
      <c r="F18" s="35" t="s">
        <v>58</v>
      </c>
      <c r="G18" s="35" t="s">
        <v>59</v>
      </c>
      <c r="H18" s="36" t="s">
        <v>60</v>
      </c>
      <c r="I18" s="35" t="s">
        <v>61</v>
      </c>
      <c r="J18" s="35"/>
      <c r="K18" s="36"/>
      <c r="L18">
        <f t="shared" ref="L18:L24" si="1">IF(ISBLANK(Distance),"",IF(Distance&gt;1000,(Distance-1000)/26+33.0847,(IF(Distance&gt;600,(Distance-600)/28+18.799,(IF(Distance&gt;400,(Distance-400)/30+12.1324,(IF(Distance&gt;200,(Distance-200)/32+5.8824,Distance/34))))))))</f>
        <v>8.5667749999999998</v>
      </c>
      <c r="M18">
        <f t="shared" si="0"/>
        <v>19.059999999999999</v>
      </c>
      <c r="N18" s="4">
        <f ca="1">IF(ISBLANK(Distance),"",Open_time Control_1+(INT(Open)&amp;":"&amp;IF(ROUND(((Open-INT(Open))*60),0)&lt;10,0,"")&amp;ROUND(((Open-INT(Open))*60),0)))</f>
        <v>45801.606944444444</v>
      </c>
      <c r="O18" s="4">
        <f ca="1">IF(ISBLANK(Distance),"",Open_time Control_1+(INT(Close)&amp;":"&amp;IF(ROUND(((Close-INT(Close))*60),0)&lt;10,0,"")&amp;ROUND(((Close-INT(Close))*60),0)))</f>
        <v>45802.044444444444</v>
      </c>
    </row>
    <row r="19" spans="2:26" ht="17.100000000000001" customHeight="1">
      <c r="B19" s="38"/>
      <c r="C19" s="2" t="s">
        <v>62</v>
      </c>
      <c r="D19" s="15">
        <v>333.6</v>
      </c>
      <c r="E19" s="34" t="s">
        <v>63</v>
      </c>
      <c r="F19" s="35" t="s">
        <v>64</v>
      </c>
      <c r="G19" s="104" t="s">
        <v>65</v>
      </c>
      <c r="H19" s="36" t="s">
        <v>66</v>
      </c>
      <c r="I19" s="35" t="s">
        <v>67</v>
      </c>
      <c r="J19" s="35"/>
      <c r="K19" s="36"/>
      <c r="L19">
        <f t="shared" si="1"/>
        <v>10.057400000000001</v>
      </c>
      <c r="M19">
        <f t="shared" si="0"/>
        <v>22.240000000000002</v>
      </c>
      <c r="N19" s="4">
        <f ca="1">IF(ISBLANK(Distance),"",Open_time Control_1+(INT(Open)&amp;":"&amp;IF(ROUND(((Open-INT(Open))*60),0)&lt;10,0,"")&amp;ROUND(((Open-INT(Open))*60),0)))</f>
        <v>45801.668749999997</v>
      </c>
      <c r="O19" s="4">
        <f ca="1">IF(ISBLANK(Distance),"",Open_time Control_1+(INT(Close)&amp;":"&amp;IF(ROUND(((Close-INT(Close))*60),0)&lt;10,0,"")&amp;ROUND(((Close-INT(Close))*60),0)))</f>
        <v>45802.176388888889</v>
      </c>
      <c r="Q19" s="40"/>
    </row>
    <row r="20" spans="2:26" ht="17.100000000000001" customHeight="1">
      <c r="B20" s="38"/>
      <c r="C20" s="2" t="s">
        <v>68</v>
      </c>
      <c r="D20" s="15">
        <v>371.5</v>
      </c>
      <c r="E20" s="34" t="s">
        <v>69</v>
      </c>
      <c r="F20" s="35" t="s">
        <v>70</v>
      </c>
      <c r="G20" s="104" t="s">
        <v>71</v>
      </c>
      <c r="H20" s="36" t="s">
        <v>72</v>
      </c>
      <c r="I20" s="35" t="s">
        <v>73</v>
      </c>
      <c r="J20" s="35"/>
      <c r="K20" s="36"/>
      <c r="L20">
        <f t="shared" si="1"/>
        <v>11.241775000000001</v>
      </c>
      <c r="M20">
        <f t="shared" si="0"/>
        <v>24.766666666666666</v>
      </c>
      <c r="N20" s="4">
        <f ca="1">IF(ISBLANK(Distance),"",Open_time Control_1+(INT(Open)&amp;":"&amp;IF(ROUND(((Open-INT(Open))*60),0)&lt;10,0,"")&amp;ROUND(((Open-INT(Open))*60),0)))</f>
        <v>45801.71875</v>
      </c>
      <c r="O20" s="4">
        <f ca="1">IF(ISBLANK(Distance),"",Open_time Control_1+(INT(Close)&amp;":"&amp;IF(ROUND(((Close-INT(Close))*60),0)&lt;10,0,"")&amp;ROUND(((Close-INT(Close))*60),0)))</f>
        <v>45802.281944444447</v>
      </c>
    </row>
    <row r="21" spans="2:26" ht="17.100000000000001" customHeight="1">
      <c r="B21" s="38"/>
      <c r="C21" s="2" t="s">
        <v>74</v>
      </c>
      <c r="D21" s="15">
        <v>416.4</v>
      </c>
      <c r="E21" s="34" t="s">
        <v>75</v>
      </c>
      <c r="F21" s="35" t="s">
        <v>76</v>
      </c>
      <c r="G21" s="35" t="s">
        <v>77</v>
      </c>
      <c r="H21" s="36" t="s">
        <v>78</v>
      </c>
      <c r="I21" s="35" t="s">
        <v>79</v>
      </c>
      <c r="J21" s="35"/>
      <c r="K21" s="36"/>
      <c r="L21">
        <f t="shared" si="1"/>
        <v>12.679066666666666</v>
      </c>
      <c r="M21">
        <f t="shared" si="0"/>
        <v>27.759999999999998</v>
      </c>
      <c r="N21" s="4">
        <f ca="1">IF(ISBLANK(Distance),"",Open_time Control_1+(INT(Open)&amp;":"&amp;IF(ROUND(((Open-INT(Open))*60),0)&lt;10,0,"")&amp;ROUND(((Open-INT(Open))*60),0)))</f>
        <v>45801.77847222222</v>
      </c>
      <c r="O21" s="4">
        <f ca="1">IF(ISBLANK(Distance),"",Open_time Control_1+(INT(Close)&amp;":"&amp;IF(ROUND(((Close-INT(Close))*60),0)&lt;10,0,"")&amp;ROUND(((Close-INT(Close))*60),0)))</f>
        <v>45802.406944444447</v>
      </c>
    </row>
    <row r="22" spans="2:26" ht="17.100000000000001" customHeight="1">
      <c r="B22" s="38"/>
      <c r="C22" s="2" t="s">
        <v>80</v>
      </c>
      <c r="D22" s="15">
        <v>471.4</v>
      </c>
      <c r="E22" s="34" t="s">
        <v>81</v>
      </c>
      <c r="F22" s="35" t="s">
        <v>82</v>
      </c>
      <c r="G22" s="104" t="s">
        <v>83</v>
      </c>
      <c r="H22" s="36" t="s">
        <v>84</v>
      </c>
      <c r="I22" s="35" t="s">
        <v>85</v>
      </c>
      <c r="J22" s="35"/>
      <c r="K22" s="36"/>
      <c r="L22">
        <f t="shared" si="1"/>
        <v>14.5124</v>
      </c>
      <c r="M22">
        <f t="shared" si="0"/>
        <v>31.426666666666666</v>
      </c>
      <c r="N22" s="4">
        <f ca="1">IF(ISBLANK(Distance),"",Open_time Control_1+(INT(Open)&amp;":"&amp;IF(ROUND(((Open-INT(Open))*60),0)&lt;10,0,"")&amp;ROUND(((Open-INT(Open))*60),0)))</f>
        <v>45801.854861111111</v>
      </c>
      <c r="O22" s="4">
        <f ca="1">IF(ISBLANK(Distance),"",Open_time Control_1+(INT(Close)&amp;":"&amp;IF(ROUND(((Close-INT(Close))*60),0)&lt;10,0,"")&amp;ROUND(((Close-INT(Close))*60),0)))</f>
        <v>45802.55972222222</v>
      </c>
    </row>
    <row r="23" spans="2:26" ht="17.100000000000001" customHeight="1">
      <c r="B23" s="38"/>
      <c r="C23" s="2" t="s">
        <v>86</v>
      </c>
      <c r="D23" s="15">
        <v>504.7</v>
      </c>
      <c r="E23" s="34" t="s">
        <v>87</v>
      </c>
      <c r="F23" s="35" t="s">
        <v>88</v>
      </c>
      <c r="G23" s="35" t="s">
        <v>89</v>
      </c>
      <c r="H23" s="36" t="s">
        <v>90</v>
      </c>
      <c r="I23" s="35" t="s">
        <v>91</v>
      </c>
      <c r="J23" s="35"/>
      <c r="K23" s="36"/>
      <c r="L23">
        <f t="shared" si="1"/>
        <v>15.622400000000001</v>
      </c>
      <c r="M23">
        <f t="shared" si="0"/>
        <v>33.646666666666668</v>
      </c>
      <c r="N23" s="4">
        <f ca="1">IF(ISBLANK(Distance),"",Open_time Control_1+(INT(Open)&amp;":"&amp;IF(ROUND(((Open-INT(Open))*60),0)&lt;10,0,"")&amp;ROUND(((Open-INT(Open))*60),0)))</f>
        <v>45801.900694444441</v>
      </c>
      <c r="O23" s="4">
        <f ca="1">IF(ISBLANK(Distance),"",Open_time Control_1+(INT(Close)&amp;":"&amp;IF(ROUND(((Close-INT(Close))*60),0)&lt;10,0,"")&amp;ROUND(((Close-INT(Close))*60),0)))</f>
        <v>45802.652083333334</v>
      </c>
    </row>
    <row r="24" spans="2:26" ht="17.100000000000001" customHeight="1" thickBot="1">
      <c r="B24" s="38"/>
      <c r="C24" s="2" t="s">
        <v>92</v>
      </c>
      <c r="D24" s="20">
        <v>550.79999999999995</v>
      </c>
      <c r="E24" s="37" t="s">
        <v>93</v>
      </c>
      <c r="F24" s="35" t="s">
        <v>94</v>
      </c>
      <c r="G24" s="35" t="s">
        <v>95</v>
      </c>
      <c r="H24" s="36" t="s">
        <v>96</v>
      </c>
      <c r="I24" s="35" t="s">
        <v>97</v>
      </c>
      <c r="J24" s="35"/>
      <c r="K24" s="36"/>
      <c r="L24">
        <f t="shared" si="1"/>
        <v>17.159066666666668</v>
      </c>
      <c r="M24">
        <f t="shared" si="0"/>
        <v>36.72</v>
      </c>
      <c r="N24" s="4">
        <f ca="1">IF(ISBLANK(Distance),"",Open_time Control_1+(INT(Open)&amp;":"&amp;IF(ROUND(((Open-INT(Open))*60),0)&lt;10,0,"")&amp;ROUND(((Open-INT(Open))*60),0)))</f>
        <v>45801.965277777781</v>
      </c>
      <c r="O24" s="4">
        <f ca="1">IF(ISBLANK(Distance),"",Open_time Control_1+(INT(Close)&amp;":"&amp;IF(ROUND(((Close-INT(Close))*60),0)&lt;10,0,"")&amp;ROUND(((Close-INT(Close))*60),0)))</f>
        <v>45802.779861111114</v>
      </c>
    </row>
    <row r="25" spans="2:26" ht="6.95" customHeight="1" thickBot="1">
      <c r="D25" s="26"/>
      <c r="E25" s="27"/>
      <c r="F25" s="28"/>
      <c r="G25" s="28"/>
      <c r="H25" s="28"/>
      <c r="I25" s="28"/>
      <c r="J25" s="28"/>
      <c r="K25" s="29"/>
      <c r="N25" s="4"/>
      <c r="O25" s="4"/>
    </row>
    <row r="26" spans="2:26" ht="14.1" thickBot="1">
      <c r="D26" s="106" t="s">
        <v>98</v>
      </c>
      <c r="E26" s="107"/>
      <c r="F26" s="107"/>
      <c r="G26" s="107"/>
      <c r="H26" s="107"/>
      <c r="I26" s="108" t="s">
        <v>99</v>
      </c>
      <c r="J26" s="107"/>
      <c r="K26" s="109"/>
    </row>
    <row r="27" spans="2:26" ht="14.1" thickBot="1">
      <c r="D27" s="5" t="s">
        <v>25</v>
      </c>
      <c r="E27" s="6" t="s">
        <v>26</v>
      </c>
      <c r="F27" s="24" t="s">
        <v>27</v>
      </c>
      <c r="G27" s="24" t="s">
        <v>28</v>
      </c>
      <c r="H27" s="25" t="s">
        <v>29</v>
      </c>
      <c r="I27" s="6" t="s">
        <v>30</v>
      </c>
      <c r="J27" s="6" t="s">
        <v>31</v>
      </c>
      <c r="K27" s="7" t="s">
        <v>32</v>
      </c>
      <c r="L27" t="s">
        <v>33</v>
      </c>
      <c r="M27" t="s">
        <v>34</v>
      </c>
      <c r="N27" t="s">
        <v>35</v>
      </c>
      <c r="O27" t="s">
        <v>36</v>
      </c>
    </row>
    <row r="28" spans="2:26" ht="17.100000000000001" customHeight="1">
      <c r="D28" s="15">
        <v>579.20000000000005</v>
      </c>
      <c r="E28" s="34" t="s">
        <v>100</v>
      </c>
      <c r="F28" s="35" t="s">
        <v>101</v>
      </c>
      <c r="G28" s="35" t="s">
        <v>102</v>
      </c>
      <c r="H28" s="36" t="s">
        <v>103</v>
      </c>
      <c r="I28" s="35" t="s">
        <v>43</v>
      </c>
      <c r="J28" s="35"/>
      <c r="K28" s="36"/>
      <c r="L28">
        <f>IF(ISBLANK(D28),"",IF(D28&gt;1000,(D28-1000)/26+33.0847,(IF(D28&gt;600,(D28-600)/28+18.799,(IF(D28&gt;400,(D28-400)/30+12.1324,(IF(D28&gt;200,(D28-200)/32+5.8824,D28/34))))))))</f>
        <v>18.105733333333333</v>
      </c>
      <c r="M28">
        <f t="shared" ref="M28:M37" si="2">IF(ISBLANK(D28),"",IF((D28=0),1,IF(D28&gt;=brevet,IF(brevet&gt;1200,(brevet-1200)*75/1000+90,Max_time),IF(D28&gt;1200,(D28-1200)*75/1000+90,IF(D28&gt;1000,(D28-1000)/(1000/75)+75,IF(D28&gt;600,(D28-600)/(400/35)+40,IF(D28&lt;=60,D28/20+1,D28/15)))))))</f>
        <v>38.613333333333337</v>
      </c>
      <c r="N28" s="4">
        <f ca="1">IF(ISBLANK(D28),"",Open_time Control_1+(INT(L28)&amp;":"&amp;IF(ROUND(((L28-INT(L28))*60),0)&lt;10,0,"")&amp;ROUND(((L28-INT(L28))*60),0)))</f>
        <v>45802.004166666666</v>
      </c>
      <c r="O28" s="4">
        <f ca="1">IF(ISBLANK(D28),"",Open_time Control_1+(INT(M28)&amp;":"&amp;IF(ROUND(((M28-INT(M28))*60),0)&lt;10,0,"")&amp;ROUND(((M28-INT(M28))*60),0)))</f>
        <v>45802.859027777777</v>
      </c>
    </row>
    <row r="29" spans="2:26" ht="17.100000000000001" customHeight="1">
      <c r="D29" s="15">
        <v>600.1</v>
      </c>
      <c r="E29" s="34" t="s">
        <v>39</v>
      </c>
      <c r="F29" s="35" t="s">
        <v>40</v>
      </c>
      <c r="G29" s="35" t="s">
        <v>41</v>
      </c>
      <c r="H29" s="105" t="s">
        <v>42</v>
      </c>
      <c r="I29" s="35" t="s">
        <v>104</v>
      </c>
      <c r="J29" s="35"/>
      <c r="K29" s="36"/>
      <c r="L29">
        <f t="shared" ref="L29:L37" si="3">IF(ISBLANK(D29),"",IF(D29&gt;1000,(D29-1000)/26+33.0847,(IF(D29&gt;600,(D29-600)/28+18.799,(IF(D29&gt;400,(D29-400)/30+12.1324,(IF(D29&gt;200,(D29-200)/32+5.8824,D29/34))))))))</f>
        <v>18.802571428571429</v>
      </c>
      <c r="M29">
        <f t="shared" si="2"/>
        <v>40</v>
      </c>
      <c r="N29" s="4">
        <f ca="1">IF(ISBLANK(D29),"",Open_time Control_1+(INT(L29)&amp;":"&amp;IF(ROUND(((L29-INT(L29))*60),0)&lt;10,0,"")&amp;ROUND(((L29-INT(L29))*60),0)))</f>
        <v>45802.033333333333</v>
      </c>
      <c r="O29" s="4">
        <f ca="1">IF(ISBLANK(D29),"",Open_time Control_1+(INT(M29)&amp;":"&amp;IF(ROUND(((M29-INT(M29))*60),0)&lt;10,0,"")&amp;ROUND(((M29-INT(M29))*60),0)))</f>
        <v>45802.916666666664</v>
      </c>
    </row>
    <row r="30" spans="2:26" ht="17.100000000000001" customHeight="1">
      <c r="D30" s="15"/>
      <c r="E30" s="34"/>
      <c r="F30" s="35"/>
      <c r="G30" s="35"/>
      <c r="H30" s="36"/>
      <c r="I30" s="35"/>
      <c r="J30" s="35"/>
      <c r="K30" s="36"/>
      <c r="L30" t="str">
        <f t="shared" si="3"/>
        <v/>
      </c>
      <c r="M30" t="str">
        <f t="shared" si="2"/>
        <v/>
      </c>
      <c r="N30" s="4" t="str">
        <f>IF(ISBLANK(D30),"",Open_time Control_1+(INT(L30)&amp;":"&amp;IF(ROUND(((L30-INT(L30))*60),0)&lt;10,0,"")&amp;ROUND(((L30-INT(L30))*60),0)))</f>
        <v/>
      </c>
      <c r="O30" s="4" t="str">
        <f>IF(ISBLANK(D30),"",Open_time Control_1+(INT(M30)&amp;":"&amp;IF(ROUND(((M30-INT(M30))*60),0)&lt;10,0,"")&amp;ROUND(((M30-INT(M30))*60),0)))</f>
        <v/>
      </c>
    </row>
    <row r="31" spans="2:26" ht="17.100000000000001" customHeight="1">
      <c r="D31" s="15"/>
      <c r="E31" s="34"/>
      <c r="F31" s="35"/>
      <c r="G31" s="35"/>
      <c r="H31" s="36"/>
      <c r="I31" s="35"/>
      <c r="J31" s="35"/>
      <c r="K31" s="36"/>
      <c r="L31" t="str">
        <f t="shared" si="3"/>
        <v/>
      </c>
      <c r="M31" t="str">
        <f t="shared" si="2"/>
        <v/>
      </c>
      <c r="N31" s="4" t="str">
        <f>IF(ISBLANK(D31),"",Open_time Control_1+(INT(L31)&amp;":"&amp;IF(ROUND(((L31-INT(L31))*60),0)&lt;10,0,"")&amp;ROUND(((L31-INT(L31))*60),0)))</f>
        <v/>
      </c>
      <c r="O31" s="4" t="str">
        <f>IF(ISBLANK(D31),"",Open_time Control_1+(INT(M31)&amp;":"&amp;IF(ROUND(((M31-INT(M31))*60),0)&lt;10,0,"")&amp;ROUND(((M31-INT(M31))*60),0)))</f>
        <v/>
      </c>
    </row>
    <row r="32" spans="2:26" ht="17.100000000000001" customHeight="1">
      <c r="D32" s="15"/>
      <c r="E32" s="34"/>
      <c r="F32" s="35"/>
      <c r="G32" s="35"/>
      <c r="H32" s="36"/>
      <c r="I32" s="35"/>
      <c r="J32" s="35"/>
      <c r="K32" s="36"/>
      <c r="L32" t="str">
        <f t="shared" si="3"/>
        <v/>
      </c>
      <c r="M32" t="str">
        <f t="shared" si="2"/>
        <v/>
      </c>
      <c r="N32" s="4" t="str">
        <f>IF(ISBLANK(D32),"",Open_time Control_1+(INT(L32)&amp;":"&amp;IF(ROUND(((L32-INT(L32))*60),0)&lt;10,0,"")&amp;ROUND(((L32-INT(L32))*60),0)))</f>
        <v/>
      </c>
      <c r="O32" s="4" t="str">
        <f>IF(ISBLANK(D32),"",Open_time Control_1+(INT(M32)&amp;":"&amp;IF(ROUND(((M32-INT(M32))*60),0)&lt;10,0,"")&amp;ROUND(((M32-INT(M32))*60),0)))</f>
        <v/>
      </c>
    </row>
    <row r="33" spans="4:15" ht="17.100000000000001" customHeight="1">
      <c r="D33" s="15"/>
      <c r="E33" s="34"/>
      <c r="F33" s="35"/>
      <c r="G33" s="35"/>
      <c r="H33" s="36"/>
      <c r="I33" s="35"/>
      <c r="J33" s="35"/>
      <c r="K33" s="36"/>
      <c r="L33" t="str">
        <f t="shared" si="3"/>
        <v/>
      </c>
      <c r="M33" t="str">
        <f t="shared" si="2"/>
        <v/>
      </c>
      <c r="N33" s="4" t="str">
        <f>IF(ISBLANK(D33),"",Open_time Control_1+(INT(L33)&amp;":"&amp;IF(ROUND(((L33-INT(L33))*60),0)&lt;10,0,"")&amp;ROUND(((L33-INT(L33))*60),0)))</f>
        <v/>
      </c>
      <c r="O33" s="4" t="str">
        <f>IF(ISBLANK(D33),"",Open_time Control_1+(INT(M33)&amp;":"&amp;IF(ROUND(((M33-INT(M33))*60),0)&lt;10,0,"")&amp;ROUND(((M33-INT(M33))*60),0)))</f>
        <v/>
      </c>
    </row>
    <row r="34" spans="4:15" ht="17.100000000000001" customHeight="1">
      <c r="D34" s="15"/>
      <c r="E34" s="34"/>
      <c r="F34" s="35"/>
      <c r="G34" s="35"/>
      <c r="H34" s="36"/>
      <c r="I34" s="35"/>
      <c r="J34" s="35"/>
      <c r="K34" s="36"/>
      <c r="L34" t="str">
        <f t="shared" si="3"/>
        <v/>
      </c>
      <c r="M34" t="str">
        <f t="shared" si="2"/>
        <v/>
      </c>
      <c r="N34" s="4" t="str">
        <f>IF(ISBLANK(D34),"",Open_time Control_1+(INT(L34)&amp;":"&amp;IF(ROUND(((L34-INT(L34))*60),0)&lt;10,0,"")&amp;ROUND(((L34-INT(L34))*60),0)))</f>
        <v/>
      </c>
      <c r="O34" s="4" t="str">
        <f>IF(ISBLANK(D34),"",Open_time Control_1+(INT(M34)&amp;":"&amp;IF(ROUND(((M34-INT(M34))*60),0)&lt;10,0,"")&amp;ROUND(((M34-INT(M34))*60),0)))</f>
        <v/>
      </c>
    </row>
    <row r="35" spans="4:15" ht="17.100000000000001" customHeight="1">
      <c r="D35" s="15"/>
      <c r="E35" s="34"/>
      <c r="F35" s="35"/>
      <c r="G35" s="35"/>
      <c r="H35" s="36"/>
      <c r="I35" s="35"/>
      <c r="J35" s="35"/>
      <c r="K35" s="36"/>
      <c r="L35" t="str">
        <f t="shared" si="3"/>
        <v/>
      </c>
      <c r="M35" t="str">
        <f t="shared" si="2"/>
        <v/>
      </c>
      <c r="N35" s="4" t="str">
        <f>IF(ISBLANK(D35),"",Open_time Control_1+(INT(L35)&amp;":"&amp;IF(ROUND(((L35-INT(L35))*60),0)&lt;10,0,"")&amp;ROUND(((L35-INT(L35))*60),0)))</f>
        <v/>
      </c>
      <c r="O35" s="4" t="str">
        <f>IF(ISBLANK(D35),"",Open_time Control_1+(INT(M35)&amp;":"&amp;IF(ROUND(((M35-INT(M35))*60),0)&lt;10,0,"")&amp;ROUND(((M35-INT(M35))*60),0)))</f>
        <v/>
      </c>
    </row>
    <row r="36" spans="4:15" ht="17.100000000000001" customHeight="1">
      <c r="D36" s="15"/>
      <c r="E36" s="34"/>
      <c r="F36" s="35"/>
      <c r="G36" s="35"/>
      <c r="H36" s="36"/>
      <c r="I36" s="35"/>
      <c r="J36" s="35"/>
      <c r="K36" s="36"/>
      <c r="L36" t="str">
        <f t="shared" si="3"/>
        <v/>
      </c>
      <c r="M36" t="str">
        <f t="shared" si="2"/>
        <v/>
      </c>
      <c r="N36" s="4" t="str">
        <f>IF(ISBLANK(D36),"",Open_time Control_1+(INT(L36)&amp;":"&amp;IF(ROUND(((L36-INT(L36))*60),0)&lt;10,0,"")&amp;ROUND(((L36-INT(L36))*60),0)))</f>
        <v/>
      </c>
      <c r="O36" s="4" t="str">
        <f>IF(ISBLANK(D36),"",Open_time Control_1+(INT(M36)&amp;":"&amp;IF(ROUND(((M36-INT(M36))*60),0)&lt;10,0,"")&amp;ROUND(((M36-INT(M36))*60),0)))</f>
        <v/>
      </c>
    </row>
    <row r="37" spans="4:15" ht="17.100000000000001" customHeight="1" thickBot="1">
      <c r="D37" s="20"/>
      <c r="E37" s="34"/>
      <c r="F37" s="35"/>
      <c r="G37" s="35"/>
      <c r="H37" s="36"/>
      <c r="I37" s="35"/>
      <c r="J37" s="35"/>
      <c r="K37" s="36"/>
      <c r="L37" t="str">
        <f t="shared" si="3"/>
        <v/>
      </c>
      <c r="M37" t="str">
        <f t="shared" si="2"/>
        <v/>
      </c>
      <c r="N37" s="4" t="str">
        <f>IF(ISBLANK(D37),"",Open_time Control_1+(INT(L37)&amp;":"&amp;IF(ROUND(((L37-INT(L37))*60),0)&lt;10,0,"")&amp;ROUND(((L37-INT(L37))*60),0)))</f>
        <v/>
      </c>
      <c r="O37" s="4" t="str">
        <f>IF(ISBLANK(D37),"",Open_time Control_1+(INT(M37)&amp;":"&amp;IF(ROUND(((M37-INT(M37))*60),0)&lt;10,0,"")&amp;ROUND(((M37-INT(M37))*60),0)))</f>
        <v/>
      </c>
    </row>
  </sheetData>
  <sheetProtection algorithmName="SHA-512" hashValue="ZYQin6v6E0iNpcC9I7+9b2Dn0/bi5OBt8ww5WOuVvda6CZVMZiQgmrJGLfp99jaxUhYX7AQrWS8mD11fp+52iA==" saltValue="KrE9Ta/PW+LsyQkuSQ1AQA==" spinCount="100000" sheet="1" objects="1" scenarios="1" formatCells="0" selectLockedCells="1"/>
  <mergeCells count="8">
    <mergeCell ref="D26:H26"/>
    <mergeCell ref="I26:K26"/>
    <mergeCell ref="A1:G1"/>
    <mergeCell ref="B8:F8"/>
    <mergeCell ref="Q1:AF4"/>
    <mergeCell ref="J6:K6"/>
    <mergeCell ref="D13:H13"/>
    <mergeCell ref="I13:K13"/>
  </mergeCells>
  <phoneticPr fontId="13" type="noConversion"/>
  <pageMargins left="0.75" right="0.75" top="1" bottom="1" header="0.5" footer="0.5"/>
  <pageSetup orientation="portrait" horizontalDpi="4294967292" verticalDpi="4294967292"/>
  <headerFooter>
    <oddHeader>&amp;A</oddHeader>
    <oddFooter>Page &amp;P</oddFooter>
  </headerFooter>
  <legacyDrawing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014ED8-B2B3-3C4A-953E-40C153A6C07C}">
  <sheetPr>
    <pageSetUpPr fitToPage="1"/>
  </sheetPr>
  <dimension ref="B1:O57"/>
  <sheetViews>
    <sheetView topLeftCell="A52" zoomScale="115" zoomScaleNormal="115" zoomScalePageLayoutView="75" workbookViewId="0">
      <selection activeCell="D54" sqref="D54"/>
    </sheetView>
  </sheetViews>
  <sheetFormatPr defaultColWidth="8.85546875" defaultRowHeight="12.95"/>
  <cols>
    <col min="1" max="1" width="1.85546875" customWidth="1"/>
    <col min="2" max="2" width="12.85546875" customWidth="1"/>
    <col min="3" max="4" width="15.85546875" customWidth="1"/>
    <col min="5" max="5" width="25.85546875" customWidth="1"/>
    <col min="6" max="6" width="40.85546875" customWidth="1"/>
    <col min="7" max="7" width="12.85546875" customWidth="1"/>
    <col min="8" max="8" width="25.85546875" customWidth="1"/>
    <col min="9" max="9" width="30.85546875" customWidth="1"/>
    <col min="10" max="10" width="25.85546875" customWidth="1"/>
    <col min="11" max="11" width="1.85546875" customWidth="1"/>
    <col min="12" max="12" width="8.85546875" customWidth="1"/>
  </cols>
  <sheetData>
    <row r="1" spans="2:15">
      <c r="K1" s="75"/>
      <c r="L1" s="75"/>
      <c r="M1" s="75"/>
    </row>
    <row r="2" spans="2:15" ht="18">
      <c r="C2" s="115" t="s">
        <v>105</v>
      </c>
      <c r="D2" s="115"/>
      <c r="E2" s="115"/>
      <c r="F2" s="115"/>
      <c r="G2" s="55"/>
      <c r="H2" s="55"/>
      <c r="I2" s="78" t="s">
        <v>106</v>
      </c>
      <c r="J2" s="79">
        <f>'Control Entry'!B4</f>
        <v>45796</v>
      </c>
      <c r="K2" s="55"/>
      <c r="L2" s="55"/>
    </row>
    <row r="3" spans="2:15" ht="45" customHeight="1">
      <c r="D3" s="12"/>
      <c r="E3" s="124" t="s">
        <v>107</v>
      </c>
      <c r="F3" s="124"/>
      <c r="G3" s="124"/>
      <c r="H3" s="124"/>
      <c r="I3" s="66" t="s">
        <v>108</v>
      </c>
      <c r="J3" s="71">
        <f>IF(ISBLANK(Brevet_Number),"",Brevet_Number)</f>
        <v>5510</v>
      </c>
      <c r="K3" s="39"/>
      <c r="L3" s="39"/>
    </row>
    <row r="4" spans="2:15" ht="20.100000000000001" customHeight="1">
      <c r="C4" s="12"/>
      <c r="E4" s="125" t="str">
        <f>IF(ISBLANK(Brevet_Length),"",Brevet_Length&amp;" km Randonnée")</f>
        <v>600 km Randonnée</v>
      </c>
      <c r="F4" s="125"/>
      <c r="G4" s="125"/>
      <c r="H4" s="125"/>
      <c r="K4" s="51"/>
      <c r="L4" s="51"/>
    </row>
    <row r="5" spans="2:15" ht="20.100000000000001" customHeight="1">
      <c r="D5" s="52"/>
      <c r="E5" s="123" t="str">
        <f>IF(ISBLANK(Brevet_Description),"",Brevet_Description)</f>
        <v>LM Hope and Desperation 600</v>
      </c>
      <c r="F5" s="123"/>
      <c r="G5" s="123"/>
      <c r="H5" s="123"/>
      <c r="I5" s="74"/>
      <c r="J5" s="52"/>
      <c r="K5" s="52"/>
      <c r="L5" s="52"/>
    </row>
    <row r="6" spans="2:15" ht="20.100000000000001">
      <c r="D6" s="67"/>
      <c r="E6" s="123"/>
      <c r="F6" s="123"/>
      <c r="G6" s="123"/>
      <c r="H6" s="123"/>
      <c r="I6" s="74"/>
      <c r="J6" s="67"/>
      <c r="K6" s="52"/>
      <c r="L6" s="52"/>
    </row>
    <row r="7" spans="2:15" ht="24.95" customHeight="1">
      <c r="C7" s="119"/>
      <c r="D7" s="119"/>
      <c r="E7" s="119"/>
      <c r="F7" s="119"/>
      <c r="H7" s="121"/>
    </row>
    <row r="8" spans="2:15" ht="21" thickBot="1">
      <c r="B8" s="17" t="s">
        <v>109</v>
      </c>
      <c r="C8" s="120"/>
      <c r="D8" s="120"/>
      <c r="E8" s="120"/>
      <c r="F8" s="120"/>
      <c r="G8" s="17" t="s">
        <v>110</v>
      </c>
      <c r="H8" s="122"/>
      <c r="I8" s="53"/>
      <c r="J8" s="53"/>
      <c r="K8" s="53"/>
    </row>
    <row r="9" spans="2:15" ht="21.95" customHeight="1">
      <c r="B9" s="58"/>
      <c r="C9" s="58"/>
      <c r="D9" s="58"/>
      <c r="E9" s="58"/>
      <c r="F9" s="54"/>
      <c r="G9" s="60"/>
      <c r="H9" s="60"/>
      <c r="I9" s="60"/>
      <c r="J9" s="54"/>
    </row>
    <row r="10" spans="2:15" ht="20.100000000000001" customHeight="1">
      <c r="B10" s="117" t="s">
        <v>111</v>
      </c>
      <c r="C10" s="117"/>
      <c r="D10" s="64" t="s">
        <v>112</v>
      </c>
      <c r="E10" s="118" t="s">
        <v>113</v>
      </c>
      <c r="F10" s="118"/>
      <c r="G10" s="118"/>
      <c r="H10" s="70"/>
      <c r="I10" s="59"/>
      <c r="J10" s="59"/>
      <c r="K10" s="19"/>
      <c r="L10" s="126"/>
      <c r="M10" s="126"/>
      <c r="N10" s="126"/>
      <c r="O10" s="126"/>
    </row>
    <row r="11" spans="2:15" ht="23.1">
      <c r="B11" s="58"/>
      <c r="C11" s="58" t="s">
        <v>114</v>
      </c>
      <c r="D11" s="58"/>
      <c r="E11" s="58"/>
      <c r="F11" s="54"/>
      <c r="G11" s="60"/>
      <c r="H11" s="60"/>
      <c r="I11" s="60"/>
      <c r="J11" s="54"/>
    </row>
    <row r="12" spans="2:15" ht="21.95" thickBot="1">
      <c r="D12" s="140" t="s">
        <v>19</v>
      </c>
      <c r="E12" s="140"/>
      <c r="F12" s="69">
        <f>IF(ISBLANK('Control Entry'!B12),"",'Control Entry'!B12)</f>
        <v>45801</v>
      </c>
      <c r="G12" s="73"/>
      <c r="H12" s="17" t="s">
        <v>115</v>
      </c>
      <c r="I12" s="68">
        <f>IF(ISBLANK('Control Entry'!B13),"",'Control Entry'!B13)</f>
        <v>0.25</v>
      </c>
      <c r="J12" s="23"/>
    </row>
    <row r="13" spans="2:15" ht="20.100000000000001">
      <c r="D13" s="22"/>
      <c r="E13" s="22"/>
      <c r="F13" s="21"/>
      <c r="G13" s="21"/>
      <c r="H13" s="21"/>
      <c r="L13" s="23"/>
      <c r="M13" s="23"/>
      <c r="N13" s="23"/>
    </row>
    <row r="14" spans="2:15" ht="21" thickBot="1">
      <c r="D14" s="140" t="s">
        <v>116</v>
      </c>
      <c r="E14" s="140"/>
      <c r="F14" s="69"/>
      <c r="G14" s="73"/>
      <c r="H14" s="17" t="s">
        <v>117</v>
      </c>
      <c r="I14" s="68"/>
      <c r="J14" s="23"/>
      <c r="L14" s="45"/>
      <c r="M14" s="45"/>
      <c r="N14" s="45"/>
    </row>
    <row r="15" spans="2:15" ht="20.100000000000001">
      <c r="B15" s="22"/>
      <c r="C15" s="22"/>
      <c r="D15" s="21"/>
      <c r="E15" s="21"/>
      <c r="H15" s="21"/>
    </row>
    <row r="16" spans="2:15" ht="21" thickBot="1">
      <c r="C16" s="65"/>
      <c r="D16" s="65"/>
      <c r="E16" s="65"/>
      <c r="F16" s="65"/>
      <c r="H16" s="17" t="s">
        <v>118</v>
      </c>
      <c r="I16" s="68"/>
      <c r="J16" s="23"/>
      <c r="L16" s="45"/>
      <c r="M16" s="45"/>
      <c r="N16" s="45"/>
    </row>
    <row r="17" spans="2:15" ht="20.100000000000001">
      <c r="C17" s="141" t="s">
        <v>119</v>
      </c>
      <c r="D17" s="141"/>
      <c r="E17" s="141"/>
      <c r="F17" s="141"/>
      <c r="G17" s="19"/>
      <c r="H17" s="19"/>
      <c r="I17" s="136"/>
      <c r="J17" s="136"/>
      <c r="K17" s="19"/>
      <c r="L17" s="126"/>
      <c r="M17" s="126"/>
      <c r="N17" s="126"/>
      <c r="O17" s="126"/>
    </row>
    <row r="18" spans="2:15" ht="6" customHeight="1" thickBot="1">
      <c r="B18" s="61"/>
      <c r="C18" s="61"/>
      <c r="D18" s="61"/>
      <c r="E18" s="61"/>
      <c r="F18" s="62"/>
      <c r="G18" s="63"/>
      <c r="H18" s="63"/>
      <c r="I18" s="63"/>
      <c r="J18" s="62"/>
    </row>
    <row r="19" spans="2:15" ht="21.95" thickTop="1" thickBot="1">
      <c r="B19" s="116" t="s">
        <v>120</v>
      </c>
      <c r="C19" s="116"/>
      <c r="D19" s="116"/>
      <c r="E19" s="116"/>
      <c r="F19" s="116"/>
      <c r="G19" s="116"/>
      <c r="H19" s="116"/>
      <c r="I19" s="116"/>
      <c r="J19" s="116"/>
    </row>
    <row r="20" spans="2:15" ht="20.100000000000001" thickBot="1">
      <c r="B20" s="50" t="s">
        <v>121</v>
      </c>
      <c r="C20" s="8" t="s">
        <v>33</v>
      </c>
      <c r="D20" s="8" t="s">
        <v>34</v>
      </c>
      <c r="E20" s="8" t="s">
        <v>26</v>
      </c>
      <c r="F20" s="8" t="s">
        <v>122</v>
      </c>
      <c r="G20" s="137" t="s">
        <v>123</v>
      </c>
      <c r="H20" s="138"/>
      <c r="I20" s="139"/>
      <c r="J20" s="50" t="s">
        <v>124</v>
      </c>
    </row>
    <row r="21" spans="2:15" ht="39.950000000000003" customHeight="1">
      <c r="B21" s="89"/>
      <c r="C21" s="101">
        <f ca="1">Control_1 Open_time</f>
        <v>45801.25</v>
      </c>
      <c r="D21" s="101">
        <f ca="1">Control_1 Close_time</f>
        <v>45801.291666666664</v>
      </c>
      <c r="E21" s="90"/>
      <c r="F21" s="91" t="str">
        <f ca="1">IF(ISBLANK(Control_1 Establishment_1),"",Control_1 Establishment_1)</f>
        <v>McDonald's</v>
      </c>
      <c r="G21" s="130" t="str">
        <f>IF(ISBLANK('Control Entry'!I15),"",'Control Entry'!I15)</f>
        <v>Staffed control</v>
      </c>
      <c r="H21" s="131"/>
      <c r="I21" s="132"/>
      <c r="J21" s="92"/>
    </row>
    <row r="22" spans="2:15" ht="39.950000000000003" customHeight="1">
      <c r="B22" s="93">
        <f ca="1">IF(ISBLANK(Distance Control_1),"",Control_1 Distance)</f>
        <v>0</v>
      </c>
      <c r="C22" s="94">
        <f ca="1">Control_1 Open_time</f>
        <v>45801.25</v>
      </c>
      <c r="D22" s="94">
        <f ca="1">Control_1 Close_time</f>
        <v>45801.291666666664</v>
      </c>
      <c r="E22" s="91" t="str">
        <f ca="1">IF(ISBLANK(Locale Control_1),"",Locale Control_1)</f>
        <v>Vancouver</v>
      </c>
      <c r="F22" s="91" t="str">
        <f ca="1">IF(ISBLANK(Control_1 Establishment_2),"",Control_1 Establishment_2)</f>
        <v>3695 Lougheed Hwy</v>
      </c>
      <c r="G22" s="133" t="str">
        <f>IF(ISBLANK('Control Entry'!J15),"",'Control Entry'!J15)</f>
        <v/>
      </c>
      <c r="H22" s="134"/>
      <c r="I22" s="135"/>
      <c r="J22" s="95"/>
    </row>
    <row r="23" spans="2:15" ht="39.950000000000003" customHeight="1" thickBot="1">
      <c r="B23" s="96"/>
      <c r="C23" s="102">
        <f ca="1">Control_1 Open_time</f>
        <v>45801.25</v>
      </c>
      <c r="D23" s="102">
        <f ca="1">Control_1 Close_time</f>
        <v>45801.291666666664</v>
      </c>
      <c r="E23" s="97"/>
      <c r="F23" s="98" t="str">
        <f ca="1">IF(ISBLANK(Control_1 Establishment_3),"",Control_1 Establishment_3)</f>
        <v>@ Boundary Rd</v>
      </c>
      <c r="G23" s="127" t="str">
        <f>IF(ISBLANK('Control Entry'!K15),"",'Control Entry'!K15)</f>
        <v/>
      </c>
      <c r="H23" s="128"/>
      <c r="I23" s="129"/>
      <c r="J23" s="99"/>
    </row>
    <row r="24" spans="2:15" ht="39.950000000000003" customHeight="1">
      <c r="B24" s="89"/>
      <c r="C24" s="101">
        <f ca="1">Control_2 Open_time</f>
        <v>45801.331250000003</v>
      </c>
      <c r="D24" s="101">
        <f ca="1">Control_2 Close_time</f>
        <v>45801.433333333334</v>
      </c>
      <c r="E24" s="100"/>
      <c r="F24" s="91" t="str">
        <f ca="1">IF(ISBLANK(Control_2 Establishment_1),"",Control_2 Establishment_1)</f>
        <v/>
      </c>
      <c r="G24" s="130" t="str">
        <f>IF(ISBLANK('Control Entry'!I16),"",'Control Entry'!I16)</f>
        <v>Staffed control</v>
      </c>
      <c r="H24" s="131"/>
      <c r="I24" s="132"/>
      <c r="J24" s="92"/>
    </row>
    <row r="25" spans="2:15" ht="39.950000000000003" customHeight="1">
      <c r="B25" s="93">
        <f ca="1">IF(ISBLANK(Distance Control_2),"",Control_2 Distance)</f>
        <v>66.099999999999994</v>
      </c>
      <c r="C25" s="94">
        <f ca="1">Control_2 Open_time</f>
        <v>45801.331250000003</v>
      </c>
      <c r="D25" s="94">
        <f ca="1">Control_2 Close_time</f>
        <v>45801.433333333334</v>
      </c>
      <c r="E25" s="91" t="str">
        <f ca="1">IF(ISBLANK(Locale Control_2),"",Locale Control_2)</f>
        <v>Britannia Beach</v>
      </c>
      <c r="F25" s="91" t="str">
        <f ca="1">IF(ISBLANK(Control_2 Establishment_2),"",Control_2 Establishment_2)</f>
        <v>Outbound Station</v>
      </c>
      <c r="G25" s="133" t="str">
        <f>IF(ISBLANK('Control Entry'!J16),"",'Control Entry'!J16)</f>
        <v/>
      </c>
      <c r="H25" s="134"/>
      <c r="I25" s="135"/>
      <c r="J25" s="95"/>
    </row>
    <row r="26" spans="2:15" ht="39.950000000000003" customHeight="1" thickBot="1">
      <c r="B26" s="96"/>
      <c r="C26" s="102">
        <f ca="1">Control_2 Open_time</f>
        <v>45801.331250000003</v>
      </c>
      <c r="D26" s="102">
        <f ca="1">Control_2 Close_time</f>
        <v>45801.433333333334</v>
      </c>
      <c r="E26" s="97"/>
      <c r="F26" s="98" t="str">
        <f ca="1">IF(ISBLANK(Control_2 Establishment_3),"",Control_2 Establishment_3)</f>
        <v/>
      </c>
      <c r="G26" s="127" t="str">
        <f>IF(ISBLANK('Control Entry'!K16),"",'Control Entry'!K16)</f>
        <v/>
      </c>
      <c r="H26" s="128"/>
      <c r="I26" s="129"/>
      <c r="J26" s="99"/>
    </row>
    <row r="27" spans="2:15" ht="39.950000000000003" customHeight="1">
      <c r="B27" s="89"/>
      <c r="C27" s="101">
        <f ca="1">Control_3 Open_time</f>
        <v>45801.481944444444</v>
      </c>
      <c r="D27" s="101">
        <f ca="1">Control_3 Close_time</f>
        <v>45801.775000000001</v>
      </c>
      <c r="E27" s="100"/>
      <c r="F27" s="91" t="str">
        <f ca="1">IF(ISBLANK(Control_3 Establishment_1),"",Control_3 Establishment_1)</f>
        <v>Hayward Lake Rec Area</v>
      </c>
      <c r="G27" s="130" t="str">
        <f>IF(ISBLANK('Control Entry'!I17),"",'Control Entry'!I17)</f>
        <v>How much time to hike both trails?</v>
      </c>
      <c r="H27" s="131"/>
      <c r="I27" s="132"/>
      <c r="J27" s="92"/>
    </row>
    <row r="28" spans="2:15" ht="39.950000000000003" customHeight="1">
      <c r="B28" s="93">
        <f ca="1">IF(ISBLANK(Distance Control_3),"",Control_3 Distance)</f>
        <v>189</v>
      </c>
      <c r="C28" s="94">
        <f ca="1">Control_3 Open_time</f>
        <v>45801.481944444444</v>
      </c>
      <c r="D28" s="94">
        <f ca="1">Control_3 Close_time</f>
        <v>45801.775000000001</v>
      </c>
      <c r="E28" s="91" t="str">
        <f ca="1">IF(ISBLANK(Locale Control_3),"",Locale Control_3)</f>
        <v>Stave Falls</v>
      </c>
      <c r="F28" s="91" t="str">
        <f ca="1">IF(ISBLANK(Control_3 Establishment_2),"",Control_3 Establishment_2)</f>
        <v>Info board by washroom,</v>
      </c>
      <c r="G28" s="133" t="str">
        <f>IF(ISBLANK('Control Entry'!J17),"",'Control Entry'!J17)</f>
        <v/>
      </c>
      <c r="H28" s="134"/>
      <c r="I28" s="135"/>
      <c r="J28" s="95"/>
    </row>
    <row r="29" spans="2:15" ht="39.950000000000003" customHeight="1" thickBot="1">
      <c r="B29" s="96"/>
      <c r="C29" s="102">
        <f ca="1">Control_3 Open_time</f>
        <v>45801.481944444444</v>
      </c>
      <c r="D29" s="102">
        <f ca="1">Control_3 Close_time</f>
        <v>45801.775000000001</v>
      </c>
      <c r="E29" s="97"/>
      <c r="F29" s="98" t="str">
        <f ca="1">IF(ISBLANK(Control_3 Establishment_3),"",Control_3 Establishment_3)</f>
        <v>bottom right of map</v>
      </c>
      <c r="G29" s="127" t="str">
        <f>IF(ISBLANK('Control Entry'!K17),"",'Control Entry'!K17)</f>
        <v/>
      </c>
      <c r="H29" s="128"/>
      <c r="I29" s="129"/>
      <c r="J29" s="99"/>
    </row>
    <row r="30" spans="2:15" ht="39.950000000000003" customHeight="1">
      <c r="B30" s="89"/>
      <c r="C30" s="101">
        <f ca="1">Control_4 Open_time</f>
        <v>45801.606944444444</v>
      </c>
      <c r="D30" s="101">
        <f ca="1">Control_4 Close_time</f>
        <v>45802.044444444444</v>
      </c>
      <c r="E30" s="100"/>
      <c r="F30" s="91" t="str">
        <f ca="1">IF(ISBLANK(Control_4 Establishment_1),"",Control_4 Establishment_1)</f>
        <v>Temporary Visitor Centre</v>
      </c>
      <c r="G30" s="130" t="str">
        <f>IF(ISBLANK('Control Entry'!I18),"",'Control Entry'!I18)</f>
        <v>Date on plaque?</v>
      </c>
      <c r="H30" s="131"/>
      <c r="I30" s="132"/>
      <c r="J30" s="92"/>
    </row>
    <row r="31" spans="2:15" ht="39.950000000000003" customHeight="1">
      <c r="B31" s="93">
        <f ca="1">IF(ISBLANK(Distance Control_4),"",Control_4 Distance)</f>
        <v>285.89999999999998</v>
      </c>
      <c r="C31" s="94">
        <f ca="1">Control_4 Open_time</f>
        <v>45801.606944444444</v>
      </c>
      <c r="D31" s="94">
        <f ca="1">Control_4 Close_time</f>
        <v>45802.044444444444</v>
      </c>
      <c r="E31" s="91" t="str">
        <f ca="1">IF(ISBLANK(Locale Control_4),"",Locale Control_4)</f>
        <v>Hope</v>
      </c>
      <c r="F31" s="91" t="str">
        <f ca="1">IF(ISBLANK(Control_4 Establishment_2),"",Control_4 Establishment_2)</f>
        <v>Plaque at flagpoles,</v>
      </c>
      <c r="G31" s="133" t="str">
        <f>IF(ISBLANK('Control Entry'!J18),"",'Control Entry'!J18)</f>
        <v/>
      </c>
      <c r="H31" s="134"/>
      <c r="I31" s="135"/>
      <c r="J31" s="95"/>
    </row>
    <row r="32" spans="2:15" ht="39.950000000000003" customHeight="1" thickBot="1">
      <c r="B32" s="96"/>
      <c r="C32" s="102">
        <f ca="1">Control_4 Open_time</f>
        <v>45801.606944444444</v>
      </c>
      <c r="D32" s="102">
        <f ca="1">Control_4 Close_time</f>
        <v>45802.044444444444</v>
      </c>
      <c r="E32" s="97"/>
      <c r="F32" s="98" t="str">
        <f ca="1">IF(ISBLANK(Control_4 Establishment_3),"",Control_4 Establishment_3)</f>
        <v>"Great point of view"</v>
      </c>
      <c r="G32" s="127" t="str">
        <f>IF(ISBLANK('Control Entry'!K18),"",'Control Entry'!K18)</f>
        <v/>
      </c>
      <c r="H32" s="128"/>
      <c r="I32" s="129"/>
      <c r="J32" s="99"/>
    </row>
    <row r="33" spans="2:10" ht="39.950000000000003" customHeight="1">
      <c r="B33" s="89"/>
      <c r="C33" s="101">
        <f ca="1">Control_5 Open_time</f>
        <v>45801.668749999997</v>
      </c>
      <c r="D33" s="101">
        <f ca="1">Control_5 Close_time</f>
        <v>45802.176388888889</v>
      </c>
      <c r="E33" s="100"/>
      <c r="F33" s="91" t="str">
        <f ca="1">IF(ISBLANK(Control_5 Establishment_1),"",Control_5 Establishment_1)</f>
        <v>Camp River Rd</v>
      </c>
      <c r="G33" s="130" t="str">
        <f>IF(ISBLANK('Control Entry'!I19),"",'Control Entry'!I19)</f>
        <v>Two-digit number on back of "3 way"?</v>
      </c>
      <c r="H33" s="131"/>
      <c r="I33" s="132"/>
      <c r="J33" s="92"/>
    </row>
    <row r="34" spans="2:10" ht="39.950000000000003" customHeight="1">
      <c r="B34" s="93">
        <f ca="1">IF(ISBLANK(Distance Control_5),"",Control_5 Distance)</f>
        <v>333.6</v>
      </c>
      <c r="C34" s="94">
        <f ca="1">Control_5 Open_time</f>
        <v>45801.668749999997</v>
      </c>
      <c r="D34" s="94">
        <f ca="1">Control_5 Close_time</f>
        <v>45802.176388888889</v>
      </c>
      <c r="E34" s="91" t="str">
        <f ca="1">IF(ISBLANK(Locale Control_5),"",Locale Control_5)</f>
        <v>Chilliwack</v>
      </c>
      <c r="F34" s="91" t="str">
        <f ca="1">IF(ISBLANK(Control_5 Establishment_2),"",Control_5 Establishment_2)</f>
        <v>@ Reeves Rd</v>
      </c>
      <c r="G34" s="133" t="str">
        <f>IF(ISBLANK('Control Entry'!J19),"",'Control Entry'!J19)</f>
        <v/>
      </c>
      <c r="H34" s="134"/>
      <c r="I34" s="135"/>
      <c r="J34" s="95"/>
    </row>
    <row r="35" spans="2:10" ht="39.950000000000003" customHeight="1" thickBot="1">
      <c r="B35" s="96"/>
      <c r="C35" s="102">
        <f ca="1">Control_5 Open_time</f>
        <v>45801.668749999997</v>
      </c>
      <c r="D35" s="102">
        <f ca="1">Control_5 Close_time</f>
        <v>45802.176388888889</v>
      </c>
      <c r="E35" s="97"/>
      <c r="F35" s="98" t="str">
        <f ca="1">IF(ISBLANK(Control_5 Establishment_3),"",Control_5 Establishment_3)</f>
        <v>Our westbound stop sign</v>
      </c>
      <c r="G35" s="127" t="str">
        <f>IF(ISBLANK('Control Entry'!K19),"",'Control Entry'!K19)</f>
        <v/>
      </c>
      <c r="H35" s="128"/>
      <c r="I35" s="129"/>
      <c r="J35" s="99"/>
    </row>
    <row r="36" spans="2:10" ht="39.950000000000003" customHeight="1">
      <c r="B36" s="89"/>
      <c r="C36" s="101">
        <f ca="1">Control_6 Open_time</f>
        <v>45801.71875</v>
      </c>
      <c r="D36" s="101">
        <f ca="1">Control_6 Close_time</f>
        <v>45802.281944444447</v>
      </c>
      <c r="E36" s="100"/>
      <c r="F36" s="91" t="str">
        <f ca="1">IF(ISBLANK(Control_6 Establishment_1),"",Control_6 Establishment_1)</f>
        <v>Iverson Rd</v>
      </c>
      <c r="G36" s="130" t="str">
        <f>IF(ISBLANK('Control Entry'!I20),"",'Control Entry'!I20)</f>
        <v>Two-digit number on back (upside-down)?</v>
      </c>
      <c r="H36" s="131"/>
      <c r="I36" s="132"/>
      <c r="J36" s="92"/>
    </row>
    <row r="37" spans="2:10" ht="39.950000000000003" customHeight="1">
      <c r="B37" s="93">
        <f ca="1">IF(ISBLANK(Distance Control_6),"",Control_6 Distance)</f>
        <v>371.5</v>
      </c>
      <c r="C37" s="94">
        <f ca="1">Control_6 Open_time</f>
        <v>45801.71875</v>
      </c>
      <c r="D37" s="94">
        <f ca="1">Control_6 Close_time</f>
        <v>45802.281944444447</v>
      </c>
      <c r="E37" s="91" t="str">
        <f ca="1">IF(ISBLANK(Locale Control_6),"",Locale Control_6)</f>
        <v>Columbia Valley</v>
      </c>
      <c r="F37" s="91" t="str">
        <f ca="1">IF(ISBLANK(Control_6 Establishment_2),"",Control_6 Establishment_2)</f>
        <v>@ Henderson Rd</v>
      </c>
      <c r="G37" s="133" t="str">
        <f>IF(ISBLANK('Control Entry'!J20),"",'Control Entry'!J20)</f>
        <v/>
      </c>
      <c r="H37" s="134"/>
      <c r="I37" s="135"/>
      <c r="J37" s="95"/>
    </row>
    <row r="38" spans="2:10" ht="39.950000000000003" customHeight="1" thickBot="1">
      <c r="B38" s="96"/>
      <c r="C38" s="102">
        <f ca="1">Control_6 Open_time</f>
        <v>45801.71875</v>
      </c>
      <c r="D38" s="102">
        <f ca="1">Control_6 Close_time</f>
        <v>45802.281944444447</v>
      </c>
      <c r="E38" s="97"/>
      <c r="F38" s="98" t="str">
        <f ca="1">IF(ISBLANK(Control_6 Establishment_3),"",Control_6 Establishment_3)</f>
        <v>Big ◇ "→" caution sign</v>
      </c>
      <c r="G38" s="127" t="str">
        <f>IF(ISBLANK('Control Entry'!K20),"",'Control Entry'!K20)</f>
        <v/>
      </c>
      <c r="H38" s="128"/>
      <c r="I38" s="129"/>
      <c r="J38" s="99"/>
    </row>
    <row r="39" spans="2:10" ht="39.950000000000003" customHeight="1">
      <c r="B39" s="89"/>
      <c r="C39" s="101">
        <f ca="1">Control_7 Open_time</f>
        <v>45801.77847222222</v>
      </c>
      <c r="D39" s="101">
        <f ca="1">Control_7 Close_time</f>
        <v>45802.406944444447</v>
      </c>
      <c r="E39" s="100"/>
      <c r="F39" s="91" t="str">
        <f ca="1">IF(ISBLANK(Control_7 Establishment_1),"",Control_7 Establishment_1)</f>
        <v>Clarion Hotel</v>
      </c>
      <c r="G39" s="130" t="str">
        <f>IF(ISBLANK('Control Entry'!I21),"",'Control Entry'!I21)</f>
        <v>Boarded up by what construction company?</v>
      </c>
      <c r="H39" s="131"/>
      <c r="I39" s="132"/>
      <c r="J39" s="92"/>
    </row>
    <row r="40" spans="2:10" ht="39.950000000000003" customHeight="1">
      <c r="B40" s="93">
        <f ca="1">IF(ISBLANK(Distance Control_7),"",Control_7 Distance)</f>
        <v>416.4</v>
      </c>
      <c r="C40" s="94">
        <f ca="1">Control_7 Open_time</f>
        <v>45801.77847222222</v>
      </c>
      <c r="D40" s="94">
        <f ca="1">Control_7 Close_time</f>
        <v>45802.406944444447</v>
      </c>
      <c r="E40" s="91" t="str">
        <f ca="1">IF(ISBLANK(Locale Control_7),"",Locale Control_7)</f>
        <v>Abbotsford</v>
      </c>
      <c r="F40" s="91" t="str">
        <f ca="1">IF(ISBLANK(Control_7 Establishment_2),"",Control_7 Establishment_2)</f>
        <v>36035 N Parallel Rd</v>
      </c>
      <c r="G40" s="133" t="str">
        <f>IF(ISBLANK('Control Entry'!J21),"",'Control Entry'!J21)</f>
        <v/>
      </c>
      <c r="H40" s="134"/>
      <c r="I40" s="135"/>
      <c r="J40" s="95"/>
    </row>
    <row r="41" spans="2:10" ht="39.950000000000003" customHeight="1" thickBot="1">
      <c r="B41" s="96"/>
      <c r="C41" s="102">
        <f ca="1">Control_7 Open_time</f>
        <v>45801.77847222222</v>
      </c>
      <c r="D41" s="102">
        <f ca="1">Control_7 Close_time</f>
        <v>45802.406944444447</v>
      </c>
      <c r="E41" s="97"/>
      <c r="F41" s="98" t="str">
        <f ca="1">IF(ISBLANK(Control_7 Establishment_3),"",Control_7 Establishment_3)</f>
        <v>Exterior right of lobby</v>
      </c>
      <c r="G41" s="127" t="str">
        <f>IF(ISBLANK('Control Entry'!K21),"",'Control Entry'!K21)</f>
        <v/>
      </c>
      <c r="H41" s="128"/>
      <c r="I41" s="129"/>
      <c r="J41" s="99"/>
    </row>
    <row r="42" spans="2:10" ht="39.950000000000003" customHeight="1">
      <c r="B42" s="89"/>
      <c r="C42" s="101">
        <f ca="1">Control_8 Open_time</f>
        <v>45801.854861111111</v>
      </c>
      <c r="D42" s="101">
        <f ca="1">Control_8 Close_time</f>
        <v>45802.55972222222</v>
      </c>
      <c r="E42" s="100"/>
      <c r="F42" s="91" t="str">
        <f ca="1">IF(ISBLANK(Control_8 Establishment_1),"",Control_8 Establishment_1)</f>
        <v>Marine Dr</v>
      </c>
      <c r="G42" s="130" t="str">
        <f>IF(ISBLANK('Control Entry'!I22),"",'Control Entry'!I22)</f>
        <v>Company at bottom of "Safety first" sign?</v>
      </c>
      <c r="H42" s="131"/>
      <c r="I42" s="132"/>
      <c r="J42" s="92"/>
    </row>
    <row r="43" spans="2:10" ht="39.950000000000003" customHeight="1">
      <c r="B43" s="93">
        <f ca="1">IF(ISBLANK(Distance Control_8),"",Control_8 Distance)</f>
        <v>471.4</v>
      </c>
      <c r="C43" s="94">
        <f ca="1">Control_8 Open_time</f>
        <v>45801.854861111111</v>
      </c>
      <c r="D43" s="94">
        <f ca="1">Control_8 Close_time</f>
        <v>45802.55972222222</v>
      </c>
      <c r="E43" s="91" t="str">
        <f ca="1">IF(ISBLANK(Locale Control_8),"",Locale Control_8)</f>
        <v>Surrey</v>
      </c>
      <c r="F43" s="91" t="str">
        <f ca="1">IF(ISBLANK(Control_8 Establishment_2),"",Control_8 Establishment_2)</f>
        <v>@ 128 St</v>
      </c>
      <c r="G43" s="133" t="str">
        <f>IF(ISBLANK('Control Entry'!J22),"",'Control Entry'!J22)</f>
        <v/>
      </c>
      <c r="H43" s="134"/>
      <c r="I43" s="135"/>
      <c r="J43" s="95"/>
    </row>
    <row r="44" spans="2:10" ht="39.950000000000003" customHeight="1" thickBot="1">
      <c r="B44" s="96"/>
      <c r="C44" s="102">
        <f ca="1">Control_8 Open_time</f>
        <v>45801.854861111111</v>
      </c>
      <c r="D44" s="102">
        <f ca="1">Control_8 Close_time</f>
        <v>45802.55972222222</v>
      </c>
      <c r="E44" s="97"/>
      <c r="F44" s="98" t="str">
        <f ca="1">IF(ISBLANK(Control_8 Establishment_3),"",Control_8 Establishment_3)</f>
        <v>First Aid station</v>
      </c>
      <c r="G44" s="127" t="str">
        <f>IF(ISBLANK('Control Entry'!K22),"",'Control Entry'!K22)</f>
        <v/>
      </c>
      <c r="H44" s="128"/>
      <c r="I44" s="129"/>
      <c r="J44" s="99"/>
    </row>
    <row r="45" spans="2:10" ht="39.950000000000003" customHeight="1">
      <c r="B45" s="89"/>
      <c r="C45" s="101">
        <f ca="1">Control_9 Open_time</f>
        <v>45801.900694444441</v>
      </c>
      <c r="D45" s="101">
        <f ca="1">Control_9 Close_time</f>
        <v>45802.652083333334</v>
      </c>
      <c r="E45" s="100"/>
      <c r="F45" s="91" t="str">
        <f ca="1">IF(ISBLANK(Control_9 Establishment_1),"",Control_9 Establishment_1)</f>
        <v>Ladner Trunk Rd</v>
      </c>
      <c r="G45" s="130" t="str">
        <f>IF(ISBLANK('Control Entry'!I23),"",'Control Entry'!I23)</f>
        <v>Hampton Cove construction traffic do what?</v>
      </c>
      <c r="H45" s="131"/>
      <c r="I45" s="132"/>
      <c r="J45" s="92"/>
    </row>
    <row r="46" spans="2:10" ht="39.950000000000003" customHeight="1">
      <c r="B46" s="93">
        <f ca="1">IF(ISBLANK(Distance Control_9),"",Control_9 Distance)</f>
        <v>504.7</v>
      </c>
      <c r="C46" s="94">
        <f ca="1">Control_9 Open_time</f>
        <v>45801.900694444441</v>
      </c>
      <c r="D46" s="94">
        <f ca="1">Control_9 Close_time</f>
        <v>45802.652083333334</v>
      </c>
      <c r="E46" s="91" t="str">
        <f ca="1">IF(ISBLANK(Locale Control_9),"",Locale Control_9)</f>
        <v>Delta</v>
      </c>
      <c r="F46" s="91" t="str">
        <f ca="1">IF(ISBLANK(Control_9 Establishment_2),"",Control_9 Establishment_2)</f>
        <v>@ Elliot St</v>
      </c>
      <c r="G46" s="133" t="str">
        <f>IF(ISBLANK('Control Entry'!J23),"",'Control Entry'!J23)</f>
        <v/>
      </c>
      <c r="H46" s="134"/>
      <c r="I46" s="135"/>
      <c r="J46" s="95"/>
    </row>
    <row r="47" spans="2:10" ht="39.950000000000003" customHeight="1" thickBot="1">
      <c r="B47" s="96"/>
      <c r="C47" s="102">
        <f ca="1">Control_9 Open_time</f>
        <v>45801.900694444441</v>
      </c>
      <c r="D47" s="102">
        <f ca="1">Control_9 Close_time</f>
        <v>45802.652083333334</v>
      </c>
      <c r="E47" s="97"/>
      <c r="F47" s="98" t="str">
        <f ca="1">IF(ISBLANK(Control_9 Establishment_3),"",Control_9 Establishment_3)</f>
        <v>Orange sign before turn</v>
      </c>
      <c r="G47" s="127" t="str">
        <f>IF(ISBLANK('Control Entry'!K23),"",'Control Entry'!K23)</f>
        <v/>
      </c>
      <c r="H47" s="128"/>
      <c r="I47" s="129"/>
      <c r="J47" s="99"/>
    </row>
    <row r="48" spans="2:10" ht="39.950000000000003" customHeight="1">
      <c r="B48" s="89"/>
      <c r="C48" s="101">
        <f ca="1">Control_10 Open_time</f>
        <v>45801.965277777781</v>
      </c>
      <c r="D48" s="101">
        <f ca="1">Control_10 Close_time</f>
        <v>45802.779861111114</v>
      </c>
      <c r="E48" s="100"/>
      <c r="F48" s="91" t="str">
        <f ca="1">IF(ISBLANK(Control_10 Establishment_1),"",Control_10 Establishment_1)</f>
        <v>Moncton Rd</v>
      </c>
      <c r="G48" s="130" t="str">
        <f>IF(ISBLANK('Control Entry'!I24),"",'Control Entry'!I24)</f>
        <v>Date range for bus stop closure?</v>
      </c>
      <c r="H48" s="131"/>
      <c r="I48" s="132"/>
      <c r="J48" s="92"/>
    </row>
    <row r="49" spans="2:11" ht="39.950000000000003" customHeight="1">
      <c r="B49" s="93">
        <f ca="1">IF(ISBLANK(Distance Control_10),"",Control_10 Distance)</f>
        <v>550.79999999999995</v>
      </c>
      <c r="C49" s="94">
        <f ca="1">Control_10 Open_time</f>
        <v>45801.965277777781</v>
      </c>
      <c r="D49" s="94">
        <f ca="1">Control_10 Close_time</f>
        <v>45802.779861111114</v>
      </c>
      <c r="E49" s="91" t="str">
        <f ca="1">IF(ISBLANK(Locale Control_10),"",Locale Control_10)</f>
        <v>Richmond</v>
      </c>
      <c r="F49" s="91" t="str">
        <f ca="1">IF(ISBLANK(Control_10 Establishment_2),"",Control_10 Establishment_2)</f>
        <v>@ No 2 Rd</v>
      </c>
      <c r="G49" s="133" t="str">
        <f>IF(ISBLANK('Control Entry'!J24),"",'Control Entry'!J24)</f>
        <v/>
      </c>
      <c r="H49" s="134"/>
      <c r="I49" s="135"/>
      <c r="J49" s="95"/>
    </row>
    <row r="50" spans="2:11" ht="39.950000000000003" customHeight="1" thickBot="1">
      <c r="B50" s="96"/>
      <c r="C50" s="102">
        <f ca="1">Control_10 Open_time</f>
        <v>45801.965277777781</v>
      </c>
      <c r="D50" s="102">
        <f ca="1">Control_10 Close_time</f>
        <v>45802.779861111114</v>
      </c>
      <c r="E50" s="97"/>
      <c r="F50" s="98" t="str">
        <f ca="1">IF(ISBLANK(Control_10 Establishment_3),"",Control_10 Establishment_3)</f>
        <v>Bus stop 56590</v>
      </c>
      <c r="G50" s="127" t="str">
        <f>IF(ISBLANK('Control Entry'!K24),"",'Control Entry'!K24)</f>
        <v/>
      </c>
      <c r="H50" s="128"/>
      <c r="I50" s="129"/>
      <c r="J50" s="99"/>
    </row>
    <row r="51" spans="2:11" ht="12.75"/>
    <row r="52" spans="2:11" ht="24" customHeight="1">
      <c r="B52" s="114" t="s">
        <v>125</v>
      </c>
      <c r="C52" s="114"/>
      <c r="D52" s="114"/>
      <c r="E52" s="114"/>
      <c r="F52" s="114"/>
      <c r="G52" s="114"/>
      <c r="H52" s="114"/>
      <c r="I52" s="58" t="s">
        <v>126</v>
      </c>
      <c r="J52" s="81" t="str">
        <f>IF(ISBLANK('Control Entry'!F10),"",'Control Entry'!F10)</f>
        <v>604-721-0309</v>
      </c>
      <c r="K52" s="54"/>
    </row>
    <row r="53" spans="2:11" ht="12.75"/>
    <row r="54" spans="2:11">
      <c r="B54" s="76" t="s">
        <v>127</v>
      </c>
      <c r="C54" s="77">
        <f>'Control Entry'!B3</f>
        <v>45393</v>
      </c>
    </row>
    <row r="55" spans="2:11" ht="23.1">
      <c r="B55" s="58"/>
      <c r="C55" s="58"/>
      <c r="D55" s="58"/>
      <c r="E55" s="58"/>
      <c r="F55" s="54"/>
      <c r="G55" s="60"/>
      <c r="H55" s="60"/>
      <c r="I55" s="60"/>
      <c r="J55" s="54"/>
    </row>
    <row r="56" spans="2:11">
      <c r="E56" s="1"/>
    </row>
    <row r="57" spans="2:11">
      <c r="B57" s="56"/>
      <c r="C57" s="57"/>
      <c r="D57" s="57"/>
      <c r="E57" s="57"/>
      <c r="F57" s="142"/>
      <c r="G57" s="143"/>
      <c r="H57" s="143"/>
      <c r="I57" s="143"/>
      <c r="J57" s="143"/>
    </row>
  </sheetData>
  <mergeCells count="50">
    <mergeCell ref="G45:I45"/>
    <mergeCell ref="G46:I46"/>
    <mergeCell ref="G26:I26"/>
    <mergeCell ref="C17:F17"/>
    <mergeCell ref="G37:I37"/>
    <mergeCell ref="N17:O17"/>
    <mergeCell ref="F57:J57"/>
    <mergeCell ref="G48:I48"/>
    <mergeCell ref="G49:I49"/>
    <mergeCell ref="G50:I50"/>
    <mergeCell ref="G21:I21"/>
    <mergeCell ref="G22:I22"/>
    <mergeCell ref="G23:I23"/>
    <mergeCell ref="G24:I24"/>
    <mergeCell ref="G25:I25"/>
    <mergeCell ref="G29:I29"/>
    <mergeCell ref="G30:I30"/>
    <mergeCell ref="G31:I31"/>
    <mergeCell ref="L10:M10"/>
    <mergeCell ref="N10:O10"/>
    <mergeCell ref="G44:I44"/>
    <mergeCell ref="G38:I38"/>
    <mergeCell ref="G39:I39"/>
    <mergeCell ref="G40:I40"/>
    <mergeCell ref="G41:I41"/>
    <mergeCell ref="G42:I42"/>
    <mergeCell ref="G43:I43"/>
    <mergeCell ref="G32:I32"/>
    <mergeCell ref="G33:I33"/>
    <mergeCell ref="G34:I34"/>
    <mergeCell ref="G35:I35"/>
    <mergeCell ref="G36:I36"/>
    <mergeCell ref="I17:J17"/>
    <mergeCell ref="L17:M17"/>
    <mergeCell ref="B52:H52"/>
    <mergeCell ref="C2:F2"/>
    <mergeCell ref="B19:J19"/>
    <mergeCell ref="B10:C10"/>
    <mergeCell ref="E10:G10"/>
    <mergeCell ref="C7:F8"/>
    <mergeCell ref="H7:H8"/>
    <mergeCell ref="E5:H6"/>
    <mergeCell ref="E3:H3"/>
    <mergeCell ref="E4:H4"/>
    <mergeCell ref="G47:I47"/>
    <mergeCell ref="G20:I20"/>
    <mergeCell ref="D12:E12"/>
    <mergeCell ref="D14:E14"/>
    <mergeCell ref="G27:I27"/>
    <mergeCell ref="G28:I28"/>
  </mergeCells>
  <printOptions horizontalCentered="1" verticalCentered="1"/>
  <pageMargins left="0.39370078740157483" right="0.39370078740157483" top="0.39370078740157483" bottom="0.39370078740157483" header="0.15748031496062992" footer="0.15748031496062992"/>
  <pageSetup scale="37" orientation="portrait" horizontalDpi="0" verticalDpi="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DE900F-F270-644D-8463-167507B73A41}">
  <sheetPr>
    <pageSetUpPr fitToPage="1"/>
  </sheetPr>
  <dimension ref="B1:O57"/>
  <sheetViews>
    <sheetView topLeftCell="A10" zoomScale="115" zoomScaleNormal="115" zoomScalePageLayoutView="75" workbookViewId="0">
      <selection activeCell="B53" sqref="B53"/>
    </sheetView>
  </sheetViews>
  <sheetFormatPr defaultColWidth="8.85546875" defaultRowHeight="12.95"/>
  <cols>
    <col min="1" max="1" width="1.85546875" customWidth="1"/>
    <col min="2" max="2" width="12.85546875" customWidth="1"/>
    <col min="3" max="4" width="15.85546875" customWidth="1"/>
    <col min="5" max="5" width="25.85546875" customWidth="1"/>
    <col min="6" max="6" width="40.85546875" customWidth="1"/>
    <col min="7" max="7" width="12.85546875" customWidth="1"/>
    <col min="8" max="8" width="25.85546875" customWidth="1"/>
    <col min="9" max="9" width="30.85546875" customWidth="1"/>
    <col min="10" max="10" width="25.85546875" customWidth="1"/>
    <col min="11" max="11" width="1.85546875" customWidth="1"/>
    <col min="12" max="12" width="8.85546875" customWidth="1"/>
  </cols>
  <sheetData>
    <row r="1" spans="2:15">
      <c r="K1" s="75"/>
      <c r="L1" s="75"/>
      <c r="M1" s="75"/>
    </row>
    <row r="2" spans="2:15" ht="18">
      <c r="C2" s="115" t="s">
        <v>105</v>
      </c>
      <c r="D2" s="115"/>
      <c r="E2" s="115"/>
      <c r="F2" s="115"/>
      <c r="G2" s="55"/>
      <c r="H2" s="55"/>
      <c r="I2" s="78" t="s">
        <v>106</v>
      </c>
      <c r="J2" s="79">
        <f>'Control Entry'!B4</f>
        <v>45796</v>
      </c>
      <c r="K2" s="55"/>
      <c r="L2" s="55"/>
    </row>
    <row r="3" spans="2:15" ht="45" customHeight="1">
      <c r="D3" s="12"/>
      <c r="E3" s="124" t="s">
        <v>107</v>
      </c>
      <c r="F3" s="124"/>
      <c r="G3" s="124"/>
      <c r="H3" s="124"/>
      <c r="I3" s="66" t="s">
        <v>108</v>
      </c>
      <c r="J3" s="71">
        <f>IF(ISBLANK(Brevet_Number),"",Brevet_Number)</f>
        <v>5510</v>
      </c>
      <c r="K3" s="39"/>
      <c r="L3" s="39"/>
    </row>
    <row r="4" spans="2:15" ht="20.100000000000001" customHeight="1">
      <c r="C4" s="12"/>
      <c r="E4" s="125" t="str">
        <f>IF(ISBLANK(Brevet_Length),"",Brevet_Length&amp;" km Randonnée")</f>
        <v>600 km Randonnée</v>
      </c>
      <c r="F4" s="125"/>
      <c r="G4" s="125"/>
      <c r="H4" s="125"/>
      <c r="K4" s="51"/>
      <c r="L4" s="51"/>
    </row>
    <row r="5" spans="2:15" ht="20.100000000000001" customHeight="1">
      <c r="D5" s="52"/>
      <c r="E5" s="123" t="str">
        <f>IF(ISBLANK(Brevet_Description),"",Brevet_Description)</f>
        <v>LM Hope and Desperation 600</v>
      </c>
      <c r="F5" s="123"/>
      <c r="G5" s="123"/>
      <c r="H5" s="123"/>
      <c r="I5" s="74"/>
      <c r="J5" s="52"/>
      <c r="K5" s="52"/>
      <c r="L5" s="52"/>
    </row>
    <row r="6" spans="2:15" ht="20.100000000000001">
      <c r="D6" s="67"/>
      <c r="E6" s="123"/>
      <c r="F6" s="123"/>
      <c r="G6" s="123"/>
      <c r="H6" s="123"/>
      <c r="I6" s="74"/>
      <c r="J6" s="67"/>
      <c r="K6" s="52"/>
      <c r="L6" s="52"/>
    </row>
    <row r="7" spans="2:15" ht="24.95" customHeight="1">
      <c r="C7" s="119"/>
      <c r="D7" s="119"/>
      <c r="E7" s="119"/>
      <c r="F7" s="119"/>
      <c r="H7" s="121"/>
    </row>
    <row r="8" spans="2:15" ht="21" thickBot="1">
      <c r="B8" s="17" t="s">
        <v>109</v>
      </c>
      <c r="C8" s="120"/>
      <c r="D8" s="120"/>
      <c r="E8" s="120"/>
      <c r="F8" s="120"/>
      <c r="G8" s="17" t="s">
        <v>110</v>
      </c>
      <c r="H8" s="122"/>
      <c r="I8" s="53"/>
      <c r="J8" s="53"/>
      <c r="K8" s="53"/>
    </row>
    <row r="9" spans="2:15" ht="21.95" customHeight="1">
      <c r="B9" s="58"/>
      <c r="C9" s="58"/>
      <c r="D9" s="58"/>
      <c r="E9" s="58"/>
      <c r="F9" s="54"/>
      <c r="G9" s="60"/>
      <c r="H9" s="60"/>
      <c r="I9" s="60"/>
      <c r="J9" s="54"/>
    </row>
    <row r="10" spans="2:15" ht="20.100000000000001" customHeight="1">
      <c r="B10" s="117" t="s">
        <v>111</v>
      </c>
      <c r="C10" s="117"/>
      <c r="D10" s="64" t="s">
        <v>112</v>
      </c>
      <c r="E10" s="118" t="s">
        <v>113</v>
      </c>
      <c r="F10" s="118"/>
      <c r="G10" s="118"/>
      <c r="H10" s="70"/>
      <c r="I10" s="59"/>
      <c r="J10" s="59"/>
      <c r="K10" s="19"/>
      <c r="L10" s="126"/>
      <c r="M10" s="126"/>
      <c r="N10" s="126"/>
      <c r="O10" s="126"/>
    </row>
    <row r="11" spans="2:15" ht="23.1">
      <c r="B11" s="58"/>
      <c r="C11" s="58" t="s">
        <v>114</v>
      </c>
      <c r="D11" s="58"/>
      <c r="E11" s="58"/>
      <c r="F11" s="54"/>
      <c r="G11" s="60"/>
      <c r="H11" s="60"/>
      <c r="I11" s="60"/>
      <c r="J11" s="54"/>
    </row>
    <row r="12" spans="2:15" ht="21.95" thickBot="1">
      <c r="D12" s="140" t="s">
        <v>19</v>
      </c>
      <c r="E12" s="140"/>
      <c r="F12" s="69">
        <f>IF(ISBLANK('Control Entry'!B12),"",'Control Entry'!B12)</f>
        <v>45801</v>
      </c>
      <c r="G12" s="73"/>
      <c r="H12" s="17" t="s">
        <v>115</v>
      </c>
      <c r="I12" s="68">
        <f>IF(ISBLANK('Control Entry'!B13),"",'Control Entry'!B13)</f>
        <v>0.25</v>
      </c>
      <c r="J12" s="23"/>
    </row>
    <row r="13" spans="2:15" ht="20.100000000000001">
      <c r="D13" s="22"/>
      <c r="E13" s="22"/>
      <c r="F13" s="21"/>
      <c r="G13" s="21"/>
      <c r="H13" s="21"/>
      <c r="L13" s="23"/>
      <c r="M13" s="23"/>
      <c r="N13" s="23"/>
    </row>
    <row r="14" spans="2:15" ht="21" thickBot="1">
      <c r="D14" s="140" t="s">
        <v>116</v>
      </c>
      <c r="E14" s="140"/>
      <c r="F14" s="69"/>
      <c r="G14" s="73"/>
      <c r="H14" s="17" t="s">
        <v>117</v>
      </c>
      <c r="I14" s="68"/>
      <c r="J14" s="23"/>
      <c r="L14" s="45"/>
      <c r="M14" s="45"/>
      <c r="N14" s="45"/>
    </row>
    <row r="15" spans="2:15" ht="20.100000000000001">
      <c r="B15" s="22"/>
      <c r="C15" s="22"/>
      <c r="D15" s="21"/>
      <c r="E15" s="21"/>
      <c r="H15" s="21"/>
    </row>
    <row r="16" spans="2:15" ht="21" thickBot="1">
      <c r="C16" s="65"/>
      <c r="D16" s="65"/>
      <c r="E16" s="65"/>
      <c r="F16" s="65"/>
      <c r="H16" s="17" t="s">
        <v>118</v>
      </c>
      <c r="I16" s="68"/>
      <c r="J16" s="23"/>
      <c r="L16" s="45"/>
      <c r="M16" s="45"/>
      <c r="N16" s="45"/>
    </row>
    <row r="17" spans="2:15" ht="20.100000000000001">
      <c r="C17" s="141" t="s">
        <v>119</v>
      </c>
      <c r="D17" s="141"/>
      <c r="E17" s="141"/>
      <c r="F17" s="141"/>
      <c r="G17" s="19"/>
      <c r="H17" s="19"/>
      <c r="I17" s="136"/>
      <c r="J17" s="136"/>
      <c r="K17" s="19"/>
      <c r="L17" s="126"/>
      <c r="M17" s="126"/>
      <c r="N17" s="126"/>
      <c r="O17" s="126"/>
    </row>
    <row r="18" spans="2:15" ht="6" customHeight="1" thickBot="1">
      <c r="B18" s="61"/>
      <c r="C18" s="61"/>
      <c r="D18" s="61"/>
      <c r="E18" s="61"/>
      <c r="F18" s="62"/>
      <c r="G18" s="63"/>
      <c r="H18" s="63"/>
      <c r="I18" s="63"/>
      <c r="J18" s="62"/>
    </row>
    <row r="19" spans="2:15" ht="21.95" thickTop="1" thickBot="1">
      <c r="B19" s="116" t="s">
        <v>120</v>
      </c>
      <c r="C19" s="116"/>
      <c r="D19" s="116"/>
      <c r="E19" s="116"/>
      <c r="F19" s="116"/>
      <c r="G19" s="116"/>
      <c r="H19" s="116"/>
      <c r="I19" s="116"/>
      <c r="J19" s="116"/>
    </row>
    <row r="20" spans="2:15" ht="20.100000000000001" thickBot="1">
      <c r="B20" s="50" t="s">
        <v>121</v>
      </c>
      <c r="C20" s="8" t="s">
        <v>33</v>
      </c>
      <c r="D20" s="8" t="s">
        <v>34</v>
      </c>
      <c r="E20" s="8" t="s">
        <v>26</v>
      </c>
      <c r="F20" s="8" t="s">
        <v>122</v>
      </c>
      <c r="G20" s="137" t="s">
        <v>123</v>
      </c>
      <c r="H20" s="138"/>
      <c r="I20" s="139"/>
      <c r="J20" s="50" t="s">
        <v>124</v>
      </c>
    </row>
    <row r="21" spans="2:15" ht="39.950000000000003" customHeight="1">
      <c r="B21" s="89"/>
      <c r="C21" s="101">
        <f ca="1">'Control Entry'!N$28</f>
        <v>45802.004166666666</v>
      </c>
      <c r="D21" s="101">
        <f ca="1">'Control Entry'!O$28</f>
        <v>45802.859027777777</v>
      </c>
      <c r="E21" s="90"/>
      <c r="F21" s="91" t="str">
        <f>IF(ISBLANK('Control Entry'!F$28),"",'Control Entry'!F$28)</f>
        <v>Chancellor Blvd</v>
      </c>
      <c r="G21" s="130" t="str">
        <f>IF(ISBLANK('Control Entry'!I$28),"",'Control Entry'!I$28)</f>
        <v>Staffed control</v>
      </c>
      <c r="H21" s="131"/>
      <c r="I21" s="132"/>
      <c r="J21" s="92"/>
    </row>
    <row r="22" spans="2:15" ht="39.950000000000003" customHeight="1">
      <c r="B22" s="93">
        <f>IF(ISBLANK('Control Entry'!D$28),"",'Control Entry'!D$28)</f>
        <v>579.20000000000005</v>
      </c>
      <c r="C22" s="94">
        <f ca="1">'Control Entry'!N$28</f>
        <v>45802.004166666666</v>
      </c>
      <c r="D22" s="94">
        <f ca="1">'Control Entry'!O$28</f>
        <v>45802.859027777777</v>
      </c>
      <c r="E22" s="91" t="str">
        <f>IF(ISBLANK('Control Entry'!E$28),"",'Control Entry'!E$28)</f>
        <v>UBC</v>
      </c>
      <c r="F22" s="91" t="str">
        <f>IF(ISBLANK('Control Entry'!G$28),"",'Control Entry'!G$28)</f>
        <v>after East Mall</v>
      </c>
      <c r="G22" s="133" t="str">
        <f>IF(ISBLANK('Control Entry'!J$28),"",'Control Entry'!J$28)</f>
        <v/>
      </c>
      <c r="H22" s="134"/>
      <c r="I22" s="135"/>
      <c r="J22" s="95"/>
    </row>
    <row r="23" spans="2:15" ht="39.950000000000003" customHeight="1" thickBot="1">
      <c r="B23" s="96"/>
      <c r="C23" s="102">
        <f ca="1">'Control Entry'!N$28</f>
        <v>45802.004166666666</v>
      </c>
      <c r="D23" s="102">
        <f ca="1">'Control Entry'!O$28</f>
        <v>45802.859027777777</v>
      </c>
      <c r="E23" s="97"/>
      <c r="F23" s="98" t="str">
        <f>IF(ISBLANK('Control Entry'!H$28),"",'Control Entry'!H$28)</f>
        <v>but before Wesbrook Mall</v>
      </c>
      <c r="G23" s="127" t="str">
        <f>IF(ISBLANK('Control Entry'!K$28),"",'Control Entry'!K$28)</f>
        <v/>
      </c>
      <c r="H23" s="128"/>
      <c r="I23" s="129"/>
      <c r="J23" s="99"/>
    </row>
    <row r="24" spans="2:15" ht="39.950000000000003" customHeight="1">
      <c r="B24" s="89"/>
      <c r="C24" s="101">
        <f ca="1">'Control Entry'!N$29</f>
        <v>45802.033333333333</v>
      </c>
      <c r="D24" s="101">
        <f ca="1">'Control Entry'!O$29</f>
        <v>45802.916666666664</v>
      </c>
      <c r="E24" s="90"/>
      <c r="F24" s="91" t="str">
        <f>IF(ISBLANK('Control Entry'!F$29),"",'Control Entry'!F$29)</f>
        <v>McDonald's</v>
      </c>
      <c r="G24" s="130" t="str">
        <f>IF(ISBLANK('Control Entry'!I$29),"",'Control Entry'!I$29)</f>
        <v>Bystander signature or selfie</v>
      </c>
      <c r="H24" s="131"/>
      <c r="I24" s="132"/>
      <c r="J24" s="92"/>
    </row>
    <row r="25" spans="2:15" ht="39.950000000000003" customHeight="1">
      <c r="B25" s="93">
        <f>IF(ISBLANK('Control Entry'!D$29),"",'Control Entry'!D$29)</f>
        <v>600.1</v>
      </c>
      <c r="C25" s="94">
        <f ca="1">'Control Entry'!N$29</f>
        <v>45802.033333333333</v>
      </c>
      <c r="D25" s="94">
        <f ca="1">'Control Entry'!O$29</f>
        <v>45802.916666666664</v>
      </c>
      <c r="E25" s="91" t="str">
        <f>IF(ISBLANK('Control Entry'!E$29),"",'Control Entry'!E$29)</f>
        <v>Vancouver</v>
      </c>
      <c r="F25" s="91" t="str">
        <f>IF(ISBLANK('Control Entry'!G$29),"",'Control Entry'!G$29)</f>
        <v>3695 Lougheed Hwy</v>
      </c>
      <c r="G25" s="133" t="str">
        <f>IF(ISBLANK('Control Entry'!J$29),"",'Control Entry'!J$29)</f>
        <v/>
      </c>
      <c r="H25" s="134"/>
      <c r="I25" s="135"/>
      <c r="J25" s="95"/>
    </row>
    <row r="26" spans="2:15" ht="39.950000000000003" customHeight="1" thickBot="1">
      <c r="B26" s="96"/>
      <c r="C26" s="102">
        <f ca="1">'Control Entry'!N$29</f>
        <v>45802.033333333333</v>
      </c>
      <c r="D26" s="102">
        <f ca="1">'Control Entry'!O$29</f>
        <v>45802.916666666664</v>
      </c>
      <c r="E26" s="97"/>
      <c r="F26" s="98" t="str">
        <f>IF(ISBLANK('Control Entry'!H$29),"",'Control Entry'!H$29)</f>
        <v>@ Boundary Rd</v>
      </c>
      <c r="G26" s="127" t="str">
        <f>IF(ISBLANK('Control Entry'!K$29),"",'Control Entry'!K$29)</f>
        <v/>
      </c>
      <c r="H26" s="128"/>
      <c r="I26" s="129"/>
      <c r="J26" s="99"/>
    </row>
    <row r="27" spans="2:15" ht="39.950000000000003" customHeight="1">
      <c r="B27" s="89"/>
      <c r="C27" s="101" t="str">
        <f>'Control Entry'!N$30</f>
        <v/>
      </c>
      <c r="D27" s="101" t="str">
        <f>'Control Entry'!O$30</f>
        <v/>
      </c>
      <c r="E27" s="90"/>
      <c r="F27" s="91" t="str">
        <f>IF(ISBLANK('Control Entry'!F$30),"",'Control Entry'!F$30)</f>
        <v/>
      </c>
      <c r="G27" s="130" t="str">
        <f>IF(ISBLANK('Control Entry'!I$30),"",'Control Entry'!I$30)</f>
        <v/>
      </c>
      <c r="H27" s="131"/>
      <c r="I27" s="132"/>
      <c r="J27" s="92"/>
    </row>
    <row r="28" spans="2:15" ht="39.950000000000003" customHeight="1">
      <c r="B28" s="93" t="str">
        <f>IF(ISBLANK('Control Entry'!D$30),"",'Control Entry'!D$30)</f>
        <v/>
      </c>
      <c r="C28" s="94" t="str">
        <f>'Control Entry'!N$30</f>
        <v/>
      </c>
      <c r="D28" s="94" t="str">
        <f>'Control Entry'!O$30</f>
        <v/>
      </c>
      <c r="E28" s="91" t="str">
        <f>IF(ISBLANK('Control Entry'!E$30),"",'Control Entry'!E$30)</f>
        <v/>
      </c>
      <c r="F28" s="91" t="str">
        <f>IF(ISBLANK('Control Entry'!G$30),"",'Control Entry'!G$30)</f>
        <v/>
      </c>
      <c r="G28" s="133" t="str">
        <f>IF(ISBLANK('Control Entry'!J$30),"",'Control Entry'!J$30)</f>
        <v/>
      </c>
      <c r="H28" s="134"/>
      <c r="I28" s="135"/>
      <c r="J28" s="95"/>
    </row>
    <row r="29" spans="2:15" ht="39.950000000000003" customHeight="1" thickBot="1">
      <c r="B29" s="96"/>
      <c r="C29" s="102" t="str">
        <f>'Control Entry'!N$30</f>
        <v/>
      </c>
      <c r="D29" s="102" t="str">
        <f>'Control Entry'!O$30</f>
        <v/>
      </c>
      <c r="E29" s="97"/>
      <c r="F29" s="98" t="str">
        <f>IF(ISBLANK('Control Entry'!H$30),"",'Control Entry'!H$30)</f>
        <v/>
      </c>
      <c r="G29" s="127" t="str">
        <f>IF(ISBLANK('Control Entry'!K$30),"",'Control Entry'!K$30)</f>
        <v/>
      </c>
      <c r="H29" s="128"/>
      <c r="I29" s="129"/>
      <c r="J29" s="99"/>
    </row>
    <row r="30" spans="2:15" ht="39.950000000000003" customHeight="1">
      <c r="B30" s="89"/>
      <c r="C30" s="101" t="str">
        <f>'Control Entry'!N$31</f>
        <v/>
      </c>
      <c r="D30" s="101" t="str">
        <f>'Control Entry'!O$31</f>
        <v/>
      </c>
      <c r="E30" s="90"/>
      <c r="F30" s="91" t="str">
        <f>IF(ISBLANK('Control Entry'!F$31),"",'Control Entry'!F$31)</f>
        <v/>
      </c>
      <c r="G30" s="130" t="str">
        <f>IF(ISBLANK('Control Entry'!I$31),"",'Control Entry'!I$31)</f>
        <v/>
      </c>
      <c r="H30" s="131"/>
      <c r="I30" s="132"/>
      <c r="J30" s="92"/>
    </row>
    <row r="31" spans="2:15" ht="39.950000000000003" customHeight="1">
      <c r="B31" s="93" t="str">
        <f>IF(ISBLANK('Control Entry'!D$31),"",'Control Entry'!D$31)</f>
        <v/>
      </c>
      <c r="C31" s="94" t="str">
        <f>'Control Entry'!N$31</f>
        <v/>
      </c>
      <c r="D31" s="94" t="str">
        <f>'Control Entry'!O$31</f>
        <v/>
      </c>
      <c r="E31" s="91" t="str">
        <f>IF(ISBLANK('Control Entry'!E$31),"",'Control Entry'!E$31)</f>
        <v/>
      </c>
      <c r="F31" s="91" t="str">
        <f>IF(ISBLANK('Control Entry'!G$31),"",'Control Entry'!G$31)</f>
        <v/>
      </c>
      <c r="G31" s="133" t="str">
        <f>IF(ISBLANK('Control Entry'!J$31),"",'Control Entry'!J$31)</f>
        <v/>
      </c>
      <c r="H31" s="134"/>
      <c r="I31" s="135"/>
      <c r="J31" s="95"/>
    </row>
    <row r="32" spans="2:15" ht="39.950000000000003" customHeight="1" thickBot="1">
      <c r="B32" s="96"/>
      <c r="C32" s="102" t="str">
        <f>'Control Entry'!N$31</f>
        <v/>
      </c>
      <c r="D32" s="102" t="str">
        <f>'Control Entry'!O$31</f>
        <v/>
      </c>
      <c r="E32" s="97"/>
      <c r="F32" s="98" t="str">
        <f>IF(ISBLANK('Control Entry'!H$31),"",'Control Entry'!H$31)</f>
        <v/>
      </c>
      <c r="G32" s="127" t="str">
        <f>IF(ISBLANK('Control Entry'!K$31),"",'Control Entry'!K$31)</f>
        <v/>
      </c>
      <c r="H32" s="128"/>
      <c r="I32" s="129"/>
      <c r="J32" s="99"/>
    </row>
    <row r="33" spans="2:10" ht="39.950000000000003" customHeight="1">
      <c r="B33" s="89"/>
      <c r="C33" s="101" t="str">
        <f>'Control Entry'!N$32</f>
        <v/>
      </c>
      <c r="D33" s="101" t="str">
        <f>'Control Entry'!O$32</f>
        <v/>
      </c>
      <c r="E33" s="90"/>
      <c r="F33" s="91" t="str">
        <f>IF(ISBLANK('Control Entry'!F$32),"",'Control Entry'!F$32)</f>
        <v/>
      </c>
      <c r="G33" s="130" t="str">
        <f>IF(ISBLANK('Control Entry'!I$32),"",'Control Entry'!I$32)</f>
        <v/>
      </c>
      <c r="H33" s="131"/>
      <c r="I33" s="132"/>
      <c r="J33" s="92"/>
    </row>
    <row r="34" spans="2:10" ht="39.950000000000003" customHeight="1">
      <c r="B34" s="93" t="str">
        <f>IF(ISBLANK('Control Entry'!D$32),"",'Control Entry'!D$32)</f>
        <v/>
      </c>
      <c r="C34" s="94" t="str">
        <f>'Control Entry'!N$32</f>
        <v/>
      </c>
      <c r="D34" s="94" t="str">
        <f>'Control Entry'!O$32</f>
        <v/>
      </c>
      <c r="E34" s="91" t="str">
        <f>IF(ISBLANK('Control Entry'!E$32),"",'Control Entry'!E$32)</f>
        <v/>
      </c>
      <c r="F34" s="91" t="str">
        <f>IF(ISBLANK('Control Entry'!G$32),"",'Control Entry'!G$32)</f>
        <v/>
      </c>
      <c r="G34" s="133" t="str">
        <f>IF(ISBLANK('Control Entry'!J$32),"",'Control Entry'!J$32)</f>
        <v/>
      </c>
      <c r="H34" s="134"/>
      <c r="I34" s="135"/>
      <c r="J34" s="95"/>
    </row>
    <row r="35" spans="2:10" ht="39.950000000000003" customHeight="1" thickBot="1">
      <c r="B35" s="96"/>
      <c r="C35" s="102" t="str">
        <f>'Control Entry'!N$32</f>
        <v/>
      </c>
      <c r="D35" s="102" t="str">
        <f>'Control Entry'!O$32</f>
        <v/>
      </c>
      <c r="E35" s="97"/>
      <c r="F35" s="98" t="str">
        <f>IF(ISBLANK('Control Entry'!H$32),"",'Control Entry'!H$32)</f>
        <v/>
      </c>
      <c r="G35" s="127" t="str">
        <f>IF(ISBLANK('Control Entry'!K$32),"",'Control Entry'!K$32)</f>
        <v/>
      </c>
      <c r="H35" s="128"/>
      <c r="I35" s="129"/>
      <c r="J35" s="99"/>
    </row>
    <row r="36" spans="2:10" ht="39.950000000000003" customHeight="1">
      <c r="B36" s="89"/>
      <c r="C36" s="101" t="str">
        <f>'Control Entry'!N$33</f>
        <v/>
      </c>
      <c r="D36" s="101" t="str">
        <f>'Control Entry'!O$33</f>
        <v/>
      </c>
      <c r="E36" s="90"/>
      <c r="F36" s="91" t="str">
        <f>IF(ISBLANK('Control Entry'!F$33),"",'Control Entry'!F$33)</f>
        <v/>
      </c>
      <c r="G36" s="130" t="str">
        <f>IF(ISBLANK('Control Entry'!I$33),"",'Control Entry'!I$33)</f>
        <v/>
      </c>
      <c r="H36" s="131"/>
      <c r="I36" s="132"/>
      <c r="J36" s="92"/>
    </row>
    <row r="37" spans="2:10" ht="39.950000000000003" customHeight="1">
      <c r="B37" s="93" t="str">
        <f>IF(ISBLANK('Control Entry'!D$33),"",'Control Entry'!D$33)</f>
        <v/>
      </c>
      <c r="C37" s="94" t="str">
        <f>'Control Entry'!N$33</f>
        <v/>
      </c>
      <c r="D37" s="94" t="str">
        <f>'Control Entry'!O$33</f>
        <v/>
      </c>
      <c r="E37" s="91" t="str">
        <f>IF(ISBLANK('Control Entry'!E$33),"",'Control Entry'!E$33)</f>
        <v/>
      </c>
      <c r="F37" s="91" t="str">
        <f>IF(ISBLANK('Control Entry'!G$33),"",'Control Entry'!G$33)</f>
        <v/>
      </c>
      <c r="G37" s="133" t="str">
        <f>IF(ISBLANK('Control Entry'!J$33),"",'Control Entry'!J$33)</f>
        <v/>
      </c>
      <c r="H37" s="134"/>
      <c r="I37" s="135"/>
      <c r="J37" s="95"/>
    </row>
    <row r="38" spans="2:10" ht="39.950000000000003" customHeight="1" thickBot="1">
      <c r="B38" s="96"/>
      <c r="C38" s="102" t="str">
        <f>'Control Entry'!N$33</f>
        <v/>
      </c>
      <c r="D38" s="102" t="str">
        <f>'Control Entry'!O$33</f>
        <v/>
      </c>
      <c r="E38" s="97"/>
      <c r="F38" s="98" t="str">
        <f>IF(ISBLANK('Control Entry'!H$33),"",'Control Entry'!H$33)</f>
        <v/>
      </c>
      <c r="G38" s="127" t="str">
        <f>IF(ISBLANK('Control Entry'!K$33),"",'Control Entry'!K$33)</f>
        <v/>
      </c>
      <c r="H38" s="128"/>
      <c r="I38" s="129"/>
      <c r="J38" s="99"/>
    </row>
    <row r="39" spans="2:10" ht="39.950000000000003" customHeight="1">
      <c r="B39" s="89"/>
      <c r="C39" s="101" t="str">
        <f>'Control Entry'!N$34</f>
        <v/>
      </c>
      <c r="D39" s="101" t="str">
        <f>'Control Entry'!O$34</f>
        <v/>
      </c>
      <c r="E39" s="90"/>
      <c r="F39" s="91" t="str">
        <f>IF(ISBLANK('Control Entry'!F$34),"",'Control Entry'!F$34)</f>
        <v/>
      </c>
      <c r="G39" s="130" t="str">
        <f>IF(ISBLANK('Control Entry'!I$34),"",'Control Entry'!I$34)</f>
        <v/>
      </c>
      <c r="H39" s="131"/>
      <c r="I39" s="132"/>
      <c r="J39" s="92"/>
    </row>
    <row r="40" spans="2:10" ht="39.950000000000003" customHeight="1">
      <c r="B40" s="93" t="str">
        <f>IF(ISBLANK('Control Entry'!D$34),"",'Control Entry'!D$34)</f>
        <v/>
      </c>
      <c r="C40" s="94" t="str">
        <f>'Control Entry'!N$34</f>
        <v/>
      </c>
      <c r="D40" s="94" t="str">
        <f>'Control Entry'!O$34</f>
        <v/>
      </c>
      <c r="E40" s="91" t="str">
        <f>IF(ISBLANK('Control Entry'!E$34),"",'Control Entry'!E$34)</f>
        <v/>
      </c>
      <c r="F40" s="91" t="str">
        <f>IF(ISBLANK('Control Entry'!G$34),"",'Control Entry'!G$34)</f>
        <v/>
      </c>
      <c r="G40" s="133" t="str">
        <f>IF(ISBLANK('Control Entry'!J$34),"",'Control Entry'!J$34)</f>
        <v/>
      </c>
      <c r="H40" s="134"/>
      <c r="I40" s="135"/>
      <c r="J40" s="95"/>
    </row>
    <row r="41" spans="2:10" ht="39.950000000000003" customHeight="1" thickBot="1">
      <c r="B41" s="96"/>
      <c r="C41" s="102" t="str">
        <f>'Control Entry'!N$34</f>
        <v/>
      </c>
      <c r="D41" s="102" t="str">
        <f>'Control Entry'!O$34</f>
        <v/>
      </c>
      <c r="E41" s="97"/>
      <c r="F41" s="98" t="str">
        <f>IF(ISBLANK('Control Entry'!H$34),"",'Control Entry'!H$34)</f>
        <v/>
      </c>
      <c r="G41" s="127" t="str">
        <f>IF(ISBLANK('Control Entry'!K$34),"",'Control Entry'!K$34)</f>
        <v/>
      </c>
      <c r="H41" s="128"/>
      <c r="I41" s="129"/>
      <c r="J41" s="99"/>
    </row>
    <row r="42" spans="2:10" ht="39.950000000000003" customHeight="1">
      <c r="B42" s="89"/>
      <c r="C42" s="101" t="str">
        <f>'Control Entry'!N$35</f>
        <v/>
      </c>
      <c r="D42" s="101" t="str">
        <f>'Control Entry'!O$35</f>
        <v/>
      </c>
      <c r="E42" s="90"/>
      <c r="F42" s="91" t="str">
        <f>IF(ISBLANK('Control Entry'!F$35),"",'Control Entry'!F$35)</f>
        <v/>
      </c>
      <c r="G42" s="130" t="str">
        <f>IF(ISBLANK('Control Entry'!I$35),"",'Control Entry'!I$35)</f>
        <v/>
      </c>
      <c r="H42" s="131"/>
      <c r="I42" s="132"/>
      <c r="J42" s="92"/>
    </row>
    <row r="43" spans="2:10" ht="39.950000000000003" customHeight="1">
      <c r="B43" s="93" t="str">
        <f>IF(ISBLANK('Control Entry'!D$35),"",'Control Entry'!D$35)</f>
        <v/>
      </c>
      <c r="C43" s="94" t="str">
        <f>'Control Entry'!N$35</f>
        <v/>
      </c>
      <c r="D43" s="94" t="str">
        <f>'Control Entry'!O$35</f>
        <v/>
      </c>
      <c r="E43" s="91" t="str">
        <f>IF(ISBLANK('Control Entry'!E$35),"",'Control Entry'!E$35)</f>
        <v/>
      </c>
      <c r="F43" s="91" t="str">
        <f>IF(ISBLANK('Control Entry'!G$35),"",'Control Entry'!G$35)</f>
        <v/>
      </c>
      <c r="G43" s="133" t="str">
        <f>IF(ISBLANK('Control Entry'!J$35),"",'Control Entry'!J$35)</f>
        <v/>
      </c>
      <c r="H43" s="134"/>
      <c r="I43" s="135"/>
      <c r="J43" s="95"/>
    </row>
    <row r="44" spans="2:10" ht="39.950000000000003" customHeight="1" thickBot="1">
      <c r="B44" s="96"/>
      <c r="C44" s="102" t="str">
        <f>'Control Entry'!N$35</f>
        <v/>
      </c>
      <c r="D44" s="102" t="str">
        <f>'Control Entry'!O$35</f>
        <v/>
      </c>
      <c r="E44" s="97"/>
      <c r="F44" s="98" t="str">
        <f>IF(ISBLANK('Control Entry'!H$35),"",'Control Entry'!H$35)</f>
        <v/>
      </c>
      <c r="G44" s="127" t="str">
        <f>IF(ISBLANK('Control Entry'!K$35),"",'Control Entry'!K$35)</f>
        <v/>
      </c>
      <c r="H44" s="128"/>
      <c r="I44" s="129"/>
      <c r="J44" s="99"/>
    </row>
    <row r="45" spans="2:10" ht="39.950000000000003" customHeight="1">
      <c r="B45" s="89"/>
      <c r="C45" s="101" t="str">
        <f>'Control Entry'!N$36</f>
        <v/>
      </c>
      <c r="D45" s="101" t="str">
        <f>'Control Entry'!O$36</f>
        <v/>
      </c>
      <c r="E45" s="90"/>
      <c r="F45" s="91" t="str">
        <f>IF(ISBLANK('Control Entry'!F$36),"",'Control Entry'!F$36)</f>
        <v/>
      </c>
      <c r="G45" s="130" t="str">
        <f>IF(ISBLANK('Control Entry'!I$36),"",'Control Entry'!I$36)</f>
        <v/>
      </c>
      <c r="H45" s="131"/>
      <c r="I45" s="132"/>
      <c r="J45" s="92"/>
    </row>
    <row r="46" spans="2:10" ht="39.950000000000003" customHeight="1">
      <c r="B46" s="93" t="str">
        <f>IF(ISBLANK('Control Entry'!D$36),"",'Control Entry'!D$36)</f>
        <v/>
      </c>
      <c r="C46" s="94" t="str">
        <f>'Control Entry'!N$36</f>
        <v/>
      </c>
      <c r="D46" s="94" t="str">
        <f>'Control Entry'!O$36</f>
        <v/>
      </c>
      <c r="E46" s="91" t="str">
        <f>IF(ISBLANK('Control Entry'!E$36),"",'Control Entry'!E$36)</f>
        <v/>
      </c>
      <c r="F46" s="91" t="str">
        <f>IF(ISBLANK('Control Entry'!G$36),"",'Control Entry'!G$36)</f>
        <v/>
      </c>
      <c r="G46" s="133" t="str">
        <f>IF(ISBLANK('Control Entry'!J$36),"",'Control Entry'!J$36)</f>
        <v/>
      </c>
      <c r="H46" s="134"/>
      <c r="I46" s="135"/>
      <c r="J46" s="95"/>
    </row>
    <row r="47" spans="2:10" ht="39.950000000000003" customHeight="1" thickBot="1">
      <c r="B47" s="96"/>
      <c r="C47" s="102" t="str">
        <f>'Control Entry'!N$36</f>
        <v/>
      </c>
      <c r="D47" s="102" t="str">
        <f>'Control Entry'!O$36</f>
        <v/>
      </c>
      <c r="E47" s="97"/>
      <c r="F47" s="98" t="str">
        <f>IF(ISBLANK('Control Entry'!H$36),"",'Control Entry'!H$36)</f>
        <v/>
      </c>
      <c r="G47" s="127" t="str">
        <f>IF(ISBLANK('Control Entry'!K$36),"",'Control Entry'!K$36)</f>
        <v/>
      </c>
      <c r="H47" s="128"/>
      <c r="I47" s="129"/>
      <c r="J47" s="99"/>
    </row>
    <row r="48" spans="2:10" ht="39.950000000000003" customHeight="1">
      <c r="B48" s="89"/>
      <c r="C48" s="101" t="str">
        <f>'Control Entry'!N$37</f>
        <v/>
      </c>
      <c r="D48" s="101" t="str">
        <f>'Control Entry'!O$37</f>
        <v/>
      </c>
      <c r="E48" s="90"/>
      <c r="F48" s="91" t="str">
        <f>IF(ISBLANK('Control Entry'!F$37),"",'Control Entry'!F$37)</f>
        <v/>
      </c>
      <c r="G48" s="130" t="str">
        <f>IF(ISBLANK('Control Entry'!I$37),"",'Control Entry'!I$37)</f>
        <v/>
      </c>
      <c r="H48" s="131"/>
      <c r="I48" s="132"/>
      <c r="J48" s="92"/>
    </row>
    <row r="49" spans="2:11" ht="39.950000000000003" customHeight="1">
      <c r="B49" s="93" t="str">
        <f>IF(ISBLANK('Control Entry'!D$37),"",'Control Entry'!D$37)</f>
        <v/>
      </c>
      <c r="C49" s="94" t="str">
        <f>'Control Entry'!N$37</f>
        <v/>
      </c>
      <c r="D49" s="94" t="str">
        <f>'Control Entry'!O$37</f>
        <v/>
      </c>
      <c r="E49" s="91" t="str">
        <f>IF(ISBLANK('Control Entry'!E$37),"",'Control Entry'!E$37)</f>
        <v/>
      </c>
      <c r="F49" s="91" t="str">
        <f>IF(ISBLANK('Control Entry'!G$37),"",'Control Entry'!G$37)</f>
        <v/>
      </c>
      <c r="G49" s="133" t="str">
        <f>IF(ISBLANK('Control Entry'!J$37),"",'Control Entry'!J$37)</f>
        <v/>
      </c>
      <c r="H49" s="134"/>
      <c r="I49" s="135"/>
      <c r="J49" s="95"/>
    </row>
    <row r="50" spans="2:11" ht="39.950000000000003" customHeight="1" thickBot="1">
      <c r="B50" s="96"/>
      <c r="C50" s="102" t="str">
        <f>'Control Entry'!N$37</f>
        <v/>
      </c>
      <c r="D50" s="102" t="str">
        <f>'Control Entry'!O$37</f>
        <v/>
      </c>
      <c r="E50" s="97"/>
      <c r="F50" s="98" t="str">
        <f>IF(ISBLANK('Control Entry'!H$37),"",'Control Entry'!H$37)</f>
        <v/>
      </c>
      <c r="G50" s="127" t="str">
        <f>IF(ISBLANK('Control Entry'!K$37),"",'Control Entry'!K$37)</f>
        <v/>
      </c>
      <c r="H50" s="128"/>
      <c r="I50" s="129"/>
      <c r="J50" s="99"/>
    </row>
    <row r="51" spans="2:11" ht="12.75"/>
    <row r="52" spans="2:11" ht="24" customHeight="1">
      <c r="B52" s="114" t="s">
        <v>125</v>
      </c>
      <c r="C52" s="114"/>
      <c r="D52" s="114"/>
      <c r="E52" s="114"/>
      <c r="F52" s="114"/>
      <c r="G52" s="114"/>
      <c r="H52" s="114"/>
      <c r="I52" s="58" t="s">
        <v>126</v>
      </c>
      <c r="J52" s="81" t="str">
        <f>IF(ISBLANK('Control Entry'!F10),"",'Control Entry'!F10)</f>
        <v>604-721-0309</v>
      </c>
      <c r="K52" s="54"/>
    </row>
    <row r="53" spans="2:11" ht="12.75"/>
    <row r="54" spans="2:11">
      <c r="B54" s="76" t="s">
        <v>127</v>
      </c>
      <c r="C54" s="77">
        <f>'Control Entry'!B3</f>
        <v>45393</v>
      </c>
    </row>
    <row r="55" spans="2:11" ht="23.1">
      <c r="B55" s="58"/>
      <c r="C55" s="58"/>
      <c r="D55" s="58"/>
      <c r="E55" s="58"/>
      <c r="F55" s="54"/>
      <c r="G55" s="60"/>
      <c r="H55" s="60"/>
      <c r="I55" s="60"/>
      <c r="J55" s="54"/>
    </row>
    <row r="56" spans="2:11">
      <c r="E56" s="1"/>
    </row>
    <row r="57" spans="2:11">
      <c r="B57" s="56"/>
      <c r="C57" s="57"/>
      <c r="D57" s="57"/>
      <c r="E57" s="57"/>
      <c r="F57" s="142"/>
      <c r="G57" s="143"/>
      <c r="H57" s="143"/>
      <c r="I57" s="143"/>
      <c r="J57" s="143"/>
    </row>
  </sheetData>
  <mergeCells count="50">
    <mergeCell ref="C2:F2"/>
    <mergeCell ref="E3:H3"/>
    <mergeCell ref="E4:H4"/>
    <mergeCell ref="E5:H6"/>
    <mergeCell ref="C7:F8"/>
    <mergeCell ref="H7:H8"/>
    <mergeCell ref="G20:I20"/>
    <mergeCell ref="B10:C10"/>
    <mergeCell ref="E10:G10"/>
    <mergeCell ref="L10:M10"/>
    <mergeCell ref="N10:O10"/>
    <mergeCell ref="D12:E12"/>
    <mergeCell ref="D14:E14"/>
    <mergeCell ref="C17:F17"/>
    <mergeCell ref="I17:J17"/>
    <mergeCell ref="L17:M17"/>
    <mergeCell ref="N17:O17"/>
    <mergeCell ref="B19:J19"/>
    <mergeCell ref="G32:I32"/>
    <mergeCell ref="G21:I21"/>
    <mergeCell ref="G22:I22"/>
    <mergeCell ref="G23:I23"/>
    <mergeCell ref="G24:I24"/>
    <mergeCell ref="G25:I25"/>
    <mergeCell ref="G26:I26"/>
    <mergeCell ref="G27:I27"/>
    <mergeCell ref="G28:I28"/>
    <mergeCell ref="G29:I29"/>
    <mergeCell ref="G30:I30"/>
    <mergeCell ref="G31:I31"/>
    <mergeCell ref="G44:I44"/>
    <mergeCell ref="G33:I33"/>
    <mergeCell ref="G34:I34"/>
    <mergeCell ref="G35:I35"/>
    <mergeCell ref="G36:I36"/>
    <mergeCell ref="G37:I37"/>
    <mergeCell ref="G38:I38"/>
    <mergeCell ref="G39:I39"/>
    <mergeCell ref="G40:I40"/>
    <mergeCell ref="G41:I41"/>
    <mergeCell ref="G42:I42"/>
    <mergeCell ref="G43:I43"/>
    <mergeCell ref="F57:J57"/>
    <mergeCell ref="G45:I45"/>
    <mergeCell ref="G46:I46"/>
    <mergeCell ref="G47:I47"/>
    <mergeCell ref="G48:I48"/>
    <mergeCell ref="G49:I49"/>
    <mergeCell ref="G50:I50"/>
    <mergeCell ref="B52:H52"/>
  </mergeCells>
  <printOptions horizontalCentered="1" verticalCentered="1"/>
  <pageMargins left="0.39370078740157483" right="0.39370078740157483" top="0.39370078740157483" bottom="0.39370078740157483" header="0.15748031496062992" footer="0.15748031496062992"/>
  <pageSetup scale="37" orientation="portrait" horizontalDpi="0" verticalDpi="0"/>
  <drawing r:id="rId1"/>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Stephen Hinde</dc:creator>
  <cp:keywords/>
  <dc:description/>
  <cp:lastModifiedBy/>
  <cp:revision/>
  <dcterms:created xsi:type="dcterms:W3CDTF">1997-11-12T04:43:39Z</dcterms:created>
  <dcterms:modified xsi:type="dcterms:W3CDTF">2025-05-20T06:07:00Z</dcterms:modified>
  <cp:category/>
  <cp:contentStatus/>
</cp:coreProperties>
</file>