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609"/>
  <workbookPr showInkAnnotation="0" autoCompressPictures="0"/>
  <mc:AlternateContent xmlns:mc="http://schemas.openxmlformats.org/markup-compatibility/2006">
    <mc:Choice Requires="x15">
      <x15ac:absPath xmlns:x15ac="http://schemas.microsoft.com/office/spreadsheetml/2010/11/ac" url="/Users/stephencarol/Documents/BCR/2024/5407 Parks and Rivers/"/>
    </mc:Choice>
  </mc:AlternateContent>
  <xr:revisionPtr revIDLastSave="0" documentId="13_ncr:1_{D1F784A3-A260-6648-A675-ABA314E234F4}" xr6:coauthVersionLast="47" xr6:coauthVersionMax="47" xr10:uidLastSave="{00000000-0000-0000-0000-000000000000}"/>
  <bookViews>
    <workbookView xWindow="0" yWindow="760" windowWidth="29400" windowHeight="18360" tabRatio="509" xr2:uid="{00000000-000D-0000-FFFF-FFFF00000000}"/>
  </bookViews>
  <sheets>
    <sheet name="Control Entry" sheetId="1" r:id="rId1"/>
    <sheet name="Card #1" sheetId="7" r:id="rId2"/>
    <sheet name="Card #2" sheetId="8" r:id="rId3"/>
  </sheets>
  <definedNames>
    <definedName name="Address_1" localSheetId="1">#REF!</definedName>
    <definedName name="Address_1" localSheetId="2">#REF!</definedName>
    <definedName name="Address_1">#REF!</definedName>
    <definedName name="Address_2" localSheetId="1">#REF!</definedName>
    <definedName name="Address_2" localSheetId="2">#REF!</definedName>
    <definedName name="Address_2">#REF!</definedName>
    <definedName name="brevet">'Control Entry'!$C$6</definedName>
    <definedName name="Brevet_Description">'Control Entry'!$B$8</definedName>
    <definedName name="Brevet_Length">'Control Entry'!$B$6</definedName>
    <definedName name="Brevet_Number">'Control Entry'!$B$9</definedName>
    <definedName name="City" localSheetId="1">#REF!</definedName>
    <definedName name="City" localSheetId="2">#REF!</definedName>
    <definedName name="City">#REF!</definedName>
    <definedName name="Close">'Control Entry'!$M$15:$M$24</definedName>
    <definedName name="Close_time">'Control Entry'!$O$15:$O$24</definedName>
    <definedName name="Control_1">'Control Entry'!$D$15:$O$15</definedName>
    <definedName name="Control_10">'Control Entry'!$D$24:$O$24</definedName>
    <definedName name="Control_11" localSheetId="1">'Control Entry'!#REF!</definedName>
    <definedName name="Control_11" localSheetId="2">'Control Entry'!#REF!</definedName>
    <definedName name="Control_11">'Control Entry'!#REF!</definedName>
    <definedName name="Control_12" localSheetId="1">'Control Entry'!#REF!</definedName>
    <definedName name="Control_12" localSheetId="2">'Control Entry'!#REF!</definedName>
    <definedName name="Control_12">'Control Entry'!#REF!</definedName>
    <definedName name="Control_13" localSheetId="1">'Control Entry'!#REF!</definedName>
    <definedName name="Control_13" localSheetId="2">'Control Entry'!#REF!</definedName>
    <definedName name="Control_13">'Control Entry'!#REF!</definedName>
    <definedName name="Control_14" localSheetId="1">'Control Entry'!#REF!</definedName>
    <definedName name="Control_14" localSheetId="2">'Control Entry'!#REF!</definedName>
    <definedName name="Control_14">'Control Entry'!#REF!</definedName>
    <definedName name="Control_15" localSheetId="1">'Control Entry'!#REF!</definedName>
    <definedName name="Control_15" localSheetId="2">'Control Entry'!#REF!</definedName>
    <definedName name="Control_15">'Control Entry'!#REF!</definedName>
    <definedName name="Control_16" localSheetId="1">'Control Entry'!#REF!</definedName>
    <definedName name="Control_16" localSheetId="2">'Control Entry'!#REF!</definedName>
    <definedName name="Control_16">'Control Entry'!#REF!</definedName>
    <definedName name="Control_17" localSheetId="1">'Control Entry'!#REF!</definedName>
    <definedName name="Control_17" localSheetId="2">'Control Entry'!#REF!</definedName>
    <definedName name="Control_17">'Control Entry'!#REF!</definedName>
    <definedName name="Control_18" localSheetId="1">'Control Entry'!#REF!</definedName>
    <definedName name="Control_18" localSheetId="2">'Control Entry'!#REF!</definedName>
    <definedName name="Control_18">'Control Entry'!#REF!</definedName>
    <definedName name="Control_19" localSheetId="1">'Control Entry'!#REF!</definedName>
    <definedName name="Control_19" localSheetId="2">'Control Entry'!#REF!</definedName>
    <definedName name="Control_19">'Control Entry'!#REF!</definedName>
    <definedName name="Control_2">'Control Entry'!$D$16:$O$16</definedName>
    <definedName name="Control_20" localSheetId="1">'Control Entry'!#REF!</definedName>
    <definedName name="Control_20" localSheetId="2">'Control Entry'!#REF!</definedName>
    <definedName name="Control_20">'Control Entry'!#REF!</definedName>
    <definedName name="Control_3">'Control Entry'!$D$17:$O$17</definedName>
    <definedName name="Control_4">'Control Entry'!$D$18:$O$18</definedName>
    <definedName name="Control_5">'Control Entry'!$D$19:$O$19</definedName>
    <definedName name="Control_6">'Control Entry'!$D$20:$O$20</definedName>
    <definedName name="Control_7">'Control Entry'!$D$21:$O$21</definedName>
    <definedName name="Control_8">'Control Entry'!$D$22:$O$22</definedName>
    <definedName name="Control_9">'Control Entry'!$D$23:$O$23</definedName>
    <definedName name="Country" localSheetId="1">#REF!</definedName>
    <definedName name="Country" localSheetId="2">#REF!</definedName>
    <definedName name="Country">#REF!</definedName>
    <definedName name="Distance">'Control Entry'!$D$15:$D$24</definedName>
    <definedName name="email" localSheetId="1">#REF!</definedName>
    <definedName name="email" localSheetId="2">#REF!</definedName>
    <definedName name="email">#REF!</definedName>
    <definedName name="Establishment_1">'Control Entry'!$F$15:$F$24</definedName>
    <definedName name="Establishment_2">'Control Entry'!$G$15:$G$24</definedName>
    <definedName name="Establishment_3">'Control Entry'!$H$15:$H$24</definedName>
    <definedName name="Fax" localSheetId="1">#REF!</definedName>
    <definedName name="Fax" localSheetId="2">#REF!</definedName>
    <definedName name="Fax">#REF!</definedName>
    <definedName name="First_Name" localSheetId="1">#REF!</definedName>
    <definedName name="First_Name" localSheetId="2">#REF!</definedName>
    <definedName name="First_Name">#REF!</definedName>
    <definedName name="Home_telephone" localSheetId="1">#REF!</definedName>
    <definedName name="Home_telephone" localSheetId="2">#REF!</definedName>
    <definedName name="Home_telephone">#REF!</definedName>
    <definedName name="HTML_CodePage" hidden="1">1252</definedName>
    <definedName name="HTML_Control" hidden="1">{"'Web sheet'!$A$1:$D$92"}</definedName>
    <definedName name="HTML_Description" hidden="1">""</definedName>
    <definedName name="HTML_Email" hidden="1">"randos@island.net"</definedName>
    <definedName name="HTML_Header" hidden="1">"Web sheet"</definedName>
    <definedName name="HTML_LastUpdate" hidden="1">"99-03-06"</definedName>
    <definedName name="HTML_LineAfter" hidden="1">TRUE</definedName>
    <definedName name="HTML_LineBefore" hidden="1">TRUE</definedName>
    <definedName name="HTML_Name" hidden="1">"Stephen Hinde"</definedName>
    <definedName name="HTML_OBDlg2" hidden="1">TRUE</definedName>
    <definedName name="HTML_OBDlg4" hidden="1">TRUE</definedName>
    <definedName name="HTML_OS" hidden="1">0</definedName>
    <definedName name="HTML_PathFile" hidden="1">"C:\My Documents\excel\MyHTML.htm"</definedName>
    <definedName name="HTML_Title" hidden="1">"VI0100B Nanaimo Populaire"</definedName>
    <definedName name="HTML1_1" hidden="1">"'[vi0100b.xls]VI0100B 970310'!$A$3:$D$22"</definedName>
    <definedName name="HTML1_10" hidden="1">"randos@island.net"</definedName>
    <definedName name="HTML1_11" hidden="1">1</definedName>
    <definedName name="HTML1_12" hidden="1">"C:\My Documents\Web Page\vi0100b.htm"</definedName>
    <definedName name="HTML1_2" hidden="1">1</definedName>
    <definedName name="HTML1_3" hidden="1">"100 km Populaire"</definedName>
    <definedName name="HTML1_4" hidden="1">"VI0100B 970310"</definedName>
    <definedName name="HTML1_5" hidden="1">"Nanaimo--Lantzville--Nanaimo--Yellow Point--Nanaimo"</definedName>
    <definedName name="HTML1_6" hidden="1">1</definedName>
    <definedName name="HTML1_7" hidden="1">1</definedName>
    <definedName name="HTML1_8" hidden="1">"26/10/97"</definedName>
    <definedName name="HTML1_9" hidden="1">"Stephen Hinde"</definedName>
    <definedName name="HTML2_1" hidden="1">"'[vi0100b.xls]VI0100B 970310'!$A$1:$D$22"</definedName>
    <definedName name="HTML2_10" hidden="1">"randos@island.net"</definedName>
    <definedName name="HTML2_11" hidden="1">1</definedName>
    <definedName name="HTML2_12" hidden="1">"C:\My Documents\Web Page\vi0100b.htm"</definedName>
    <definedName name="HTML2_2" hidden="1">1</definedName>
    <definedName name="HTML2_3" hidden="1">"100 km Populaire"</definedName>
    <definedName name="HTML2_4" hidden="1">"VI0100B 970310"</definedName>
    <definedName name="HTML2_5" hidden="1">"Nanaimo--Lantzville--Nanaimo--Yellow Point--Nanaimo"</definedName>
    <definedName name="HTML2_6" hidden="1">1</definedName>
    <definedName name="HTML2_7" hidden="1">1</definedName>
    <definedName name="HTML2_8" hidden="1">"26/10/97"</definedName>
    <definedName name="HTML2_9" hidden="1">"Stephen Hinde"</definedName>
    <definedName name="HTML3_1" hidden="1">"'[vi0100b.xls]VI0100B 970310'!$A$1:$D$24"</definedName>
    <definedName name="HTML3_10" hidden="1">"randos@island.net"</definedName>
    <definedName name="HTML3_11" hidden="1">1</definedName>
    <definedName name="HTML3_12" hidden="1">"C:\My Documents\excel\vi0100b.htm"</definedName>
    <definedName name="HTML3_2" hidden="1">1</definedName>
    <definedName name="HTML3_3" hidden="1">"Vancouver Island Populaire"</definedName>
    <definedName name="HTML3_4" hidden="1">"VI0100B 970310"</definedName>
    <definedName name="HTML3_5" hidden="1">"Nanaimo--Lantzville--Yellow Point--Nanaimo"</definedName>
    <definedName name="HTML3_6" hidden="1">1</definedName>
    <definedName name="HTML3_7" hidden="1">1</definedName>
    <definedName name="HTML3_8" hidden="1">"26/10/97"</definedName>
    <definedName name="HTML3_9" hidden="1">"Stephen Hinde"</definedName>
    <definedName name="HTML4_1" hidden="1">"'[VI0100B.xls]VI0100B 971026'!$A$1:$I$47"</definedName>
    <definedName name="HTML4_10" hidden="1">""</definedName>
    <definedName name="HTML4_11" hidden="1">1</definedName>
    <definedName name="HTML4_12" hidden="1">"C:\My Documents\Web Page\VI0100B.htm"</definedName>
    <definedName name="HTML4_2" hidden="1">1</definedName>
    <definedName name="HTML4_3" hidden="1">"VI0100B"</definedName>
    <definedName name="HTML4_4" hidden="1">"VI0100B 971026"</definedName>
    <definedName name="HTML4_5" hidden="1">""</definedName>
    <definedName name="HTML4_6" hidden="1">-4146</definedName>
    <definedName name="HTML4_7" hidden="1">-4146</definedName>
    <definedName name="HTML4_8" hidden="1">"26/10/97"</definedName>
    <definedName name="HTML4_9" hidden="1">"Stephen Hinde"</definedName>
    <definedName name="HTML5_1" hidden="1">"'[VI0100B.xls]VI0100B 971026'!$A$1:$I$23"</definedName>
    <definedName name="HTML5_10" hidden="1">""</definedName>
    <definedName name="HTML5_11" hidden="1">1</definedName>
    <definedName name="HTML5_12" hidden="1">"C:\My Documents\Web Page\VI0100B top.htm"</definedName>
    <definedName name="HTML5_2" hidden="1">1</definedName>
    <definedName name="HTML5_3" hidden="1">"VI0100B"</definedName>
    <definedName name="HTML5_4" hidden="1">"VI0100B 971026"</definedName>
    <definedName name="HTML5_5" hidden="1">""</definedName>
    <definedName name="HTML5_6" hidden="1">-4146</definedName>
    <definedName name="HTML5_7" hidden="1">-4146</definedName>
    <definedName name="HTML5_8" hidden="1">"97-10-26"</definedName>
    <definedName name="HTML5_9" hidden="1">"Stephen Hinde"</definedName>
    <definedName name="HTML6_1" hidden="1">"'[VI0100B.xls]VI0100B 971026'!$A$25:$I$47"</definedName>
    <definedName name="HTML6_10" hidden="1">""</definedName>
    <definedName name="HTML6_11" hidden="1">1</definedName>
    <definedName name="HTML6_12" hidden="1">"C:\My Documents\Web Page\VI0100B bottom"</definedName>
    <definedName name="HTML6_2" hidden="1">1</definedName>
    <definedName name="HTML6_3" hidden="1">"VI0100B"</definedName>
    <definedName name="HTML6_4" hidden="1">"VI0100B 971026"</definedName>
    <definedName name="HTML6_5" hidden="1">""</definedName>
    <definedName name="HTML6_6" hidden="1">-4146</definedName>
    <definedName name="HTML6_7" hidden="1">-4146</definedName>
    <definedName name="HTML6_8" hidden="1">"97-10-26"</definedName>
    <definedName name="HTML6_9" hidden="1">"Stephen Hinde"</definedName>
    <definedName name="HTML7_1" hidden="1">"'[VI0200A  Tour of Cowichan Valley.xls]Web sheet'!$A$1:$E$92"</definedName>
    <definedName name="HTML7_10" hidden="1">"randos@island.net"</definedName>
    <definedName name="HTML7_11" hidden="1">1</definedName>
    <definedName name="HTML7_12" hidden="1">"C:\My Documents\Web Page\200km_route_sheet.htm"</definedName>
    <definedName name="HTML7_2" hidden="1">1</definedName>
    <definedName name="HTML7_3" hidden="1">"VI0200A  Tour of Cowichan Valley"</definedName>
    <definedName name="HTML7_4" hidden="1">"Vancouver Island 200 km Brevet"</definedName>
    <definedName name="HTML7_5" hidden="1">""</definedName>
    <definedName name="HTML7_6" hidden="1">1</definedName>
    <definedName name="HTML7_7" hidden="1">1</definedName>
    <definedName name="HTML7_8" hidden="1">"97-11-23"</definedName>
    <definedName name="HTML7_9" hidden="1">"Stephen Hinde"</definedName>
    <definedName name="HTML8_1" hidden="1">"'[VI0300A  Duncan--Victoria.xls]Web sheet'!$A$1:$E$161"</definedName>
    <definedName name="HTML8_10" hidden="1">"randos@island.net"</definedName>
    <definedName name="HTML8_11" hidden="1">1</definedName>
    <definedName name="HTML8_12" hidden="1">"C:\My Documents\Web Page\300km_route_sheet_duncan.htm"</definedName>
    <definedName name="HTML8_2" hidden="1">1</definedName>
    <definedName name="HTML8_3" hidden="1">"VI0300A  Duncan--Victoria"</definedName>
    <definedName name="HTML8_4" hidden="1">"Web sheet"</definedName>
    <definedName name="HTML8_5" hidden="1">""</definedName>
    <definedName name="HTML8_6" hidden="1">1</definedName>
    <definedName name="HTML8_7" hidden="1">1</definedName>
    <definedName name="HTML8_8" hidden="1">"98-01-25"</definedName>
    <definedName name="HTML8_9" hidden="1">"Stephen Hinde"</definedName>
    <definedName name="HTMLCount" hidden="1">8</definedName>
    <definedName name="Initial" localSheetId="1">#REF!</definedName>
    <definedName name="Initial" localSheetId="2">#REF!</definedName>
    <definedName name="Initial">#REF!</definedName>
    <definedName name="Locale">'Control Entry'!$E$15:$E$24</definedName>
    <definedName name="Max_time">'Control Entry'!$B$7</definedName>
    <definedName name="Open">'Control Entry'!$L$15:$L$24</definedName>
    <definedName name="Open_time">'Control Entry'!$N$15:$N$24</definedName>
    <definedName name="Postal_Code" localSheetId="1">#REF!</definedName>
    <definedName name="Postal_Code" localSheetId="2">#REF!</definedName>
    <definedName name="Postal_Code">#REF!</definedName>
    <definedName name="_xlnm.Print_Area" localSheetId="1">'Card #1'!$A$1:$K$55</definedName>
    <definedName name="_xlnm.Print_Area" localSheetId="2">'Card #2'!$A$1:$K$55</definedName>
    <definedName name="Province_State" localSheetId="1">#REF!</definedName>
    <definedName name="Province_State" localSheetId="2">#REF!</definedName>
    <definedName name="Province_State">#REF!</definedName>
    <definedName name="Start_date">'Control Entry'!$B$12</definedName>
    <definedName name="Start_time">'Control Entry'!$B$13</definedName>
    <definedName name="surname" localSheetId="1">#REF!</definedName>
    <definedName name="surname" localSheetId="2">#REF!</definedName>
    <definedName name="surname">#REF!</definedName>
    <definedName name="Work_telephone" localSheetId="1">#REF!</definedName>
    <definedName name="Work_telephone" localSheetId="2">#REF!</definedName>
    <definedName name="Work_telephon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36" i="1" l="1"/>
  <c r="D34" i="1"/>
  <c r="D35" i="1" s="1"/>
  <c r="D33" i="1"/>
  <c r="D32" i="1"/>
  <c r="D31" i="1"/>
  <c r="D30" i="1"/>
  <c r="D29" i="1"/>
  <c r="G50" i="8"/>
  <c r="G49" i="8"/>
  <c r="G48" i="8"/>
  <c r="F50" i="8"/>
  <c r="F49" i="8"/>
  <c r="F48" i="8"/>
  <c r="E49" i="8"/>
  <c r="B49" i="8"/>
  <c r="G47" i="8"/>
  <c r="G46" i="8"/>
  <c r="G45" i="8"/>
  <c r="F47" i="8"/>
  <c r="F46" i="8"/>
  <c r="F45" i="8"/>
  <c r="E46" i="8"/>
  <c r="G44" i="8"/>
  <c r="G43" i="8"/>
  <c r="G42" i="8"/>
  <c r="F44" i="8"/>
  <c r="F43" i="8"/>
  <c r="F42" i="8"/>
  <c r="E43" i="8"/>
  <c r="G41" i="8"/>
  <c r="G40" i="8"/>
  <c r="G39" i="8"/>
  <c r="F41" i="8"/>
  <c r="F40" i="8"/>
  <c r="F39" i="8"/>
  <c r="E40" i="8"/>
  <c r="G38" i="8"/>
  <c r="G37" i="8"/>
  <c r="G36" i="8"/>
  <c r="F38" i="8"/>
  <c r="F37" i="8"/>
  <c r="F36" i="8"/>
  <c r="E37" i="8"/>
  <c r="B37" i="8"/>
  <c r="G35" i="8"/>
  <c r="G34" i="8"/>
  <c r="G33" i="8"/>
  <c r="F35" i="8"/>
  <c r="F34" i="8"/>
  <c r="F33" i="8"/>
  <c r="E34" i="8"/>
  <c r="B34" i="8"/>
  <c r="G32" i="8"/>
  <c r="G31" i="8"/>
  <c r="G30" i="8"/>
  <c r="F32" i="8"/>
  <c r="F31" i="8"/>
  <c r="F30" i="8"/>
  <c r="E31" i="8"/>
  <c r="B31" i="8"/>
  <c r="G29" i="8"/>
  <c r="G28" i="8"/>
  <c r="G26" i="8"/>
  <c r="G25" i="8"/>
  <c r="G27" i="8"/>
  <c r="F29" i="8"/>
  <c r="F28" i="8"/>
  <c r="F27" i="8"/>
  <c r="E28" i="8"/>
  <c r="B28" i="8"/>
  <c r="G24" i="8"/>
  <c r="F26" i="8"/>
  <c r="F25" i="8"/>
  <c r="F24" i="8"/>
  <c r="E25" i="8"/>
  <c r="B25" i="8"/>
  <c r="B22" i="8"/>
  <c r="G23" i="8"/>
  <c r="G22" i="8"/>
  <c r="G21" i="8"/>
  <c r="F23" i="8"/>
  <c r="F22" i="8"/>
  <c r="F21" i="8"/>
  <c r="E22" i="8"/>
  <c r="C54" i="8"/>
  <c r="J52" i="8"/>
  <c r="I12" i="8"/>
  <c r="F12" i="8"/>
  <c r="E5" i="8"/>
  <c r="E4" i="8"/>
  <c r="J3" i="8"/>
  <c r="J2" i="8"/>
  <c r="M37" i="1"/>
  <c r="O37" i="1" s="1"/>
  <c r="D49" i="8" s="1"/>
  <c r="L37" i="1"/>
  <c r="N37" i="1" s="1"/>
  <c r="C48" i="8" s="1"/>
  <c r="M33" i="1"/>
  <c r="L33" i="1"/>
  <c r="M32" i="1"/>
  <c r="L32" i="1"/>
  <c r="M31" i="1"/>
  <c r="L31" i="1"/>
  <c r="M30" i="1"/>
  <c r="L30" i="1"/>
  <c r="M29" i="1"/>
  <c r="L29" i="1"/>
  <c r="M28" i="1"/>
  <c r="L28" i="1"/>
  <c r="M34" i="1" l="1"/>
  <c r="L34" i="1"/>
  <c r="B40" i="8"/>
  <c r="D50" i="8"/>
  <c r="C49" i="8"/>
  <c r="C50" i="8"/>
  <c r="D48" i="8"/>
  <c r="L7" i="1"/>
  <c r="M35" i="1" l="1"/>
  <c r="L35" i="1"/>
  <c r="B43" i="8"/>
  <c r="E5" i="7"/>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G22" i="7"/>
  <c r="G21" i="7"/>
  <c r="F50" i="7"/>
  <c r="F49" i="7"/>
  <c r="E49" i="7"/>
  <c r="B49" i="7"/>
  <c r="F48" i="7"/>
  <c r="F47" i="7"/>
  <c r="F46" i="7"/>
  <c r="E46" i="7"/>
  <c r="B46" i="7"/>
  <c r="F45" i="7"/>
  <c r="F44" i="7"/>
  <c r="F43" i="7"/>
  <c r="E43" i="7"/>
  <c r="B43" i="7"/>
  <c r="F42" i="7"/>
  <c r="F41" i="7"/>
  <c r="F40" i="7"/>
  <c r="E40" i="7"/>
  <c r="B40" i="7"/>
  <c r="F39" i="7"/>
  <c r="F38" i="7"/>
  <c r="F37" i="7"/>
  <c r="E37" i="7"/>
  <c r="B37" i="7"/>
  <c r="F36" i="7"/>
  <c r="F35" i="7"/>
  <c r="F34" i="7"/>
  <c r="E34" i="7"/>
  <c r="B34" i="7"/>
  <c r="F33" i="7"/>
  <c r="F32" i="7"/>
  <c r="F31" i="7"/>
  <c r="E31" i="7"/>
  <c r="B31" i="7"/>
  <c r="F30" i="7"/>
  <c r="F29" i="7"/>
  <c r="F28" i="7"/>
  <c r="E28" i="7"/>
  <c r="B28" i="7"/>
  <c r="F27" i="7"/>
  <c r="F26" i="7"/>
  <c r="F25" i="7"/>
  <c r="E25" i="7"/>
  <c r="B25" i="7"/>
  <c r="F24" i="7"/>
  <c r="F23" i="7"/>
  <c r="F22" i="7"/>
  <c r="E22" i="7"/>
  <c r="B22" i="7"/>
  <c r="F21" i="7"/>
  <c r="M36" i="1" l="1"/>
  <c r="L36" i="1"/>
  <c r="B46" i="8"/>
  <c r="J52" i="7"/>
  <c r="I12" i="7"/>
  <c r="F12" i="7"/>
  <c r="J2" i="7"/>
  <c r="C54" i="7"/>
  <c r="J3" i="7"/>
  <c r="E4" i="7" l="1"/>
  <c r="L15" i="1" l="1"/>
  <c r="N15" i="1" s="1"/>
  <c r="C6" i="1"/>
  <c r="L24" i="1"/>
  <c r="L23" i="1"/>
  <c r="L22" i="1"/>
  <c r="L21" i="1"/>
  <c r="L20" i="1"/>
  <c r="L19" i="1"/>
  <c r="L18" i="1"/>
  <c r="L17" i="1"/>
  <c r="L16" i="1"/>
  <c r="N32" i="1" l="1"/>
  <c r="N33" i="1"/>
  <c r="O29" i="1"/>
  <c r="O33" i="1"/>
  <c r="O32" i="1"/>
  <c r="O30" i="1"/>
  <c r="O31" i="1"/>
  <c r="N29" i="1"/>
  <c r="N30" i="1"/>
  <c r="N31" i="1"/>
  <c r="O34" i="1"/>
  <c r="N34" i="1"/>
  <c r="N35" i="1"/>
  <c r="O35" i="1"/>
  <c r="N36" i="1"/>
  <c r="O36" i="1"/>
  <c r="N28" i="1"/>
  <c r="O28" i="1"/>
  <c r="M16" i="1"/>
  <c r="C22" i="7"/>
  <c r="C23" i="7"/>
  <c r="C21" i="7"/>
  <c r="B7" i="1"/>
  <c r="M21" i="1" s="1"/>
  <c r="O21" i="1" s="1"/>
  <c r="O16" i="1"/>
  <c r="M18" i="1"/>
  <c r="O18" i="1" s="1"/>
  <c r="M17" i="1"/>
  <c r="O17" i="1" s="1"/>
  <c r="M15" i="1"/>
  <c r="O15" i="1" s="1"/>
  <c r="N18" i="1"/>
  <c r="N22" i="1"/>
  <c r="N17" i="1"/>
  <c r="N21" i="1"/>
  <c r="N24" i="1"/>
  <c r="N16" i="1"/>
  <c r="N20" i="1"/>
  <c r="N19" i="1"/>
  <c r="N23" i="1"/>
  <c r="D47" i="8" l="1"/>
  <c r="D46" i="8"/>
  <c r="D45" i="8"/>
  <c r="C24" i="8"/>
  <c r="C25" i="8"/>
  <c r="C26" i="8"/>
  <c r="C45" i="8"/>
  <c r="C46" i="8"/>
  <c r="C47" i="8"/>
  <c r="D31" i="8"/>
  <c r="D32" i="8"/>
  <c r="D30" i="8"/>
  <c r="D28" i="8"/>
  <c r="D29" i="8"/>
  <c r="D27" i="8"/>
  <c r="C41" i="8"/>
  <c r="C39" i="8"/>
  <c r="C40" i="8"/>
  <c r="D37" i="8"/>
  <c r="D36" i="8"/>
  <c r="D38" i="8"/>
  <c r="D41" i="8"/>
  <c r="D39" i="8"/>
  <c r="D40" i="8"/>
  <c r="D25" i="8"/>
  <c r="D24" i="8"/>
  <c r="D26" i="8"/>
  <c r="D35" i="8"/>
  <c r="D33" i="8"/>
  <c r="D34" i="8"/>
  <c r="C30" i="8"/>
  <c r="C31" i="8"/>
  <c r="C32" i="8"/>
  <c r="C36" i="8"/>
  <c r="C38" i="8"/>
  <c r="C37" i="8"/>
  <c r="D42" i="8"/>
  <c r="D43" i="8"/>
  <c r="D44" i="8"/>
  <c r="C43" i="8"/>
  <c r="C44" i="8"/>
  <c r="C42" i="8"/>
  <c r="C27" i="8"/>
  <c r="C28" i="8"/>
  <c r="C29" i="8"/>
  <c r="C35" i="8"/>
  <c r="C33" i="8"/>
  <c r="C34" i="8"/>
  <c r="M19" i="1"/>
  <c r="O19" i="1" s="1"/>
  <c r="D33" i="7" s="1"/>
  <c r="C21" i="8"/>
  <c r="C23" i="8"/>
  <c r="C22" i="8"/>
  <c r="D21" i="8"/>
  <c r="D22" i="8"/>
  <c r="D23" i="8"/>
  <c r="M24" i="1"/>
  <c r="O24" i="1" s="1"/>
  <c r="M23" i="1"/>
  <c r="O23" i="1" s="1"/>
  <c r="M20" i="1"/>
  <c r="O20" i="1" s="1"/>
  <c r="M22" i="1"/>
  <c r="O22" i="1" s="1"/>
  <c r="D29" i="7"/>
  <c r="D28" i="7"/>
  <c r="D27" i="7"/>
  <c r="C26" i="7"/>
  <c r="C25" i="7"/>
  <c r="C24" i="7"/>
  <c r="D26" i="7"/>
  <c r="D24" i="7"/>
  <c r="D25" i="7"/>
  <c r="C47" i="7"/>
  <c r="C45" i="7"/>
  <c r="C46" i="7"/>
  <c r="D41" i="7"/>
  <c r="D40" i="7"/>
  <c r="D39" i="7"/>
  <c r="C39" i="7"/>
  <c r="C41" i="7"/>
  <c r="C40" i="7"/>
  <c r="C43" i="7"/>
  <c r="C42" i="7"/>
  <c r="C44" i="7"/>
  <c r="C31" i="7"/>
  <c r="C32" i="7"/>
  <c r="C30" i="7"/>
  <c r="D23" i="7"/>
  <c r="D21" i="7"/>
  <c r="D22" i="7"/>
  <c r="C50" i="7"/>
  <c r="C49" i="7"/>
  <c r="C48" i="7"/>
  <c r="C35" i="7"/>
  <c r="C33" i="7"/>
  <c r="C34" i="7"/>
  <c r="C38" i="7"/>
  <c r="C37" i="7"/>
  <c r="C36" i="7"/>
  <c r="C29" i="7"/>
  <c r="C27" i="7"/>
  <c r="C28" i="7"/>
  <c r="D35" i="7"/>
  <c r="D34" i="7"/>
  <c r="D31" i="7"/>
  <c r="D32" i="7"/>
  <c r="D30" i="7"/>
  <c r="D37" i="7" l="1"/>
  <c r="D47" i="7"/>
  <c r="D50" i="7"/>
  <c r="D44" i="7"/>
  <c r="D48" i="7"/>
  <c r="D49" i="7"/>
  <c r="D38" i="7"/>
  <c r="D36" i="7"/>
  <c r="D42" i="7"/>
  <c r="D46" i="7"/>
  <c r="D45" i="7"/>
  <c r="D43"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Stephen Hinde</author>
    <author>A satisfied Microsoft Office user</author>
  </authors>
  <commentList>
    <comment ref="B4" authorId="0" shapeId="0" xr:uid="{4563209B-AACD-704D-A715-734D9228E28F}">
      <text>
        <r>
          <rPr>
            <b/>
            <sz val="10"/>
            <color rgb="FF000000"/>
            <rFont val="Tahoma"/>
            <family val="2"/>
          </rPr>
          <t>Stephen Hinde:</t>
        </r>
        <r>
          <rPr>
            <sz val="10"/>
            <color rgb="FF000000"/>
            <rFont val="Tahoma"/>
            <family val="2"/>
          </rPr>
          <t xml:space="preserve">Revision date of the brevet details on this sheet
</t>
        </r>
      </text>
    </comment>
    <comment ref="B6" authorId="0" shapeId="0" xr:uid="{00000000-0006-0000-0000-000001000000}">
      <text>
        <r>
          <rPr>
            <b/>
            <sz val="10"/>
            <color rgb="FF000000"/>
            <rFont val="Tahoma"/>
            <family val="2"/>
          </rPr>
          <t>Stephen Hinde:</t>
        </r>
        <r>
          <rPr>
            <sz val="10"/>
            <color rgb="FF000000"/>
            <rFont val="Tahoma"/>
            <family val="2"/>
          </rPr>
          <t xml:space="preserve">
</t>
        </r>
        <r>
          <rPr>
            <sz val="10"/>
            <color rgb="FF000000"/>
            <rFont val="Tahoma"/>
            <family val="2"/>
          </rPr>
          <t xml:space="preserve">Nominal ACP distance
</t>
        </r>
        <r>
          <rPr>
            <sz val="10"/>
            <color rgb="FF000000"/>
            <rFont val="Tahoma"/>
            <family val="2"/>
          </rPr>
          <t xml:space="preserve">1200, 1000, 600, 400, 300, 200, 150, 100, 50, 25
</t>
        </r>
      </text>
    </comment>
    <comment ref="B7" authorId="1" shapeId="0" xr:uid="{00000000-0006-0000-0000-000002000000}">
      <text>
        <r>
          <rPr>
            <sz val="8"/>
            <color rgb="FF000000"/>
            <rFont val="Tahoma"/>
            <family val="2"/>
          </rPr>
          <t>Autocalculated based on ACP specified times</t>
        </r>
      </text>
    </comment>
    <comment ref="B8" authorId="0" shapeId="0" xr:uid="{3C1C451D-6AE0-F242-A53A-80693F934BEF}">
      <text>
        <r>
          <rPr>
            <b/>
            <sz val="10"/>
            <color rgb="FF000000"/>
            <rFont val="Tahoma"/>
            <family val="2"/>
          </rPr>
          <t>Stephen Hinde:</t>
        </r>
        <r>
          <rPr>
            <sz val="10"/>
            <color rgb="FF000000"/>
            <rFont val="Tahoma"/>
            <family val="2"/>
          </rPr>
          <t xml:space="preserve">
</t>
        </r>
        <r>
          <rPr>
            <sz val="10"/>
            <color rgb="FF000000"/>
            <rFont val="Tahoma"/>
            <family val="2"/>
          </rPr>
          <t xml:space="preserve">Name of event
</t>
        </r>
      </text>
    </comment>
    <comment ref="B9" authorId="0" shapeId="0" xr:uid="{00000000-0006-0000-0000-000003000000}">
      <text>
        <r>
          <rPr>
            <b/>
            <sz val="10"/>
            <color rgb="FF000000"/>
            <rFont val="Tahoma"/>
            <family val="2"/>
          </rPr>
          <t>Stephen Hinde:</t>
        </r>
        <r>
          <rPr>
            <sz val="10"/>
            <color rgb="FF000000"/>
            <rFont val="Tahoma"/>
            <family val="2"/>
          </rPr>
          <t xml:space="preserve">
</t>
        </r>
        <r>
          <rPr>
            <sz val="10"/>
            <color rgb="FF000000"/>
            <rFont val="Tahoma"/>
            <family val="2"/>
          </rPr>
          <t>On event page</t>
        </r>
      </text>
    </comment>
    <comment ref="B10" authorId="0" shapeId="0" xr:uid="{00000000-0006-0000-0000-000004000000}">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F10" authorId="0" shapeId="0" xr:uid="{C2700BB7-AC40-4846-9773-3956CB914942}">
      <text>
        <r>
          <rPr>
            <b/>
            <sz val="10"/>
            <color rgb="FF000000"/>
            <rFont val="Tahoma"/>
            <family val="2"/>
          </rPr>
          <t>Stephen Hinde:</t>
        </r>
        <r>
          <rPr>
            <sz val="10"/>
            <color rgb="FF000000"/>
            <rFont val="Tahoma"/>
            <family val="2"/>
          </rPr>
          <t xml:space="preserve">
</t>
        </r>
        <r>
          <rPr>
            <sz val="10"/>
            <color rgb="FF000000"/>
            <rFont val="Tahoma"/>
            <family val="2"/>
          </rPr>
          <t xml:space="preserve">Optional.  </t>
        </r>
      </text>
    </comment>
    <comment ref="B12" authorId="0" shapeId="0" xr:uid="{23558CA1-4512-6144-8D64-23E7C0C33489}">
      <text>
        <r>
          <rPr>
            <b/>
            <sz val="10"/>
            <color rgb="FF000000"/>
            <rFont val="Tahoma"/>
            <family val="2"/>
          </rPr>
          <t>Stephen Hinde:</t>
        </r>
        <r>
          <rPr>
            <sz val="10"/>
            <color rgb="FF000000"/>
            <rFont val="Tahoma"/>
            <family val="2"/>
          </rPr>
          <t xml:space="preserve">
</t>
        </r>
        <r>
          <rPr>
            <sz val="10"/>
            <color rgb="FF000000"/>
            <rFont val="Tahoma"/>
            <family val="2"/>
          </rPr>
          <t xml:space="preserve">Ride date
</t>
        </r>
      </text>
    </comment>
    <comment ref="B13" authorId="0" shapeId="0" xr:uid="{B42762EC-1925-AE46-9F2A-7C3A271E16AF}">
      <text>
        <r>
          <rPr>
            <b/>
            <sz val="10"/>
            <color rgb="FF000000"/>
            <rFont val="Tahoma"/>
            <family val="2"/>
          </rPr>
          <t>Stephen Hinde:</t>
        </r>
        <r>
          <rPr>
            <sz val="10"/>
            <color rgb="FF000000"/>
            <rFont val="Tahoma"/>
            <family val="2"/>
          </rPr>
          <t xml:space="preserve">
</t>
        </r>
        <r>
          <rPr>
            <sz val="10"/>
            <color rgb="FF000000"/>
            <rFont val="Tahoma"/>
            <family val="2"/>
          </rPr>
          <t xml:space="preserve">24hr clock format
</t>
        </r>
        <r>
          <rPr>
            <sz val="10"/>
            <color rgb="FF000000"/>
            <rFont val="Tahoma"/>
            <family val="2"/>
          </rPr>
          <t>hh:mm</t>
        </r>
      </text>
    </comment>
    <comment ref="F14" authorId="0" shapeId="0" xr:uid="{E6B5DB4F-63CC-9A4E-B02A-4C28633B0FBD}">
      <text>
        <r>
          <rPr>
            <b/>
            <sz val="10"/>
            <color rgb="FF000000"/>
            <rFont val="Tahoma"/>
            <family val="2"/>
          </rPr>
          <t>Stephen Hinde:</t>
        </r>
        <r>
          <rPr>
            <sz val="10"/>
            <color rgb="FF000000"/>
            <rFont val="Tahoma"/>
            <family val="2"/>
          </rPr>
          <t xml:space="preserve">
</t>
        </r>
        <r>
          <rPr>
            <sz val="10"/>
            <color rgb="FF000000"/>
            <rFont val="Tahoma"/>
            <family val="2"/>
          </rPr>
          <t xml:space="preserve">It is recommended to put the type of control in this space ie 
</t>
        </r>
        <r>
          <rPr>
            <sz val="10"/>
            <color rgb="FF000000"/>
            <rFont val="Tahoma"/>
            <family val="2"/>
          </rPr>
          <t xml:space="preserve">STAFFED
</t>
        </r>
        <r>
          <rPr>
            <sz val="10"/>
            <color rgb="FF000000"/>
            <rFont val="Tahoma"/>
            <family val="2"/>
          </rPr>
          <t xml:space="preserve">BUSINESS INFORMATION
</t>
        </r>
        <r>
          <rPr>
            <sz val="10"/>
            <color rgb="FF000000"/>
            <rFont val="Tahoma"/>
            <family val="2"/>
          </rPr>
          <t>SELF CHECK</t>
        </r>
      </text>
    </comment>
  </commentList>
</comments>
</file>

<file path=xl/sharedStrings.xml><?xml version="1.0" encoding="utf-8"?>
<sst xmlns="http://schemas.openxmlformats.org/spreadsheetml/2006/main" count="207" uniqueCount="110">
  <si>
    <t>Open</t>
  </si>
  <si>
    <t>Close</t>
  </si>
  <si>
    <t>Open time</t>
  </si>
  <si>
    <t>Close time</t>
  </si>
  <si>
    <t>Control 1</t>
  </si>
  <si>
    <t>Control 2</t>
  </si>
  <si>
    <t>Control 3</t>
  </si>
  <si>
    <t>Control 4</t>
  </si>
  <si>
    <t>Control 5</t>
  </si>
  <si>
    <t>Control 6</t>
  </si>
  <si>
    <t>Control 7</t>
  </si>
  <si>
    <t>Control 8</t>
  </si>
  <si>
    <t>Control 9</t>
  </si>
  <si>
    <t>Control 10</t>
  </si>
  <si>
    <t>Rider's signature at completion</t>
  </si>
  <si>
    <t>Brevet Length:</t>
  </si>
  <si>
    <t>Maximum Time:</t>
  </si>
  <si>
    <t>Brevet Description:</t>
  </si>
  <si>
    <t>Brevet Number:</t>
  </si>
  <si>
    <t>Start Date:</t>
  </si>
  <si>
    <t>Start Time:</t>
  </si>
  <si>
    <t>Distance</t>
  </si>
  <si>
    <t>Locale</t>
  </si>
  <si>
    <t>Establishment 1</t>
  </si>
  <si>
    <t>Establishment 2</t>
  </si>
  <si>
    <t>Establishment 3</t>
  </si>
  <si>
    <t>DIST (km)</t>
  </si>
  <si>
    <t>Establishment</t>
  </si>
  <si>
    <t>Time of Passage</t>
  </si>
  <si>
    <t>Control Card</t>
  </si>
  <si>
    <t>Report results or abandonment through registration email link</t>
  </si>
  <si>
    <t>Member #</t>
  </si>
  <si>
    <t>Schedule date:</t>
  </si>
  <si>
    <t>Founding member of LES RANDONNEURS MONDIAUX (1983)</t>
  </si>
  <si>
    <t>Bicycle Type
Circle one</t>
  </si>
  <si>
    <t>-------&gt;</t>
  </si>
  <si>
    <t>Signature/Answer</t>
  </si>
  <si>
    <t>Signature/Answer 1</t>
  </si>
  <si>
    <t>Signature/Answer 2</t>
  </si>
  <si>
    <t>Signature/Answer 3</t>
  </si>
  <si>
    <t>Instructions</t>
  </si>
  <si>
    <t>Fill nominal brevet length.  This is the ACP distance eg 200, 300, 1000</t>
  </si>
  <si>
    <t>Maximum allowable time automatically calculated</t>
  </si>
  <si>
    <t>Enter the brevet name eg 'Remembrance Day Brevet'</t>
  </si>
  <si>
    <t>Enter the brevet number.  This is the BCR database number, and can be found on the event page in the database</t>
  </si>
  <si>
    <t>Enter the schedule date.  This is the official ACP listed date and can be found on the shcedule on the website</t>
  </si>
  <si>
    <t>When using information controls, you can put your question in the Signature/Answer section eg Sig/Ans.1 Sign on main door  Sig/Ans. 2  This week's special is?  Sig/Ans. 3 ________________</t>
  </si>
  <si>
    <t>Control Card #1 Information Control Question (optional)</t>
  </si>
  <si>
    <t>Enter the start time.  This will be the official ACP listed start time found on the event page, unless a ride window has been enabled.</t>
  </si>
  <si>
    <t>Enter the start date.  This will be the same as the schedule date, exceot for pre-rides or unless a ride window has been enabled.</t>
  </si>
  <si>
    <r>
      <t xml:space="preserve">At each control, please </t>
    </r>
    <r>
      <rPr>
        <b/>
        <i/>
        <sz val="16"/>
        <rFont val="Arial"/>
        <family val="2"/>
      </rPr>
      <t>have signed or answer question</t>
    </r>
    <r>
      <rPr>
        <i/>
        <sz val="16"/>
        <rFont val="Arial"/>
        <family val="2"/>
      </rPr>
      <t xml:space="preserve"> and</t>
    </r>
    <r>
      <rPr>
        <b/>
        <i/>
        <sz val="16"/>
        <rFont val="Arial"/>
        <family val="2"/>
      </rPr>
      <t xml:space="preserve"> note time of day</t>
    </r>
  </si>
  <si>
    <t>Control Card #1</t>
  </si>
  <si>
    <t xml:space="preserve">Template Revised:  </t>
  </si>
  <si>
    <t>Scroll right to see further instructions</t>
  </si>
  <si>
    <t xml:space="preserve">Card Revised:  </t>
  </si>
  <si>
    <t>DO NOT MOVE OR DELETE ROWS OR COLUMNS (delete contents of cells only)</t>
  </si>
  <si>
    <t xml:space="preserve">Organizer: </t>
  </si>
  <si>
    <t>Single     Tandem     Fixed     Recumbent     Velomobile</t>
  </si>
  <si>
    <t>Card revised:</t>
  </si>
  <si>
    <t>Template revised:</t>
  </si>
  <si>
    <t>Brevet #</t>
  </si>
  <si>
    <t>Rider:</t>
  </si>
  <si>
    <t>Finish Date:</t>
  </si>
  <si>
    <t>Start time:</t>
  </si>
  <si>
    <t>Finish time:</t>
  </si>
  <si>
    <t>Elapsed time:</t>
  </si>
  <si>
    <t>Organizer phone #</t>
  </si>
  <si>
    <t>Organizer phone number is optional</t>
  </si>
  <si>
    <t>Fill in the Locale (city) for each control.  Establishment 1, 2, and 3 can be used to describe the control itself eg Locale HOPE  Est.1  BUSINESS Est.2 Dairy Queen Est.3 817 Water Ave .  For a secret control, use SECRET as the locale.</t>
  </si>
  <si>
    <t>Control Card #2</t>
  </si>
  <si>
    <t>Control Card #2 Information Control Question (optional)</t>
  </si>
  <si>
    <t>You can create 2control cards  (upto 20 controls) for one event, or 2control cards (up to 10 controls) with different start loctions for a single event.</t>
  </si>
  <si>
    <t>Fill in the control distance.  The opening and closing times will be automatically calculated based on the start time and the brevet distance.  If you need more than 10 controls, or need an alternate start loction, use card #2, otherwise leave that section blank.</t>
  </si>
  <si>
    <t>(circle)</t>
  </si>
  <si>
    <t>COURTENAY</t>
  </si>
  <si>
    <t>Royal Lepage</t>
  </si>
  <si>
    <t>Your choice</t>
  </si>
  <si>
    <t>750 Comox Rd</t>
  </si>
  <si>
    <t>Parks and Rivers</t>
  </si>
  <si>
    <t>‭1 (604) 866-7804‬</t>
  </si>
  <si>
    <t>CAMPBELL RIVER</t>
  </si>
  <si>
    <t>Discovery Harbour Centre</t>
  </si>
  <si>
    <t>CUMBERLAND</t>
  </si>
  <si>
    <t>Gas N Go</t>
  </si>
  <si>
    <t>4690 Cumberland Rd</t>
  </si>
  <si>
    <t>LITTLE RIVER</t>
  </si>
  <si>
    <t>HORNE LAKE</t>
  </si>
  <si>
    <t>Petrocanada</t>
  </si>
  <si>
    <t>700 Horne Lake Rd</t>
  </si>
  <si>
    <t>PARKSVILLE</t>
  </si>
  <si>
    <t>Chevron Gas</t>
  </si>
  <si>
    <t>112 Island Hwy W</t>
  </si>
  <si>
    <t>LITTLE QUALICUM</t>
  </si>
  <si>
    <t>Middle Bridge</t>
  </si>
  <si>
    <t>Little Qualicum Falls Provincial Park</t>
  </si>
  <si>
    <t>DEEP BAY</t>
  </si>
  <si>
    <t>Mapleguard Point</t>
  </si>
  <si>
    <t>5550 Deep Bay Dr</t>
  </si>
  <si>
    <t>Sign post at beach access</t>
  </si>
  <si>
    <t>Where is no fires sign?</t>
  </si>
  <si>
    <t>TOP                   BOTTOM</t>
  </si>
  <si>
    <t>Self sign if closed</t>
  </si>
  <si>
    <t>STAFFED</t>
  </si>
  <si>
    <t>INFORMATION</t>
  </si>
  <si>
    <t>BUSINESS</t>
  </si>
  <si>
    <t>end of road</t>
  </si>
  <si>
    <t>Singing Sands Beach Access</t>
  </si>
  <si>
    <t>"…fires and/or _____??_____on beach…"</t>
  </si>
  <si>
    <t>Sit on bench, yellow sign in front</t>
  </si>
  <si>
    <t>"____?____Danger…"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</si>
</sst>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m/yy\ hh:mm\ AM/PM"/>
    <numFmt numFmtId="165" formatCode="d/mmm/yy"/>
    <numFmt numFmtId="166" formatCode="dddd"/>
    <numFmt numFmtId="167" formatCode="0.0"/>
    <numFmt numFmtId="168" formatCode="mmmm\ d\,\ yyyy"/>
    <numFmt numFmtId="169" formatCode="[&lt;=9999999]###\-####;###\-###\-####"/>
  </numFmts>
  <fonts count="37" x14ac:knownFonts="1">
    <font>
      <sz val="10"/>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sz val="12"/>
      <name val="Arial"/>
      <family val="2"/>
    </font>
    <font>
      <sz val="14"/>
      <name val="Arial"/>
      <family val="2"/>
    </font>
    <font>
      <sz val="20"/>
      <name val="Arial"/>
      <family val="2"/>
    </font>
    <font>
      <sz val="36"/>
      <name val="Arial"/>
      <family val="2"/>
    </font>
    <font>
      <sz val="16"/>
      <name val="Arial"/>
      <family val="2"/>
    </font>
    <font>
      <sz val="18"/>
      <name val="Arial"/>
      <family val="2"/>
    </font>
    <font>
      <sz val="14"/>
      <name val="Arial Narrow"/>
      <family val="2"/>
    </font>
    <font>
      <sz val="8"/>
      <name val="Arial"/>
      <family val="2"/>
    </font>
    <font>
      <u/>
      <sz val="10"/>
      <color theme="10"/>
      <name val="Arial"/>
      <family val="2"/>
    </font>
    <font>
      <u/>
      <sz val="10"/>
      <color theme="11"/>
      <name val="Arial"/>
      <family val="2"/>
    </font>
    <font>
      <b/>
      <sz val="16"/>
      <name val="Arial"/>
      <family val="2"/>
    </font>
    <font>
      <sz val="8"/>
      <color rgb="FF000000"/>
      <name val="Tahoma"/>
      <family val="2"/>
    </font>
    <font>
      <i/>
      <sz val="16"/>
      <name val="Arial"/>
      <family val="2"/>
    </font>
    <font>
      <b/>
      <i/>
      <sz val="16"/>
      <name val="Arial"/>
      <family val="2"/>
    </font>
    <font>
      <sz val="16"/>
      <name val="Arial Narrow"/>
      <family val="2"/>
    </font>
    <font>
      <sz val="11"/>
      <color theme="1"/>
      <name val="Calibri"/>
      <family val="2"/>
      <scheme val="minor"/>
    </font>
    <font>
      <sz val="10"/>
      <color rgb="FF000000"/>
      <name val="Tahoma"/>
      <family val="2"/>
    </font>
    <font>
      <b/>
      <sz val="10"/>
      <color rgb="FF000000"/>
      <name val="Tahoma"/>
      <family val="2"/>
    </font>
    <font>
      <sz val="10"/>
      <name val="Arial Narrow"/>
      <family val="2"/>
    </font>
    <font>
      <sz val="16"/>
      <color rgb="FFFF0000"/>
      <name val="Arial"/>
      <family val="2"/>
    </font>
    <font>
      <sz val="9"/>
      <name val="Arial"/>
      <family val="2"/>
    </font>
    <font>
      <sz val="11"/>
      <name val="Arial Narrow"/>
      <family val="2"/>
    </font>
    <font>
      <sz val="22"/>
      <name val="Arial"/>
      <family val="2"/>
    </font>
    <font>
      <b/>
      <sz val="18"/>
      <name val="Arial"/>
      <family val="2"/>
    </font>
    <font>
      <sz val="14"/>
      <color rgb="FFFF0000"/>
      <name val="Arial"/>
      <family val="2"/>
    </font>
    <font>
      <sz val="11"/>
      <name val="Arial"/>
      <family val="2"/>
    </font>
    <font>
      <sz val="11"/>
      <color rgb="FFFF0000"/>
      <name val="Arial"/>
      <family val="2"/>
    </font>
    <font>
      <b/>
      <sz val="22"/>
      <name val="Arial"/>
      <family val="2"/>
    </font>
    <font>
      <sz val="20"/>
      <name val="Arial Narrow"/>
      <family val="2"/>
    </font>
    <font>
      <b/>
      <sz val="20"/>
      <name val="Arial Narrow"/>
      <family val="2"/>
    </font>
    <font>
      <sz val="12"/>
      <name val="Arial Narrow"/>
      <family val="2"/>
    </font>
  </fonts>
  <fills count="3">
    <fill>
      <patternFill patternType="none"/>
    </fill>
    <fill>
      <patternFill patternType="gray125"/>
    </fill>
    <fill>
      <patternFill patternType="solid">
        <fgColor indexed="22"/>
        <bgColor indexed="64"/>
      </patternFill>
    </fill>
  </fills>
  <borders count="31">
    <border>
      <left/>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top style="thin">
        <color auto="1"/>
      </top>
      <bottom style="thin">
        <color auto="1"/>
      </bottom>
      <diagonal/>
    </border>
    <border>
      <left style="medium">
        <color auto="1"/>
      </left>
      <right/>
      <top style="medium">
        <color auto="1"/>
      </top>
      <bottom style="thin">
        <color auto="1"/>
      </bottom>
      <diagonal/>
    </border>
    <border>
      <left style="medium">
        <color auto="1"/>
      </left>
      <right style="medium">
        <color auto="1"/>
      </right>
      <top style="medium">
        <color auto="1"/>
      </top>
      <bottom/>
      <diagonal/>
    </border>
    <border>
      <left/>
      <right/>
      <top/>
      <bottom style="double">
        <color indexed="64"/>
      </bottom>
      <diagonal/>
    </border>
    <border>
      <left style="medium">
        <color auto="1"/>
      </left>
      <right/>
      <top/>
      <bottom style="thin">
        <color auto="1"/>
      </bottom>
      <diagonal/>
    </border>
  </borders>
  <cellStyleXfs count="356">
    <xf numFmtId="0" fontId="0"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21" fillId="0" borderId="0"/>
    <xf numFmtId="0" fontId="4" fillId="0" borderId="0"/>
    <xf numFmtId="0" fontId="5" fillId="0" borderId="0"/>
    <xf numFmtId="0" fontId="3" fillId="0" borderId="0"/>
    <xf numFmtId="0" fontId="2" fillId="0" borderId="0"/>
    <xf numFmtId="0" fontId="1"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142">
    <xf numFmtId="0" fontId="0" fillId="0" borderId="0" xfId="0"/>
    <xf numFmtId="0" fontId="0" fillId="0" borderId="0" xfId="0" applyAlignment="1">
      <alignment horizontal="right"/>
    </xf>
    <xf numFmtId="0" fontId="0" fillId="0" borderId="0" xfId="0" applyProtection="1">
      <protection hidden="1"/>
    </xf>
    <xf numFmtId="164" fontId="0" fillId="0" borderId="0" xfId="0" applyNumberFormat="1"/>
    <xf numFmtId="164" fontId="0" fillId="0" borderId="0" xfId="0" applyNumberFormat="1" applyAlignment="1">
      <alignment horizontal="center" vertical="center" wrapText="1"/>
    </xf>
    <xf numFmtId="0" fontId="0" fillId="2" borderId="11" xfId="0" applyFill="1" applyBorder="1"/>
    <xf numFmtId="0" fontId="0" fillId="2" borderId="12" xfId="0" applyFill="1" applyBorder="1"/>
    <xf numFmtId="0" fontId="0" fillId="2" borderId="10" xfId="0" applyFill="1" applyBorder="1"/>
    <xf numFmtId="0" fontId="7" fillId="2" borderId="15" xfId="0" applyFont="1" applyFill="1" applyBorder="1" applyAlignment="1">
      <alignment horizontal="center"/>
    </xf>
    <xf numFmtId="0" fontId="0" fillId="2" borderId="7" xfId="0" applyFill="1" applyBorder="1" applyAlignment="1">
      <alignment horizontal="right"/>
    </xf>
    <xf numFmtId="0" fontId="0" fillId="2" borderId="1" xfId="0" applyFill="1" applyBorder="1" applyAlignment="1">
      <alignment horizontal="right"/>
    </xf>
    <xf numFmtId="0" fontId="0" fillId="2" borderId="3" xfId="0" applyFill="1" applyBorder="1" applyAlignment="1">
      <alignment horizontal="right"/>
    </xf>
    <xf numFmtId="0" fontId="0" fillId="0" borderId="0" xfId="0" applyAlignment="1">
      <alignment vertical="top" textRotation="90"/>
    </xf>
    <xf numFmtId="0" fontId="0" fillId="0" borderId="0" xfId="0" applyAlignment="1" applyProtection="1">
      <alignment horizontal="centerContinuous"/>
      <protection hidden="1"/>
    </xf>
    <xf numFmtId="0" fontId="0" fillId="0" borderId="0" xfId="0" applyAlignment="1">
      <alignment horizontal="centerContinuous"/>
    </xf>
    <xf numFmtId="167" fontId="0" fillId="0" borderId="13" xfId="0" applyNumberFormat="1" applyBorder="1" applyProtection="1">
      <protection locked="0"/>
    </xf>
    <xf numFmtId="0" fontId="0" fillId="0" borderId="0" xfId="0" applyAlignment="1">
      <alignment horizontal="center"/>
    </xf>
    <xf numFmtId="0" fontId="10" fillId="0" borderId="0" xfId="0" applyFont="1" applyAlignment="1">
      <alignment horizontal="right"/>
    </xf>
    <xf numFmtId="0" fontId="5" fillId="2" borderId="3" xfId="0" applyFont="1" applyFill="1" applyBorder="1" applyAlignment="1">
      <alignment horizontal="right"/>
    </xf>
    <xf numFmtId="0" fontId="10" fillId="0" borderId="0" xfId="0" applyFont="1" applyAlignment="1">
      <alignment vertical="center"/>
    </xf>
    <xf numFmtId="167" fontId="0" fillId="0" borderId="23" xfId="0" applyNumberFormat="1" applyBorder="1" applyProtection="1">
      <protection locked="0"/>
    </xf>
    <xf numFmtId="168" fontId="10" fillId="0" borderId="0" xfId="0" applyNumberFormat="1" applyFont="1" applyAlignment="1">
      <alignment horizontal="center"/>
    </xf>
    <xf numFmtId="0" fontId="10" fillId="0" borderId="0" xfId="0" applyFont="1" applyAlignment="1">
      <alignment horizontal="center"/>
    </xf>
    <xf numFmtId="18" fontId="20" fillId="0" borderId="0" xfId="0" applyNumberFormat="1" applyFont="1" applyAlignment="1">
      <alignment horizontal="center" wrapText="1"/>
    </xf>
    <xf numFmtId="0" fontId="24" fillId="2" borderId="12" xfId="0" applyFont="1" applyFill="1" applyBorder="1"/>
    <xf numFmtId="0" fontId="24" fillId="2" borderId="10" xfId="0" applyFont="1" applyFill="1" applyBorder="1"/>
    <xf numFmtId="167" fontId="0" fillId="0" borderId="22" xfId="0" applyNumberFormat="1" applyBorder="1" applyProtection="1">
      <protection locked="0"/>
    </xf>
    <xf numFmtId="0" fontId="12" fillId="0" borderId="18" xfId="0" applyFont="1" applyBorder="1" applyProtection="1">
      <protection locked="0"/>
    </xf>
    <xf numFmtId="49" fontId="12" fillId="0" borderId="18" xfId="0" applyNumberFormat="1" applyFont="1" applyBorder="1" applyAlignment="1" applyProtection="1">
      <alignment horizontal="center"/>
      <protection locked="0"/>
    </xf>
    <xf numFmtId="49" fontId="12" fillId="0" borderId="8" xfId="0" applyNumberFormat="1" applyFont="1" applyBorder="1" applyAlignment="1" applyProtection="1">
      <alignment horizontal="center"/>
      <protection locked="0"/>
    </xf>
    <xf numFmtId="0" fontId="12" fillId="0" borderId="2" xfId="0" applyFont="1" applyBorder="1" applyProtection="1">
      <protection locked="0"/>
    </xf>
    <xf numFmtId="1" fontId="12" fillId="0" borderId="4" xfId="0" applyNumberFormat="1" applyFont="1" applyBorder="1" applyProtection="1">
      <protection locked="0"/>
    </xf>
    <xf numFmtId="15" fontId="12" fillId="0" borderId="4" xfId="0" applyNumberFormat="1" applyFont="1" applyBorder="1" applyProtection="1">
      <protection locked="0"/>
    </xf>
    <xf numFmtId="20" fontId="12" fillId="0" borderId="8" xfId="0" applyNumberFormat="1" applyFont="1" applyBorder="1" applyProtection="1">
      <protection locked="0"/>
    </xf>
    <xf numFmtId="0" fontId="5" fillId="0" borderId="14" xfId="0" applyFont="1" applyBorder="1" applyProtection="1">
      <protection locked="0"/>
    </xf>
    <xf numFmtId="49" fontId="5" fillId="0" borderId="14" xfId="0" applyNumberFormat="1" applyFont="1" applyBorder="1" applyAlignment="1" applyProtection="1">
      <alignment horizontal="center"/>
      <protection locked="0"/>
    </xf>
    <xf numFmtId="49" fontId="5" fillId="0" borderId="4" xfId="0" applyNumberFormat="1" applyFont="1" applyBorder="1" applyAlignment="1" applyProtection="1">
      <alignment horizontal="center"/>
      <protection locked="0"/>
    </xf>
    <xf numFmtId="0" fontId="5" fillId="0" borderId="24" xfId="0" applyFont="1" applyBorder="1" applyProtection="1">
      <protection locked="0"/>
    </xf>
    <xf numFmtId="167" fontId="0" fillId="0" borderId="0" xfId="0" applyNumberFormat="1"/>
    <xf numFmtId="0" fontId="9" fillId="0" borderId="0" xfId="0" applyFont="1"/>
    <xf numFmtId="0" fontId="5" fillId="0" borderId="0" xfId="0" applyFont="1"/>
    <xf numFmtId="0" fontId="0" fillId="2" borderId="26" xfId="0" applyFill="1" applyBorder="1" applyAlignment="1">
      <alignment horizontal="right"/>
    </xf>
    <xf numFmtId="15" fontId="12" fillId="0" borderId="25" xfId="0" applyNumberFormat="1" applyFont="1" applyBorder="1" applyProtection="1">
      <protection locked="0"/>
    </xf>
    <xf numFmtId="0" fontId="5" fillId="2" borderId="27" xfId="0" applyFont="1" applyFill="1" applyBorder="1" applyAlignment="1">
      <alignment horizontal="right"/>
    </xf>
    <xf numFmtId="0" fontId="5" fillId="0" borderId="0" xfId="0" applyFont="1" applyAlignment="1">
      <alignment wrapText="1"/>
    </xf>
    <xf numFmtId="0" fontId="0" fillId="0" borderId="0" xfId="0" applyProtection="1">
      <protection locked="0"/>
    </xf>
    <xf numFmtId="15" fontId="27" fillId="0" borderId="4" xfId="0" applyNumberFormat="1" applyFont="1" applyBorder="1" applyAlignment="1" applyProtection="1">
      <alignment horizontal="center"/>
      <protection locked="0"/>
    </xf>
    <xf numFmtId="0" fontId="26" fillId="2" borderId="27" xfId="0" applyFont="1" applyFill="1" applyBorder="1" applyAlignment="1">
      <alignment horizontal="right"/>
    </xf>
    <xf numFmtId="0" fontId="26" fillId="0" borderId="0" xfId="0" applyFont="1"/>
    <xf numFmtId="0" fontId="26" fillId="0" borderId="0" xfId="0" applyFont="1" applyAlignment="1">
      <alignment wrapText="1"/>
    </xf>
    <xf numFmtId="0" fontId="7" fillId="2" borderId="15" xfId="0" applyFont="1" applyFill="1" applyBorder="1" applyAlignment="1">
      <alignment horizontal="center" wrapText="1"/>
    </xf>
    <xf numFmtId="0" fontId="10" fillId="0" borderId="0" xfId="0" applyFont="1" applyAlignment="1">
      <alignment vertical="center" wrapText="1"/>
    </xf>
    <xf numFmtId="0" fontId="16" fillId="0" borderId="0" xfId="0" applyFont="1"/>
    <xf numFmtId="0" fontId="10" fillId="0" borderId="0" xfId="0" applyFont="1" applyProtection="1">
      <protection locked="0"/>
    </xf>
    <xf numFmtId="0" fontId="11" fillId="0" borderId="0" xfId="0" applyFont="1" applyAlignment="1">
      <alignment vertical="center"/>
    </xf>
    <xf numFmtId="0" fontId="6" fillId="0" borderId="0" xfId="0" applyFont="1" applyAlignment="1">
      <alignment vertical="top"/>
    </xf>
    <xf numFmtId="0" fontId="5" fillId="0" borderId="0" xfId="0" applyFont="1" applyAlignment="1">
      <alignment vertical="top"/>
    </xf>
    <xf numFmtId="0" fontId="0" fillId="0" borderId="0" xfId="0" applyAlignment="1">
      <alignment vertical="top"/>
    </xf>
    <xf numFmtId="0" fontId="11" fillId="0" borderId="0" xfId="0" applyFont="1" applyAlignment="1">
      <alignment horizontal="right" vertical="center"/>
    </xf>
    <xf numFmtId="0" fontId="5" fillId="0" borderId="0" xfId="0" applyFont="1" applyAlignment="1">
      <alignment horizontal="right"/>
    </xf>
    <xf numFmtId="0" fontId="11" fillId="0" borderId="0" xfId="0" applyFont="1" applyAlignment="1">
      <alignment horizontal="left" vertical="center"/>
    </xf>
    <xf numFmtId="0" fontId="11" fillId="0" borderId="29" xfId="0" applyFont="1" applyBorder="1" applyAlignment="1">
      <alignment horizontal="right" vertical="center"/>
    </xf>
    <xf numFmtId="0" fontId="11" fillId="0" borderId="29" xfId="0" applyFont="1" applyBorder="1" applyAlignment="1">
      <alignment vertical="center"/>
    </xf>
    <xf numFmtId="0" fontId="11" fillId="0" borderId="29" xfId="0" applyFont="1" applyBorder="1" applyAlignment="1">
      <alignment horizontal="left" vertical="center"/>
    </xf>
    <xf numFmtId="0" fontId="10" fillId="0" borderId="0" xfId="0" quotePrefix="1" applyFont="1" applyAlignment="1">
      <alignment horizontal="left" vertical="center"/>
    </xf>
    <xf numFmtId="0" fontId="0" fillId="0" borderId="18" xfId="0" applyBorder="1" applyProtection="1">
      <protection locked="0"/>
    </xf>
    <xf numFmtId="0" fontId="28" fillId="0" borderId="0" xfId="0" applyFont="1" applyAlignment="1">
      <alignment horizontal="right" vertical="center"/>
    </xf>
    <xf numFmtId="0" fontId="16" fillId="0" borderId="0" xfId="0" applyFont="1" applyAlignment="1">
      <alignment vertical="top"/>
    </xf>
    <xf numFmtId="18" fontId="20" fillId="0" borderId="18" xfId="0" applyNumberFormat="1" applyFont="1" applyBorder="1" applyAlignment="1">
      <alignment horizontal="center" wrapText="1"/>
    </xf>
    <xf numFmtId="168" fontId="10" fillId="0" borderId="18" xfId="0" applyNumberFormat="1" applyFont="1" applyBorder="1" applyAlignment="1" applyProtection="1">
      <alignment horizontal="center"/>
      <protection locked="0"/>
    </xf>
    <xf numFmtId="0" fontId="10" fillId="0" borderId="0" xfId="0" applyFont="1" applyAlignment="1">
      <alignment horizontal="left" vertical="center"/>
    </xf>
    <xf numFmtId="0" fontId="28" fillId="0" borderId="0" xfId="0" applyFont="1" applyAlignment="1">
      <alignment horizontal="left" vertical="center"/>
    </xf>
    <xf numFmtId="15" fontId="26" fillId="2" borderId="2" xfId="0" applyNumberFormat="1" applyFont="1" applyFill="1" applyBorder="1" applyAlignment="1">
      <alignment horizontal="center"/>
    </xf>
    <xf numFmtId="168" fontId="10" fillId="0" borderId="0" xfId="0" applyNumberFormat="1" applyFont="1" applyAlignment="1" applyProtection="1">
      <alignment horizontal="center"/>
      <protection locked="0"/>
    </xf>
    <xf numFmtId="0" fontId="16" fillId="0" borderId="0" xfId="0" applyFont="1" applyAlignment="1">
      <alignment vertical="center" wrapText="1"/>
    </xf>
    <xf numFmtId="0" fontId="0" fillId="0" borderId="0" xfId="0" applyAlignment="1">
      <alignment horizontal="left"/>
    </xf>
    <xf numFmtId="0" fontId="5" fillId="0" borderId="0" xfId="0" applyFont="1" applyAlignment="1">
      <alignment horizontal="right" vertical="top"/>
    </xf>
    <xf numFmtId="15" fontId="5" fillId="0" borderId="0" xfId="0" applyNumberFormat="1" applyFont="1" applyAlignment="1">
      <alignment horizontal="left"/>
    </xf>
    <xf numFmtId="0" fontId="7" fillId="0" borderId="0" xfId="0" applyFont="1" applyAlignment="1">
      <alignment horizontal="right" vertical="top"/>
    </xf>
    <xf numFmtId="15" fontId="7" fillId="0" borderId="0" xfId="0" applyNumberFormat="1" applyFont="1" applyAlignment="1">
      <alignment horizontal="left"/>
    </xf>
    <xf numFmtId="0" fontId="5" fillId="2" borderId="25" xfId="0" applyFont="1" applyFill="1" applyBorder="1" applyAlignment="1">
      <alignment horizontal="right" vertical="center"/>
    </xf>
    <xf numFmtId="169" fontId="11" fillId="0" borderId="0" xfId="0" applyNumberFormat="1" applyFont="1" applyAlignment="1">
      <alignment vertical="center"/>
    </xf>
    <xf numFmtId="0" fontId="0" fillId="2" borderId="30" xfId="0" applyFill="1" applyBorder="1" applyAlignment="1">
      <alignment horizontal="right"/>
    </xf>
    <xf numFmtId="0" fontId="0" fillId="2" borderId="17" xfId="0" applyFill="1" applyBorder="1"/>
    <xf numFmtId="0" fontId="12" fillId="0" borderId="0" xfId="0" applyFont="1" applyProtection="1">
      <protection locked="0"/>
    </xf>
    <xf numFmtId="0" fontId="32" fillId="0" borderId="0" xfId="0" applyFont="1"/>
    <xf numFmtId="0" fontId="31" fillId="0" borderId="0" xfId="0" applyFont="1"/>
    <xf numFmtId="0" fontId="31" fillId="0" borderId="0" xfId="0" applyFont="1" applyAlignment="1">
      <alignment vertical="top" wrapText="1"/>
    </xf>
    <xf numFmtId="167" fontId="34" fillId="0" borderId="16" xfId="0" applyNumberFormat="1" applyFont="1" applyBorder="1" applyAlignment="1">
      <alignment horizontal="center" wrapText="1"/>
    </xf>
    <xf numFmtId="0" fontId="34" fillId="0" borderId="17" xfId="0" applyFont="1" applyBorder="1" applyAlignment="1">
      <alignment horizontal="center" vertical="center"/>
    </xf>
    <xf numFmtId="0" fontId="35" fillId="0" borderId="16" xfId="0" applyFont="1" applyBorder="1" applyAlignment="1">
      <alignment horizontal="center" vertical="center" wrapText="1"/>
    </xf>
    <xf numFmtId="0" fontId="8" fillId="0" borderId="28" xfId="0" applyFont="1" applyBorder="1"/>
    <xf numFmtId="167" fontId="35" fillId="0" borderId="16" xfId="0" applyNumberFormat="1" applyFont="1" applyBorder="1" applyAlignment="1">
      <alignment horizontal="center" vertical="center"/>
    </xf>
    <xf numFmtId="18" fontId="35" fillId="0" borderId="16" xfId="0" applyNumberFormat="1" applyFont="1" applyBorder="1" applyAlignment="1">
      <alignment horizontal="center" vertical="center" wrapText="1"/>
    </xf>
    <xf numFmtId="0" fontId="8" fillId="0" borderId="16" xfId="0" applyFont="1" applyBorder="1"/>
    <xf numFmtId="167" fontId="34" fillId="0" borderId="7" xfId="0" applyNumberFormat="1" applyFont="1" applyBorder="1"/>
    <xf numFmtId="0" fontId="34" fillId="0" borderId="18" xfId="0" applyFont="1" applyBorder="1" applyAlignment="1">
      <alignment horizontal="center" vertical="center"/>
    </xf>
    <xf numFmtId="0" fontId="35" fillId="0" borderId="7" xfId="0" applyFont="1" applyBorder="1" applyAlignment="1">
      <alignment horizontal="center" vertical="center" wrapText="1"/>
    </xf>
    <xf numFmtId="0" fontId="8" fillId="0" borderId="7" xfId="0" applyFont="1" applyBorder="1"/>
    <xf numFmtId="0" fontId="34" fillId="0" borderId="16" xfId="0" applyFont="1" applyBorder="1" applyAlignment="1">
      <alignment horizontal="center" vertical="center"/>
    </xf>
    <xf numFmtId="166" fontId="20" fillId="0" borderId="16" xfId="0" applyNumberFormat="1" applyFont="1" applyBorder="1" applyAlignment="1">
      <alignment horizontal="center" vertical="center" wrapText="1"/>
    </xf>
    <xf numFmtId="165" fontId="20" fillId="0" borderId="7" xfId="0" applyNumberFormat="1" applyFont="1" applyBorder="1" applyAlignment="1">
      <alignment horizontal="center" vertical="center" wrapText="1"/>
    </xf>
    <xf numFmtId="169" fontId="5" fillId="0" borderId="25" xfId="0" applyNumberFormat="1" applyFont="1" applyBorder="1" applyAlignment="1" applyProtection="1">
      <alignment horizontal="left"/>
      <protection locked="0"/>
    </xf>
    <xf numFmtId="49" fontId="36" fillId="0" borderId="4" xfId="0" applyNumberFormat="1" applyFont="1" applyBorder="1" applyAlignment="1" applyProtection="1">
      <alignment horizontal="center"/>
      <protection locked="0"/>
    </xf>
    <xf numFmtId="0" fontId="5" fillId="2" borderId="9" xfId="0" applyFont="1" applyFill="1" applyBorder="1" applyAlignment="1">
      <alignment horizontal="center"/>
    </xf>
    <xf numFmtId="0" fontId="0" fillId="2" borderId="5" xfId="0"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0" fontId="25" fillId="0" borderId="0" xfId="0" applyFont="1" applyAlignment="1">
      <alignment horizontal="center"/>
    </xf>
    <xf numFmtId="0" fontId="12" fillId="0" borderId="25" xfId="0" applyFont="1" applyBorder="1" applyAlignment="1" applyProtection="1">
      <alignment horizontal="center"/>
      <protection locked="0"/>
    </xf>
    <xf numFmtId="0" fontId="31" fillId="0" borderId="0" xfId="0" applyFont="1" applyAlignment="1">
      <alignment horizontal="left" vertical="top" wrapText="1"/>
    </xf>
    <xf numFmtId="0" fontId="30" fillId="0" borderId="0" xfId="0" applyFont="1" applyAlignment="1">
      <alignment horizontal="right"/>
    </xf>
    <xf numFmtId="0" fontId="5" fillId="0" borderId="0" xfId="0" applyFont="1" applyAlignment="1">
      <alignment horizontal="left"/>
    </xf>
    <xf numFmtId="0" fontId="18" fillId="0" borderId="18" xfId="0" applyFont="1" applyBorder="1" applyAlignment="1">
      <alignment horizontal="center" vertical="center"/>
    </xf>
    <xf numFmtId="0" fontId="10" fillId="0" borderId="0" xfId="0" applyFont="1" applyAlignment="1">
      <alignment horizontal="right" vertical="center" wrapText="1"/>
    </xf>
    <xf numFmtId="0" fontId="10" fillId="0" borderId="0" xfId="0" applyFont="1" applyAlignment="1">
      <alignment horizontal="left" vertical="center"/>
    </xf>
    <xf numFmtId="2" fontId="0" fillId="0" borderId="0" xfId="0" applyNumberFormat="1" applyAlignment="1">
      <alignment horizontal="center"/>
    </xf>
    <xf numFmtId="2" fontId="0" fillId="0" borderId="18" xfId="0" applyNumberFormat="1" applyBorder="1" applyAlignment="1">
      <alignment horizontal="center"/>
    </xf>
    <xf numFmtId="0" fontId="0" fillId="0" borderId="0" xfId="0" applyAlignment="1">
      <alignment horizontal="center"/>
    </xf>
    <xf numFmtId="0" fontId="0" fillId="0" borderId="18" xfId="0" applyBorder="1" applyAlignment="1">
      <alignment horizontal="center"/>
    </xf>
    <xf numFmtId="0" fontId="33" fillId="0" borderId="0" xfId="0" applyFont="1" applyAlignment="1">
      <alignment horizontal="center" vertical="center" wrapText="1"/>
    </xf>
    <xf numFmtId="0" fontId="9" fillId="0" borderId="0" xfId="0" applyFont="1" applyAlignment="1">
      <alignment horizontal="center"/>
    </xf>
    <xf numFmtId="0" fontId="10" fillId="0" borderId="0" xfId="0" applyFont="1" applyAlignment="1">
      <alignment horizontal="center" vertical="center" wrapText="1"/>
    </xf>
    <xf numFmtId="0" fontId="10" fillId="0" borderId="0" xfId="0" applyFont="1" applyAlignment="1">
      <alignment horizontal="right" vertical="center"/>
    </xf>
    <xf numFmtId="0" fontId="35" fillId="0" borderId="22" xfId="0" applyFont="1" applyBorder="1" applyAlignment="1" applyProtection="1">
      <alignment horizontal="center" vertical="center" wrapText="1"/>
      <protection locked="0"/>
    </xf>
    <xf numFmtId="0" fontId="35" fillId="0" borderId="18" xfId="0" applyFont="1" applyBorder="1" applyAlignment="1" applyProtection="1">
      <alignment horizontal="center" vertical="center" wrapText="1"/>
      <protection locked="0"/>
    </xf>
    <xf numFmtId="0" fontId="35" fillId="0" borderId="8" xfId="0" applyFont="1" applyBorder="1" applyAlignment="1" applyProtection="1">
      <alignment horizontal="center" vertical="center" wrapText="1"/>
      <protection locked="0"/>
    </xf>
    <xf numFmtId="0" fontId="35" fillId="0" borderId="19" xfId="0" applyFont="1" applyBorder="1" applyAlignment="1" applyProtection="1">
      <alignment horizontal="center" vertical="center" wrapText="1"/>
      <protection locked="0"/>
    </xf>
    <xf numFmtId="0" fontId="35" fillId="0" borderId="20" xfId="0" applyFont="1" applyBorder="1" applyAlignment="1" applyProtection="1">
      <alignment horizontal="center" vertical="center" wrapText="1"/>
      <protection locked="0"/>
    </xf>
    <xf numFmtId="0" fontId="35" fillId="0" borderId="21" xfId="0" applyFont="1" applyBorder="1" applyAlignment="1" applyProtection="1">
      <alignment horizontal="center" vertical="center" wrapText="1"/>
      <protection locked="0"/>
    </xf>
    <xf numFmtId="0" fontId="35" fillId="0" borderId="6" xfId="0" applyFont="1" applyBorder="1" applyAlignment="1" applyProtection="1">
      <alignment horizontal="center" vertical="center" wrapText="1"/>
      <protection locked="0"/>
    </xf>
    <xf numFmtId="0" fontId="35" fillId="0" borderId="0" xfId="0" applyFont="1" applyAlignment="1" applyProtection="1">
      <alignment horizontal="center" vertical="center" wrapText="1"/>
      <protection locked="0"/>
    </xf>
    <xf numFmtId="0" fontId="35" fillId="0" borderId="17" xfId="0" applyFont="1" applyBorder="1" applyAlignment="1" applyProtection="1">
      <alignment horizontal="center" vertical="center" wrapText="1"/>
      <protection locked="0"/>
    </xf>
    <xf numFmtId="0" fontId="10" fillId="0" borderId="0" xfId="0" applyFont="1" applyAlignment="1">
      <alignment horizontal="center" vertical="center"/>
    </xf>
    <xf numFmtId="0" fontId="7" fillId="2" borderId="9" xfId="0" applyFont="1" applyFill="1" applyBorder="1" applyAlignment="1">
      <alignment horizontal="center"/>
    </xf>
    <xf numFmtId="0" fontId="7" fillId="2" borderId="5" xfId="0" applyFont="1" applyFill="1" applyBorder="1" applyAlignment="1">
      <alignment horizontal="center"/>
    </xf>
    <xf numFmtId="0" fontId="7" fillId="2" borderId="10" xfId="0" applyFont="1" applyFill="1" applyBorder="1" applyAlignment="1">
      <alignment horizontal="center"/>
    </xf>
    <xf numFmtId="0" fontId="10" fillId="0" borderId="0" xfId="0" applyFont="1" applyAlignment="1">
      <alignment horizontal="right"/>
    </xf>
    <xf numFmtId="0" fontId="6" fillId="0" borderId="20" xfId="0" applyFont="1" applyBorder="1" applyAlignment="1">
      <alignment horizontal="center" vertical="top"/>
    </xf>
    <xf numFmtId="15" fontId="0" fillId="0" borderId="0" xfId="0" applyNumberFormat="1" applyAlignment="1">
      <alignment horizontal="left" vertical="top"/>
    </xf>
    <xf numFmtId="0" fontId="0" fillId="0" borderId="0" xfId="0" applyAlignment="1">
      <alignment horizontal="left" vertical="top"/>
    </xf>
    <xf numFmtId="0" fontId="29" fillId="0" borderId="0" xfId="0" applyFont="1" applyAlignment="1">
      <alignment horizontal="left" vertical="center"/>
    </xf>
  </cellXfs>
  <cellStyles count="35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Normal" xfId="0" builtinId="0"/>
    <cellStyle name="Normal 2" xfId="282" xr:uid="{00000000-0005-0000-0000-00005E010000}"/>
    <cellStyle name="Normal 3" xfId="283" xr:uid="{00000000-0005-0000-0000-00005F010000}"/>
    <cellStyle name="Normal 3 2" xfId="285" xr:uid="{00000000-0005-0000-0000-000060010000}"/>
    <cellStyle name="Normal 3 2 2" xfId="286" xr:uid="{00000000-0005-0000-0000-000061010000}"/>
    <cellStyle name="Normal 3 2 3" xfId="287" xr:uid="{00000000-0005-0000-0000-000062010000}"/>
    <cellStyle name="Normal 4" xfId="284" xr:uid="{00000000-0005-0000-0000-00006301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101600</xdr:colOff>
      <xdr:row>2</xdr:row>
      <xdr:rowOff>24577</xdr:rowOff>
    </xdr:from>
    <xdr:to>
      <xdr:col>2</xdr:col>
      <xdr:colOff>698900</xdr:colOff>
      <xdr:row>6</xdr:row>
      <xdr:rowOff>13272</xdr:rowOff>
    </xdr:to>
    <xdr:pic>
      <xdr:nvPicPr>
        <xdr:cNvPr id="2" name="Picture 1">
          <a:extLst>
            <a:ext uri="{FF2B5EF4-FFF2-40B4-BE49-F238E27FC236}">
              <a16:creationId xmlns:a16="http://schemas.microsoft.com/office/drawing/2014/main" id="{ECF1BBFE-B8D6-B945-BD9D-81491EC69EE0}"/>
            </a:ext>
          </a:extLst>
        </xdr:cNvPr>
        <xdr:cNvPicPr>
          <a:picLocks noChangeAspect="1"/>
        </xdr:cNvPicPr>
      </xdr:nvPicPr>
      <xdr:blipFill>
        <a:blip xmlns:r="http://schemas.openxmlformats.org/officeDocument/2006/relationships" r:embed="rId1"/>
        <a:stretch>
          <a:fillRect/>
        </a:stretch>
      </xdr:blipFill>
      <xdr:spPr>
        <a:xfrm>
          <a:off x="101600" y="430977"/>
          <a:ext cx="1714900" cy="13221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101600</xdr:colOff>
      <xdr:row>2</xdr:row>
      <xdr:rowOff>24577</xdr:rowOff>
    </xdr:from>
    <xdr:to>
      <xdr:col>2</xdr:col>
      <xdr:colOff>698900</xdr:colOff>
      <xdr:row>6</xdr:row>
      <xdr:rowOff>13272</xdr:rowOff>
    </xdr:to>
    <xdr:pic>
      <xdr:nvPicPr>
        <xdr:cNvPr id="2" name="Picture 1">
          <a:extLst>
            <a:ext uri="{FF2B5EF4-FFF2-40B4-BE49-F238E27FC236}">
              <a16:creationId xmlns:a16="http://schemas.microsoft.com/office/drawing/2014/main" id="{6A28C82B-1825-634A-A3AA-8400CD049D08}"/>
            </a:ext>
          </a:extLst>
        </xdr:cNvPr>
        <xdr:cNvPicPr>
          <a:picLocks noChangeAspect="1"/>
        </xdr:cNvPicPr>
      </xdr:nvPicPr>
      <xdr:blipFill>
        <a:blip xmlns:r="http://schemas.openxmlformats.org/officeDocument/2006/relationships" r:embed="rId1"/>
        <a:stretch>
          <a:fillRect/>
        </a:stretch>
      </xdr:blipFill>
      <xdr:spPr>
        <a:xfrm>
          <a:off x="101600" y="418277"/>
          <a:ext cx="1714900" cy="13221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7"/>
  <sheetViews>
    <sheetView showGridLines="0" tabSelected="1" zoomScale="143" zoomScaleNormal="140" zoomScalePageLayoutView="135" workbookViewId="0">
      <selection activeCell="D36" sqref="D36"/>
    </sheetView>
  </sheetViews>
  <sheetFormatPr baseColWidth="10" defaultColWidth="8.83203125" defaultRowHeight="13" x14ac:dyDescent="0.15"/>
  <cols>
    <col min="1" max="1" width="16.5" style="1" customWidth="1"/>
    <col min="2" max="2" width="10.83203125" customWidth="1"/>
    <col min="3" max="3" width="1" style="2" hidden="1" customWidth="1"/>
    <col min="4" max="4" width="8.33203125" customWidth="1"/>
    <col min="5" max="5" width="17" bestFit="1" customWidth="1"/>
    <col min="6" max="11" width="34.1640625" customWidth="1"/>
    <col min="12" max="15" width="17.83203125" hidden="1" customWidth="1"/>
    <col min="16" max="16" width="2.1640625" customWidth="1"/>
  </cols>
  <sheetData>
    <row r="1" spans="1:33" ht="20" customHeight="1" x14ac:dyDescent="0.2">
      <c r="A1" s="108" t="s">
        <v>55</v>
      </c>
      <c r="B1" s="108"/>
      <c r="C1" s="108"/>
      <c r="D1" s="108"/>
      <c r="E1" s="108"/>
      <c r="F1" s="108"/>
      <c r="G1" s="108"/>
      <c r="H1" s="40" t="s">
        <v>53</v>
      </c>
      <c r="Q1" s="110" t="s">
        <v>71</v>
      </c>
      <c r="R1" s="110"/>
      <c r="S1" s="110"/>
      <c r="T1" s="110"/>
      <c r="U1" s="110"/>
      <c r="V1" s="110"/>
      <c r="W1" s="110"/>
      <c r="X1" s="110"/>
      <c r="Y1" s="110"/>
      <c r="Z1" s="110"/>
      <c r="AA1" s="110"/>
      <c r="AB1" s="110"/>
      <c r="AC1" s="110"/>
      <c r="AD1" s="110"/>
      <c r="AE1" s="110"/>
      <c r="AF1" s="110"/>
      <c r="AG1" s="87"/>
    </row>
    <row r="2" spans="1:33" ht="13" customHeight="1" thickBot="1" x14ac:dyDescent="0.2">
      <c r="H2" s="44"/>
      <c r="I2" s="44"/>
      <c r="Q2" s="110"/>
      <c r="R2" s="110"/>
      <c r="S2" s="110"/>
      <c r="T2" s="110"/>
      <c r="U2" s="110"/>
      <c r="V2" s="110"/>
      <c r="W2" s="110"/>
      <c r="X2" s="110"/>
      <c r="Y2" s="110"/>
      <c r="Z2" s="110"/>
      <c r="AA2" s="110"/>
      <c r="AB2" s="110"/>
      <c r="AC2" s="110"/>
      <c r="AD2" s="110"/>
      <c r="AE2" s="110"/>
      <c r="AF2" s="110"/>
      <c r="AG2" s="87"/>
    </row>
    <row r="3" spans="1:33" s="48" customFormat="1" ht="13" customHeight="1" thickBot="1" x14ac:dyDescent="0.2">
      <c r="A3" s="47" t="s">
        <v>52</v>
      </c>
      <c r="B3" s="72">
        <v>45393</v>
      </c>
      <c r="H3" s="49"/>
      <c r="I3" s="49"/>
      <c r="Q3" s="110"/>
      <c r="R3" s="110"/>
      <c r="S3" s="110"/>
      <c r="T3" s="110"/>
      <c r="U3" s="110"/>
      <c r="V3" s="110"/>
      <c r="W3" s="110"/>
      <c r="X3" s="110"/>
      <c r="Y3" s="110"/>
      <c r="Z3" s="110"/>
      <c r="AA3" s="110"/>
      <c r="AB3" s="110"/>
      <c r="AC3" s="110"/>
      <c r="AD3" s="110"/>
      <c r="AE3" s="110"/>
      <c r="AF3" s="110"/>
      <c r="AG3" s="87"/>
    </row>
    <row r="4" spans="1:33" ht="13" customHeight="1" x14ac:dyDescent="0.15">
      <c r="A4" s="43" t="s">
        <v>54</v>
      </c>
      <c r="B4" s="46">
        <v>45484</v>
      </c>
      <c r="C4"/>
      <c r="H4" s="44"/>
      <c r="I4" s="44"/>
      <c r="Q4" s="110"/>
      <c r="R4" s="110"/>
      <c r="S4" s="110"/>
      <c r="T4" s="110"/>
      <c r="U4" s="110"/>
      <c r="V4" s="110"/>
      <c r="W4" s="110"/>
      <c r="X4" s="110"/>
      <c r="Y4" s="110"/>
      <c r="Z4" s="110"/>
      <c r="AA4" s="110"/>
      <c r="AB4" s="110"/>
      <c r="AC4" s="110"/>
      <c r="AD4" s="110"/>
      <c r="AE4" s="110"/>
      <c r="AF4" s="110"/>
      <c r="AG4" s="87"/>
    </row>
    <row r="5" spans="1:33" ht="7" customHeight="1" thickBot="1" x14ac:dyDescent="0.2">
      <c r="H5" s="44"/>
      <c r="I5" s="44"/>
      <c r="Q5" s="87"/>
      <c r="R5" s="87"/>
      <c r="S5" s="87"/>
      <c r="T5" s="87"/>
      <c r="U5" s="87"/>
      <c r="V5" s="87"/>
      <c r="W5" s="87"/>
      <c r="X5" s="87"/>
      <c r="Y5" s="87"/>
      <c r="Z5" s="87"/>
      <c r="AA5" s="87"/>
      <c r="AB5" s="87"/>
      <c r="AC5" s="87"/>
      <c r="AD5" s="87"/>
      <c r="AE5" s="87"/>
      <c r="AF5" s="87"/>
      <c r="AG5" s="87"/>
    </row>
    <row r="6" spans="1:33" ht="18" x14ac:dyDescent="0.2">
      <c r="A6" s="10" t="s">
        <v>15</v>
      </c>
      <c r="B6" s="30">
        <v>300</v>
      </c>
      <c r="C6">
        <f>IF(Brevet_Length&gt;=1200,Brevet_Length,IF(Brevet_Length&gt;=1000,1000,IF(Brevet_Length&gt;=600,600,IF(Brevet_Length&gt;=400,400,IF(Brevet_Length&gt;=300,300,IF(Brevet_Length&gt;=200,200,100))))))</f>
        <v>300</v>
      </c>
      <c r="J6" s="111" t="s">
        <v>40</v>
      </c>
      <c r="K6" s="111"/>
      <c r="Q6" s="85" t="s">
        <v>41</v>
      </c>
      <c r="R6" s="85"/>
      <c r="S6" s="85"/>
      <c r="T6" s="85"/>
      <c r="U6" s="85"/>
      <c r="V6" s="85"/>
      <c r="W6" s="85"/>
      <c r="X6" s="86"/>
      <c r="Y6" s="86"/>
      <c r="Z6" s="86"/>
    </row>
    <row r="7" spans="1:33" ht="14" x14ac:dyDescent="0.15">
      <c r="A7" s="11" t="s">
        <v>16</v>
      </c>
      <c r="B7" s="83">
        <f>IF(brevet=1200,90,IF(brevet=1000,75,IF(brevet=600,40,IF(brevet=400,27,IF(brevet=300,20,IF(brevet=200,13.5,IF(brevet&lt;200,L7,0)))))))</f>
        <v>20</v>
      </c>
      <c r="L7">
        <f>IF(Brevet_Length=150,10.5,IF(Brevet_Length=100,7,IF(Brevet_Length=50,3.5,IF(Brevet_Length=25, 2,0))))</f>
        <v>0</v>
      </c>
      <c r="Q7" s="86" t="s">
        <v>42</v>
      </c>
      <c r="R7" s="86"/>
      <c r="S7" s="86"/>
      <c r="T7" s="86"/>
      <c r="U7" s="86"/>
      <c r="V7" s="86"/>
      <c r="W7" s="86"/>
      <c r="X7" s="86"/>
      <c r="Y7" s="86"/>
      <c r="Z7" s="86"/>
    </row>
    <row r="8" spans="1:33" ht="18" x14ac:dyDescent="0.2">
      <c r="A8" s="82" t="s">
        <v>17</v>
      </c>
      <c r="B8" s="109" t="s">
        <v>78</v>
      </c>
      <c r="C8" s="109"/>
      <c r="D8" s="109"/>
      <c r="E8" s="109"/>
      <c r="F8" s="109"/>
      <c r="G8" s="84"/>
      <c r="H8" s="84"/>
      <c r="I8" s="16"/>
      <c r="J8" s="16"/>
      <c r="K8" s="16"/>
      <c r="Q8" s="85" t="s">
        <v>43</v>
      </c>
      <c r="R8" s="86"/>
      <c r="S8" s="86"/>
      <c r="T8" s="86"/>
      <c r="U8" s="86"/>
      <c r="V8" s="86"/>
      <c r="W8" s="86"/>
      <c r="X8" s="86"/>
      <c r="Y8" s="86"/>
      <c r="Z8" s="86"/>
    </row>
    <row r="9" spans="1:33" ht="18" x14ac:dyDescent="0.2">
      <c r="A9" s="11" t="s">
        <v>18</v>
      </c>
      <c r="B9" s="31">
        <v>5407</v>
      </c>
      <c r="C9" s="13"/>
      <c r="F9" s="14"/>
      <c r="G9" s="14"/>
      <c r="H9" s="14"/>
      <c r="I9" s="14"/>
      <c r="J9" s="14"/>
      <c r="K9" s="14"/>
      <c r="Q9" s="85" t="s">
        <v>44</v>
      </c>
      <c r="R9" s="86"/>
      <c r="S9" s="86"/>
      <c r="T9" s="86"/>
      <c r="U9" s="86"/>
      <c r="V9" s="86"/>
      <c r="W9" s="86"/>
      <c r="X9" s="86"/>
      <c r="Y9" s="86"/>
      <c r="Z9" s="86"/>
    </row>
    <row r="10" spans="1:33" ht="18" x14ac:dyDescent="0.2">
      <c r="A10" s="18" t="s">
        <v>32</v>
      </c>
      <c r="B10" s="32">
        <v>45500</v>
      </c>
      <c r="E10" s="80" t="s">
        <v>66</v>
      </c>
      <c r="F10" s="102" t="s">
        <v>79</v>
      </c>
      <c r="Q10" s="85" t="s">
        <v>45</v>
      </c>
      <c r="R10" s="86"/>
      <c r="S10" s="86"/>
      <c r="T10" s="86"/>
      <c r="U10" s="86"/>
      <c r="V10" s="86"/>
      <c r="W10" s="86"/>
      <c r="X10" s="86"/>
      <c r="Y10" s="86"/>
      <c r="Z10" s="86"/>
    </row>
    <row r="11" spans="1:33" ht="6" customHeight="1" x14ac:dyDescent="0.15">
      <c r="B11" s="45"/>
      <c r="Q11" s="86"/>
      <c r="R11" s="86"/>
      <c r="S11" s="86"/>
      <c r="T11" s="86"/>
      <c r="U11" s="86"/>
      <c r="V11" s="86"/>
      <c r="W11" s="86"/>
      <c r="X11" s="86"/>
      <c r="Y11" s="86"/>
      <c r="Z11" s="86"/>
    </row>
    <row r="12" spans="1:33" ht="18" customHeight="1" thickBot="1" x14ac:dyDescent="0.25">
      <c r="A12" s="41" t="s">
        <v>19</v>
      </c>
      <c r="B12" s="42">
        <v>45500</v>
      </c>
      <c r="Q12" s="85" t="s">
        <v>49</v>
      </c>
      <c r="R12" s="86"/>
      <c r="S12" s="86"/>
      <c r="T12" s="86"/>
      <c r="U12" s="86"/>
      <c r="V12" s="86"/>
      <c r="W12" s="86"/>
      <c r="X12" s="86"/>
      <c r="Y12" s="86"/>
      <c r="Z12" s="86"/>
    </row>
    <row r="13" spans="1:33" ht="19" thickBot="1" x14ac:dyDescent="0.25">
      <c r="A13" s="9" t="s">
        <v>20</v>
      </c>
      <c r="B13" s="33">
        <v>0.25</v>
      </c>
      <c r="D13" s="104" t="s">
        <v>51</v>
      </c>
      <c r="E13" s="105"/>
      <c r="F13" s="105"/>
      <c r="G13" s="105"/>
      <c r="H13" s="105"/>
      <c r="I13" s="106" t="s">
        <v>47</v>
      </c>
      <c r="J13" s="105"/>
      <c r="K13" s="107"/>
      <c r="Q13" s="85" t="s">
        <v>48</v>
      </c>
      <c r="R13" s="86"/>
      <c r="S13" s="86"/>
      <c r="T13" s="86"/>
      <c r="U13" s="86"/>
      <c r="V13" s="86"/>
      <c r="W13" s="86"/>
      <c r="X13" s="86"/>
      <c r="Y13" s="86"/>
      <c r="Z13" s="86"/>
    </row>
    <row r="14" spans="1:33" ht="15" thickBot="1" x14ac:dyDescent="0.2">
      <c r="D14" s="5" t="s">
        <v>21</v>
      </c>
      <c r="E14" s="6" t="s">
        <v>22</v>
      </c>
      <c r="F14" s="24" t="s">
        <v>23</v>
      </c>
      <c r="G14" s="24" t="s">
        <v>24</v>
      </c>
      <c r="H14" s="25" t="s">
        <v>25</v>
      </c>
      <c r="I14" s="6" t="s">
        <v>37</v>
      </c>
      <c r="J14" s="6" t="s">
        <v>38</v>
      </c>
      <c r="K14" s="7" t="s">
        <v>39</v>
      </c>
      <c r="L14" t="s">
        <v>0</v>
      </c>
      <c r="M14" t="s">
        <v>1</v>
      </c>
      <c r="N14" t="s">
        <v>2</v>
      </c>
      <c r="O14" t="s">
        <v>3</v>
      </c>
      <c r="Q14" s="85" t="s">
        <v>67</v>
      </c>
      <c r="R14" s="86"/>
      <c r="S14" s="86"/>
      <c r="T14" s="86"/>
      <c r="U14" s="86"/>
      <c r="V14" s="86"/>
      <c r="W14" s="86"/>
      <c r="X14" s="86"/>
      <c r="Y14" s="86"/>
      <c r="Z14" s="86"/>
    </row>
    <row r="15" spans="1:33" ht="17" customHeight="1" x14ac:dyDescent="0.15">
      <c r="C15" s="2" t="s">
        <v>4</v>
      </c>
      <c r="D15" s="15">
        <v>0</v>
      </c>
      <c r="E15" s="34" t="s">
        <v>74</v>
      </c>
      <c r="F15" s="35" t="s">
        <v>102</v>
      </c>
      <c r="G15" s="35" t="s">
        <v>75</v>
      </c>
      <c r="H15" s="36" t="s">
        <v>77</v>
      </c>
      <c r="I15" s="35"/>
      <c r="J15" s="35"/>
      <c r="K15" s="36"/>
      <c r="L15" s="3">
        <f>Start_date+Start_time</f>
        <v>45500.25</v>
      </c>
      <c r="M15" s="3">
        <f>L15+"1:00"</f>
        <v>45500.291666666664</v>
      </c>
      <c r="N15" s="4">
        <f>IF(ISBLANK(Distance),"",Open Control_1)</f>
        <v>45500.25</v>
      </c>
      <c r="O15" s="4">
        <f>IF(ISBLANK(Distance),"",Close Control_1)</f>
        <v>45500.291666666664</v>
      </c>
      <c r="Q15" s="85" t="s">
        <v>72</v>
      </c>
      <c r="R15" s="86"/>
      <c r="S15" s="86"/>
      <c r="T15" s="86"/>
      <c r="U15" s="86"/>
      <c r="V15" s="86"/>
      <c r="W15" s="86"/>
      <c r="X15" s="86"/>
      <c r="Y15" s="86"/>
      <c r="Z15" s="86"/>
    </row>
    <row r="16" spans="1:33" ht="17" customHeight="1" x14ac:dyDescent="0.2">
      <c r="B16" s="38"/>
      <c r="C16" s="2" t="s">
        <v>5</v>
      </c>
      <c r="D16" s="15">
        <v>14.6</v>
      </c>
      <c r="E16" s="34" t="s">
        <v>85</v>
      </c>
      <c r="F16" s="35" t="s">
        <v>103</v>
      </c>
      <c r="G16" s="35" t="s">
        <v>106</v>
      </c>
      <c r="H16" s="36" t="s">
        <v>105</v>
      </c>
      <c r="I16" s="35" t="s">
        <v>98</v>
      </c>
      <c r="J16" s="35" t="s">
        <v>107</v>
      </c>
      <c r="K16" s="103"/>
      <c r="L16">
        <f>IF(ISBLANK(Distance),"",IF(Distance&gt;1000,(Distance-1000)/26+33.0847,(IF(Distance&gt;600,(Distance-600)/28+18.799,(IF(Distance&gt;400,(Distance-400)/30+12.1324,(IF(Distance&gt;200,(Distance-200)/32+5.8824,Distance/34))))))))</f>
        <v>0.42941176470588233</v>
      </c>
      <c r="M16">
        <f>IF(ISBLANK(Distance),"",IF(Distance&gt;=brevet,D16200IF(brevet&gt;1200,(brevet-1200)*75/1000+90,Max_time),IF(Distance&gt;1200,(Distance-1200)*75/1000+90,IF(Distance&gt;1000,(Distance-1000)/(1000/75)+75,IF(Distance&gt;600,(Distance-600)/(400/35)+40,IF(Distance&lt;=60,(Distance/20+1),Distance/15))))))</f>
        <v>1.73</v>
      </c>
      <c r="N16" s="4">
        <f>IF(ISBLANK(Distance),"",Open_time Control_1+(INT(Open)&amp;":"&amp;IF(ROUND(((Open-INT(Open))*60),0)&lt;10,0,"")&amp;ROUND(((Open-INT(Open))*60),0)))</f>
        <v>45500.268055555556</v>
      </c>
      <c r="O16" s="4">
        <f>IF(ISBLANK(Distance),"",Open_time Control_1+(INT(Close)&amp;":"&amp;IF(ROUND(((Close-INT(Close))*60),0)&lt;10,0,"")&amp;ROUND(((Close-INT(Close))*60),0)))</f>
        <v>45500.322222222225</v>
      </c>
      <c r="Q16" s="85" t="s">
        <v>68</v>
      </c>
      <c r="R16" s="86"/>
      <c r="S16" s="86"/>
      <c r="T16" s="86"/>
      <c r="U16" s="86"/>
      <c r="V16" s="86"/>
      <c r="W16" s="86"/>
      <c r="X16" s="86"/>
      <c r="Y16" s="86"/>
      <c r="Z16" s="86"/>
    </row>
    <row r="17" spans="2:26" ht="17" customHeight="1" x14ac:dyDescent="0.15">
      <c r="B17" s="38"/>
      <c r="C17" s="2" t="s">
        <v>6</v>
      </c>
      <c r="D17" s="15">
        <v>82.8</v>
      </c>
      <c r="E17" s="34" t="s">
        <v>80</v>
      </c>
      <c r="F17" s="35" t="s">
        <v>104</v>
      </c>
      <c r="G17" s="35" t="s">
        <v>76</v>
      </c>
      <c r="H17" s="36" t="s">
        <v>81</v>
      </c>
      <c r="I17" s="35"/>
      <c r="J17" s="35"/>
      <c r="K17" s="36"/>
      <c r="L17">
        <f>IF(ISBLANK(Distance),"",IF(Distance&gt;1000,(Distance-1000)/26+33.0847,(IF(Distance&gt;600,(Distance-600)/28+18.799,(IF(Distance&gt;400,(Distance-400)/30+12.1324,(IF(Distance&gt;200,(Distance-200)/32+5.8824,Distance/34))))))))</f>
        <v>2.4352941176470586</v>
      </c>
      <c r="M17">
        <f t="shared" ref="M17:M24" si="0">IF(ISBLANK(Distance),"",IF(Distance&gt;=brevet,IF(brevet&gt;1200,(brevet-1200)*75/1000+90,Max_time),IF(Distance&gt;1200,(Distance-1200)*75/1000+90,IF(Distance&gt;1000,(Distance-1000)/(1000/75)+75,IF(Distance&gt;600,(Distance-600)/(400/35)+40,IF(Distance&lt;=60,(Distance/20+1),Distance/15))))))</f>
        <v>5.52</v>
      </c>
      <c r="N17" s="4">
        <f>IF(ISBLANK(Distance),"",Open_time Control_1+(INT(Open)&amp;":"&amp;IF(ROUND(((Open-INT(Open))*60),0)&lt;10,0,"")&amp;ROUND(((Open-INT(Open))*60),0)))</f>
        <v>45500.351388888892</v>
      </c>
      <c r="O17" s="4">
        <f>IF(ISBLANK(Distance),"",Open_time Control_1+(INT(Close)&amp;":"&amp;IF(ROUND(((Close-INT(Close))*60),0)&lt;10,0,"")&amp;ROUND(((Close-INT(Close))*60),0)))</f>
        <v>45500.479861111111</v>
      </c>
      <c r="Q17" s="85" t="s">
        <v>46</v>
      </c>
      <c r="R17" s="86"/>
      <c r="S17" s="86"/>
      <c r="T17" s="86"/>
      <c r="U17" s="86"/>
      <c r="V17" s="86"/>
      <c r="W17" s="86"/>
      <c r="X17" s="86"/>
      <c r="Y17" s="86"/>
      <c r="Z17" s="86"/>
    </row>
    <row r="18" spans="2:26" ht="17" customHeight="1" x14ac:dyDescent="0.15">
      <c r="B18" s="38"/>
      <c r="C18" s="2" t="s">
        <v>7</v>
      </c>
      <c r="D18" s="15">
        <v>140.19999999999999</v>
      </c>
      <c r="E18" s="34" t="s">
        <v>82</v>
      </c>
      <c r="F18" s="35" t="s">
        <v>104</v>
      </c>
      <c r="G18" s="35" t="s">
        <v>83</v>
      </c>
      <c r="H18" s="36" t="s">
        <v>84</v>
      </c>
      <c r="I18" s="35"/>
      <c r="J18" s="35"/>
      <c r="K18" s="36"/>
      <c r="L18">
        <f t="shared" ref="L18:L24" si="1">IF(ISBLANK(Distance),"",IF(Distance&gt;1000,(Distance-1000)/26+33.0847,(IF(Distance&gt;600,(Distance-600)/28+18.799,(IF(Distance&gt;400,(Distance-400)/30+12.1324,(IF(Distance&gt;200,(Distance-200)/32+5.8824,Distance/34))))))))</f>
        <v>4.1235294117647054</v>
      </c>
      <c r="M18">
        <f t="shared" si="0"/>
        <v>9.3466666666666658</v>
      </c>
      <c r="N18" s="4">
        <f>IF(ISBLANK(Distance),"",Open_time Control_1+(INT(Open)&amp;":"&amp;IF(ROUND(((Open-INT(Open))*60),0)&lt;10,0,"")&amp;ROUND(((Open-INT(Open))*60),0)))</f>
        <v>45500.421527777777</v>
      </c>
      <c r="O18" s="4">
        <f>IF(ISBLANK(Distance),"",Open_time Control_1+(INT(Close)&amp;":"&amp;IF(ROUND(((Close-INT(Close))*60),0)&lt;10,0,"")&amp;ROUND(((Close-INT(Close))*60),0)))</f>
        <v>45500.63958333333</v>
      </c>
    </row>
    <row r="19" spans="2:26" ht="17" customHeight="1" x14ac:dyDescent="0.15">
      <c r="B19" s="38"/>
      <c r="C19" s="2" t="s">
        <v>8</v>
      </c>
      <c r="D19" s="15">
        <v>184.2</v>
      </c>
      <c r="E19" s="34" t="s">
        <v>86</v>
      </c>
      <c r="F19" s="35" t="s">
        <v>104</v>
      </c>
      <c r="G19" s="35" t="s">
        <v>87</v>
      </c>
      <c r="H19" s="36" t="s">
        <v>88</v>
      </c>
      <c r="I19" s="35"/>
      <c r="J19" s="35"/>
      <c r="K19" s="36"/>
      <c r="L19">
        <f t="shared" si="1"/>
        <v>5.4176470588235288</v>
      </c>
      <c r="M19">
        <f t="shared" si="0"/>
        <v>12.28</v>
      </c>
      <c r="N19" s="4">
        <f>IF(ISBLANK(Distance),"",Open_time Control_1+(INT(Open)&amp;":"&amp;IF(ROUND(((Open-INT(Open))*60),0)&lt;10,0,"")&amp;ROUND(((Open-INT(Open))*60),0)))</f>
        <v>45500.475694444445</v>
      </c>
      <c r="O19" s="4">
        <f>IF(ISBLANK(Distance),"",Open_time Control_1+(INT(Close)&amp;":"&amp;IF(ROUND(((Close-INT(Close))*60),0)&lt;10,0,"")&amp;ROUND(((Close-INT(Close))*60),0)))</f>
        <v>45500.761805555558</v>
      </c>
      <c r="Q19" s="40"/>
    </row>
    <row r="20" spans="2:26" ht="17" customHeight="1" x14ac:dyDescent="0.15">
      <c r="B20" s="38"/>
      <c r="C20" s="2" t="s">
        <v>9</v>
      </c>
      <c r="D20" s="15">
        <v>213.6</v>
      </c>
      <c r="E20" s="34" t="s">
        <v>89</v>
      </c>
      <c r="F20" s="35" t="s">
        <v>104</v>
      </c>
      <c r="G20" s="35" t="s">
        <v>90</v>
      </c>
      <c r="H20" s="36" t="s">
        <v>91</v>
      </c>
      <c r="I20" s="35"/>
      <c r="J20" s="35"/>
      <c r="K20" s="36"/>
      <c r="L20">
        <f t="shared" si="1"/>
        <v>6.3073999999999995</v>
      </c>
      <c r="M20">
        <f t="shared" si="0"/>
        <v>14.24</v>
      </c>
      <c r="N20" s="4">
        <f>IF(ISBLANK(Distance),"",Open_time Control_1+(INT(Open)&amp;":"&amp;IF(ROUND(((Open-INT(Open))*60),0)&lt;10,0,"")&amp;ROUND(((Open-INT(Open))*60),0)))</f>
        <v>45500.512499999997</v>
      </c>
      <c r="O20" s="4">
        <f>IF(ISBLANK(Distance),"",Open_time Control_1+(INT(Close)&amp;":"&amp;IF(ROUND(((Close-INT(Close))*60),0)&lt;10,0,"")&amp;ROUND(((Close-INT(Close))*60),0)))</f>
        <v>45500.843055555553</v>
      </c>
    </row>
    <row r="21" spans="2:26" ht="17" customHeight="1" x14ac:dyDescent="0.15">
      <c r="B21" s="38"/>
      <c r="C21" s="2" t="s">
        <v>10</v>
      </c>
      <c r="D21" s="15">
        <v>233.2</v>
      </c>
      <c r="E21" s="34" t="s">
        <v>92</v>
      </c>
      <c r="F21" s="35" t="s">
        <v>103</v>
      </c>
      <c r="G21" s="35" t="s">
        <v>93</v>
      </c>
      <c r="H21" s="36" t="s">
        <v>94</v>
      </c>
      <c r="I21" s="35" t="s">
        <v>108</v>
      </c>
      <c r="J21" s="35" t="s">
        <v>109</v>
      </c>
      <c r="K21" s="36"/>
      <c r="L21">
        <f t="shared" si="1"/>
        <v>6.9198999999999993</v>
      </c>
      <c r="M21">
        <f t="shared" si="0"/>
        <v>15.546666666666665</v>
      </c>
      <c r="N21" s="4">
        <f>IF(ISBLANK(Distance),"",Open_time Control_1+(INT(Open)&amp;":"&amp;IF(ROUND(((Open-INT(Open))*60),0)&lt;10,0,"")&amp;ROUND(((Open-INT(Open))*60),0)))</f>
        <v>45500.538194444445</v>
      </c>
      <c r="O21" s="4">
        <f>IF(ISBLANK(Distance),"",Open_time Control_1+(INT(Close)&amp;":"&amp;IF(ROUND(((Close-INT(Close))*60),0)&lt;10,0,"")&amp;ROUND(((Close-INT(Close))*60),0)))</f>
        <v>45500.897916666669</v>
      </c>
    </row>
    <row r="22" spans="2:26" ht="17" customHeight="1" x14ac:dyDescent="0.15">
      <c r="B22" s="38"/>
      <c r="C22" s="2" t="s">
        <v>11</v>
      </c>
      <c r="D22" s="15">
        <v>259.60000000000002</v>
      </c>
      <c r="E22" s="34" t="s">
        <v>95</v>
      </c>
      <c r="F22" s="35" t="s">
        <v>103</v>
      </c>
      <c r="G22" s="35" t="s">
        <v>96</v>
      </c>
      <c r="H22" s="36" t="s">
        <v>97</v>
      </c>
      <c r="I22" s="35" t="s">
        <v>98</v>
      </c>
      <c r="J22" s="35" t="s">
        <v>99</v>
      </c>
      <c r="K22" s="36" t="s">
        <v>100</v>
      </c>
      <c r="L22">
        <f t="shared" si="1"/>
        <v>7.7449000000000003</v>
      </c>
      <c r="M22">
        <f t="shared" si="0"/>
        <v>17.306666666666668</v>
      </c>
      <c r="N22" s="4">
        <f>IF(ISBLANK(Distance),"",Open_time Control_1+(INT(Open)&amp;":"&amp;IF(ROUND(((Open-INT(Open))*60),0)&lt;10,0,"")&amp;ROUND(((Open-INT(Open))*60),0)))</f>
        <v>45500.572916666664</v>
      </c>
      <c r="O22" s="4">
        <f>IF(ISBLANK(Distance),"",Open_time Control_1+(INT(Close)&amp;":"&amp;IF(ROUND(((Close-INT(Close))*60),0)&lt;10,0,"")&amp;ROUND(((Close-INT(Close))*60),0)))</f>
        <v>45500.970833333333</v>
      </c>
    </row>
    <row r="23" spans="2:26" ht="17" customHeight="1" x14ac:dyDescent="0.15">
      <c r="B23" s="38"/>
      <c r="C23" s="2" t="s">
        <v>12</v>
      </c>
      <c r="D23" s="15">
        <v>301.10000000000002</v>
      </c>
      <c r="E23" s="34" t="s">
        <v>74</v>
      </c>
      <c r="F23" s="35" t="s">
        <v>102</v>
      </c>
      <c r="G23" s="35" t="s">
        <v>75</v>
      </c>
      <c r="H23" s="36" t="s">
        <v>77</v>
      </c>
      <c r="I23" s="35" t="s">
        <v>101</v>
      </c>
      <c r="J23" s="35"/>
      <c r="K23" s="36"/>
      <c r="L23">
        <f t="shared" si="1"/>
        <v>9.0417750000000012</v>
      </c>
      <c r="M23">
        <f t="shared" si="0"/>
        <v>20</v>
      </c>
      <c r="N23" s="4">
        <f>IF(ISBLANK(Distance),"",Open_time Control_1+(INT(Open)&amp;":"&amp;IF(ROUND(((Open-INT(Open))*60),0)&lt;10,0,"")&amp;ROUND(((Open-INT(Open))*60),0)))</f>
        <v>45500.627083333333</v>
      </c>
      <c r="O23" s="4">
        <f>IF(ISBLANK(Distance),"",Open_time Control_1+(INT(Close)&amp;":"&amp;IF(ROUND(((Close-INT(Close))*60),0)&lt;10,0,"")&amp;ROUND(((Close-INT(Close))*60),0)))</f>
        <v>45501.083333333336</v>
      </c>
    </row>
    <row r="24" spans="2:26" ht="17" customHeight="1" thickBot="1" x14ac:dyDescent="0.2">
      <c r="B24" s="38"/>
      <c r="C24" s="2" t="s">
        <v>13</v>
      </c>
      <c r="D24" s="20"/>
      <c r="E24" s="37"/>
      <c r="F24" s="35"/>
      <c r="G24" s="35"/>
      <c r="H24" s="36"/>
      <c r="I24" s="35"/>
      <c r="J24" s="35"/>
      <c r="K24" s="36"/>
      <c r="L24" t="str">
        <f t="shared" si="1"/>
        <v/>
      </c>
      <c r="M24" t="str">
        <f t="shared" si="0"/>
        <v/>
      </c>
      <c r="N24" s="4" t="str">
        <f>IF(ISBLANK(Distance),"",Open_time Control_1+(INT(Open)&amp;":"&amp;IF(ROUND(((Open-INT(Open))*60),0)&lt;10,0,"")&amp;ROUND(((Open-INT(Open))*60),0)))</f>
        <v/>
      </c>
      <c r="O24" s="4" t="str">
        <f>IF(ISBLANK(Distance),"",Open_time Control_1+(INT(Close)&amp;":"&amp;IF(ROUND(((Close-INT(Close))*60),0)&lt;10,0,"")&amp;ROUND(((Close-INT(Close))*60),0)))</f>
        <v/>
      </c>
    </row>
    <row r="25" spans="2:26" ht="7" customHeight="1" thickBot="1" x14ac:dyDescent="0.25">
      <c r="D25" s="26"/>
      <c r="E25" s="27"/>
      <c r="F25" s="28"/>
      <c r="G25" s="28"/>
      <c r="H25" s="28"/>
      <c r="I25" s="28"/>
      <c r="J25" s="28"/>
      <c r="K25" s="29"/>
      <c r="N25" s="4"/>
      <c r="O25" s="4"/>
    </row>
    <row r="26" spans="2:26" ht="14" thickBot="1" x14ac:dyDescent="0.2">
      <c r="D26" s="104" t="s">
        <v>69</v>
      </c>
      <c r="E26" s="105"/>
      <c r="F26" s="105"/>
      <c r="G26" s="105"/>
      <c r="H26" s="105"/>
      <c r="I26" s="106" t="s">
        <v>70</v>
      </c>
      <c r="J26" s="105"/>
      <c r="K26" s="107"/>
    </row>
    <row r="27" spans="2:26" ht="14" thickBot="1" x14ac:dyDescent="0.2">
      <c r="D27" s="5" t="s">
        <v>21</v>
      </c>
      <c r="E27" s="6" t="s">
        <v>22</v>
      </c>
      <c r="F27" s="24" t="s">
        <v>23</v>
      </c>
      <c r="G27" s="24" t="s">
        <v>24</v>
      </c>
      <c r="H27" s="25" t="s">
        <v>25</v>
      </c>
      <c r="I27" s="6" t="s">
        <v>37</v>
      </c>
      <c r="J27" s="6" t="s">
        <v>38</v>
      </c>
      <c r="K27" s="7" t="s">
        <v>39</v>
      </c>
      <c r="L27" t="s">
        <v>0</v>
      </c>
      <c r="M27" t="s">
        <v>1</v>
      </c>
      <c r="N27" t="s">
        <v>2</v>
      </c>
      <c r="O27" t="s">
        <v>3</v>
      </c>
    </row>
    <row r="28" spans="2:26" ht="17" customHeight="1" x14ac:dyDescent="0.15">
      <c r="D28" s="15">
        <v>0</v>
      </c>
      <c r="E28" s="34" t="s">
        <v>89</v>
      </c>
      <c r="F28" s="35" t="s">
        <v>104</v>
      </c>
      <c r="G28" s="35" t="s">
        <v>90</v>
      </c>
      <c r="H28" s="36" t="s">
        <v>91</v>
      </c>
      <c r="I28" s="35"/>
      <c r="J28" s="35"/>
      <c r="K28" s="36"/>
      <c r="L28">
        <f>IF(ISBLANK(D28),"",IF(D28&gt;1000,(D28-1000)/26+33.0847,(IF(D28&gt;600,(D28-600)/28+18.799,(IF(D28&gt;400,(D28-400)/30+12.1324,(IF(D28&gt;200,(D28-200)/32+5.8824,D28/34))))))))</f>
        <v>0</v>
      </c>
      <c r="M28">
        <f t="shared" ref="M28:M37" si="2">IF(ISBLANK(D28),"",IF((D28=0),1,IF(D28&gt;=brevet,IF(brevet&gt;1200,(brevet-1200)*75/1000+90,Max_time),IF(D28&gt;1200,(D28-1200)*75/1000+90,IF(D28&gt;1000,(D28-1000)/(1000/75)+75,IF(D28&gt;600,(D28-600)/(400/35)+40,IF(D28&lt;=60,D28/20+1,D28/15)))))))</f>
        <v>1</v>
      </c>
      <c r="N28" s="4">
        <f>IF(ISBLANK(D28),"",Open_time Control_1+(INT(L28)&amp;":"&amp;IF(ROUND(((L28-INT(L28))*60),0)&lt;10,0,"")&amp;ROUND(((L28-INT(L28))*60),0)))</f>
        <v>45500.25</v>
      </c>
      <c r="O28" s="4">
        <f>IF(ISBLANK(D28),"",Open_time Control_1+(INT(M28)&amp;":"&amp;IF(ROUND(((M28-INT(M28))*60),0)&lt;10,0,"")&amp;ROUND(((M28-INT(M28))*60),0)))</f>
        <v>45500.291666666664</v>
      </c>
    </row>
    <row r="29" spans="2:26" ht="17" customHeight="1" x14ac:dyDescent="0.15">
      <c r="D29" s="15">
        <f>D21-D20</f>
        <v>19.599999999999994</v>
      </c>
      <c r="E29" s="34" t="s">
        <v>92</v>
      </c>
      <c r="F29" s="35" t="s">
        <v>103</v>
      </c>
      <c r="G29" s="35" t="s">
        <v>93</v>
      </c>
      <c r="H29" s="36" t="s">
        <v>94</v>
      </c>
      <c r="I29" s="35" t="s">
        <v>108</v>
      </c>
      <c r="J29" s="35" t="s">
        <v>109</v>
      </c>
      <c r="K29" s="36"/>
      <c r="L29">
        <f t="shared" ref="L29:L37" si="3">IF(ISBLANK(D29),"",IF(D29&gt;1000,(D29-1000)/26+33.0847,(IF(D29&gt;600,(D29-600)/28+18.799,(IF(D29&gt;400,(D29-400)/30+12.1324,(IF(D29&gt;200,(D29-200)/32+5.8824,D29/34))))))))</f>
        <v>0.57647058823529396</v>
      </c>
      <c r="M29">
        <f t="shared" si="2"/>
        <v>1.9799999999999998</v>
      </c>
      <c r="N29" s="4">
        <f>IF(ISBLANK(D29),"",Open_time Control_1+(INT(L29)&amp;":"&amp;IF(ROUND(((L29-INT(L29))*60),0)&lt;10,0,"")&amp;ROUND(((L29-INT(L29))*60),0)))</f>
        <v>45500.274305555555</v>
      </c>
      <c r="O29" s="4">
        <f>IF(ISBLANK(D29),"",Open_time Control_1+(INT(M29)&amp;":"&amp;IF(ROUND(((M29-INT(M29))*60),0)&lt;10,0,"")&amp;ROUND(((M29-INT(M29))*60),0)))</f>
        <v>45500.332638888889</v>
      </c>
    </row>
    <row r="30" spans="2:26" ht="17" customHeight="1" x14ac:dyDescent="0.15">
      <c r="D30" s="15">
        <f>D22-D20</f>
        <v>46.000000000000028</v>
      </c>
      <c r="E30" s="34" t="s">
        <v>95</v>
      </c>
      <c r="F30" s="35" t="s">
        <v>103</v>
      </c>
      <c r="G30" s="35" t="s">
        <v>96</v>
      </c>
      <c r="H30" s="36" t="s">
        <v>97</v>
      </c>
      <c r="I30" s="35" t="s">
        <v>98</v>
      </c>
      <c r="J30" s="35" t="s">
        <v>99</v>
      </c>
      <c r="K30" s="36" t="s">
        <v>100</v>
      </c>
      <c r="L30">
        <f t="shared" si="3"/>
        <v>1.352941176470589</v>
      </c>
      <c r="M30">
        <f t="shared" si="2"/>
        <v>3.3000000000000016</v>
      </c>
      <c r="N30" s="4">
        <f>IF(ISBLANK(D30),"",Open_time Control_1+(INT(L30)&amp;":"&amp;IF(ROUND(((L30-INT(L30))*60),0)&lt;10,0,"")&amp;ROUND(((L30-INT(L30))*60),0)))</f>
        <v>45500.306250000001</v>
      </c>
      <c r="O30" s="4">
        <f>IF(ISBLANK(D30),"",Open_time Control_1+(INT(M30)&amp;":"&amp;IF(ROUND(((M30-INT(M30))*60),0)&lt;10,0,"")&amp;ROUND(((M30-INT(M30))*60),0)))</f>
        <v>45500.387499999997</v>
      </c>
    </row>
    <row r="31" spans="2:26" ht="17" customHeight="1" x14ac:dyDescent="0.15">
      <c r="D31" s="15">
        <f>D23-D20</f>
        <v>87.500000000000028</v>
      </c>
      <c r="E31" s="34" t="s">
        <v>74</v>
      </c>
      <c r="F31" s="35" t="s">
        <v>102</v>
      </c>
      <c r="G31" s="35" t="s">
        <v>75</v>
      </c>
      <c r="H31" s="36" t="s">
        <v>77</v>
      </c>
      <c r="I31" s="35" t="s">
        <v>101</v>
      </c>
      <c r="J31" s="35"/>
      <c r="K31" s="36"/>
      <c r="L31">
        <f t="shared" si="3"/>
        <v>2.5735294117647065</v>
      </c>
      <c r="M31">
        <f t="shared" si="2"/>
        <v>5.8333333333333348</v>
      </c>
      <c r="N31" s="4">
        <f>IF(ISBLANK(D31),"",Open_time Control_1+(INT(L31)&amp;":"&amp;IF(ROUND(((L31-INT(L31))*60),0)&lt;10,0,"")&amp;ROUND(((L31-INT(L31))*60),0)))</f>
        <v>45500.356944444444</v>
      </c>
      <c r="O31" s="4">
        <f>IF(ISBLANK(D31),"",Open_time Control_1+(INT(M31)&amp;":"&amp;IF(ROUND(((M31-INT(M31))*60),0)&lt;10,0,"")&amp;ROUND(((M31-INT(M31))*60),0)))</f>
        <v>45500.493055555555</v>
      </c>
    </row>
    <row r="32" spans="2:26" ht="17" customHeight="1" x14ac:dyDescent="0.15">
      <c r="D32" s="15">
        <f>D16+D31</f>
        <v>102.10000000000002</v>
      </c>
      <c r="E32" s="34" t="s">
        <v>85</v>
      </c>
      <c r="F32" s="35" t="s">
        <v>103</v>
      </c>
      <c r="G32" s="35" t="s">
        <v>106</v>
      </c>
      <c r="H32" s="36" t="s">
        <v>105</v>
      </c>
      <c r="I32" s="35" t="s">
        <v>98</v>
      </c>
      <c r="J32" s="35"/>
      <c r="K32" s="36"/>
      <c r="L32">
        <f t="shared" si="3"/>
        <v>3.0029411764705891</v>
      </c>
      <c r="M32">
        <f t="shared" si="2"/>
        <v>6.8066666666666684</v>
      </c>
      <c r="N32" s="4">
        <f>IF(ISBLANK(D32),"",Open_time Control_1+(INT(L32)&amp;":"&amp;IF(ROUND(((L32-INT(L32))*60),0)&lt;10,0,"")&amp;ROUND(((L32-INT(L32))*60),0)))</f>
        <v>45500.375</v>
      </c>
      <c r="O32" s="4">
        <f>IF(ISBLANK(D32),"",Open_time Control_1+(INT(M32)&amp;":"&amp;IF(ROUND(((M32-INT(M32))*60),0)&lt;10,0,"")&amp;ROUND(((M32-INT(M32))*60),0)))</f>
        <v>45500.533333333333</v>
      </c>
    </row>
    <row r="33" spans="4:15" ht="17" customHeight="1" x14ac:dyDescent="0.15">
      <c r="D33" s="15">
        <f>D17-D16+D32</f>
        <v>170.3</v>
      </c>
      <c r="E33" s="34" t="s">
        <v>80</v>
      </c>
      <c r="F33" s="35" t="s">
        <v>104</v>
      </c>
      <c r="G33" s="35" t="s">
        <v>76</v>
      </c>
      <c r="H33" s="36" t="s">
        <v>81</v>
      </c>
      <c r="I33" s="35"/>
      <c r="J33" s="35"/>
      <c r="K33" s="36"/>
      <c r="L33">
        <f t="shared" si="3"/>
        <v>5.0088235294117647</v>
      </c>
      <c r="M33">
        <f t="shared" si="2"/>
        <v>11.353333333333333</v>
      </c>
      <c r="N33" s="4">
        <f>IF(ISBLANK(D33),"",Open_time Control_1+(INT(L33)&amp;":"&amp;IF(ROUND(((L33-INT(L33))*60),0)&lt;10,0,"")&amp;ROUND(((L33-INT(L33))*60),0)))</f>
        <v>45500.459027777775</v>
      </c>
      <c r="O33" s="4">
        <f>IF(ISBLANK(D33),"",Open_time Control_1+(INT(M33)&amp;":"&amp;IF(ROUND(((M33-INT(M33))*60),0)&lt;10,0,"")&amp;ROUND(((M33-INT(M33))*60),0)))</f>
        <v>45500.722916666666</v>
      </c>
    </row>
    <row r="34" spans="4:15" ht="17" customHeight="1" x14ac:dyDescent="0.15">
      <c r="D34" s="15">
        <f t="shared" ref="D34:D36" si="4">D18-D17+D33</f>
        <v>227.7</v>
      </c>
      <c r="E34" s="34" t="s">
        <v>82</v>
      </c>
      <c r="F34" s="35" t="s">
        <v>104</v>
      </c>
      <c r="G34" s="35" t="s">
        <v>83</v>
      </c>
      <c r="H34" s="36" t="s">
        <v>84</v>
      </c>
      <c r="I34" s="35"/>
      <c r="J34" s="35"/>
      <c r="K34" s="36"/>
      <c r="L34">
        <f t="shared" si="3"/>
        <v>6.7480249999999993</v>
      </c>
      <c r="M34">
        <f t="shared" si="2"/>
        <v>15.18</v>
      </c>
      <c r="N34" s="4">
        <f>IF(ISBLANK(D34),"",Open_time Control_1+(INT(L34)&amp;":"&amp;IF(ROUND(((L34-INT(L34))*60),0)&lt;10,0,"")&amp;ROUND(((L34-INT(L34))*60),0)))</f>
        <v>45500.53125</v>
      </c>
      <c r="O34" s="4">
        <f>IF(ISBLANK(D34),"",Open_time Control_1+(INT(M34)&amp;":"&amp;IF(ROUND(((M34-INT(M34))*60),0)&lt;10,0,"")&amp;ROUND(((M34-INT(M34))*60),0)))</f>
        <v>45500.882638888892</v>
      </c>
    </row>
    <row r="35" spans="4:15" ht="17" customHeight="1" x14ac:dyDescent="0.15">
      <c r="D35" s="15">
        <f t="shared" si="4"/>
        <v>271.7</v>
      </c>
      <c r="E35" s="34" t="s">
        <v>86</v>
      </c>
      <c r="F35" s="35" t="s">
        <v>104</v>
      </c>
      <c r="G35" s="35" t="s">
        <v>87</v>
      </c>
      <c r="H35" s="36" t="s">
        <v>88</v>
      </c>
      <c r="I35" s="35" t="s">
        <v>101</v>
      </c>
      <c r="J35" s="35"/>
      <c r="K35" s="36"/>
      <c r="L35">
        <f t="shared" si="3"/>
        <v>8.1230249999999984</v>
      </c>
      <c r="M35">
        <f t="shared" si="2"/>
        <v>18.113333333333333</v>
      </c>
      <c r="N35" s="4">
        <f>IF(ISBLANK(D35),"",Open_time Control_1+(INT(L35)&amp;":"&amp;IF(ROUND(((L35-INT(L35))*60),0)&lt;10,0,"")&amp;ROUND(((L35-INT(L35))*60),0)))</f>
        <v>45500.588194444441</v>
      </c>
      <c r="O35" s="4">
        <f>IF(ISBLANK(D35),"",Open_time Control_1+(INT(M35)&amp;":"&amp;IF(ROUND(((M35-INT(M35))*60),0)&lt;10,0,"")&amp;ROUND(((M35-INT(M35))*60),0)))</f>
        <v>45501.004861111112</v>
      </c>
    </row>
    <row r="36" spans="4:15" ht="17" customHeight="1" x14ac:dyDescent="0.15">
      <c r="D36" s="15">
        <f>D20-D19+D35</f>
        <v>301.10000000000002</v>
      </c>
      <c r="E36" s="34" t="s">
        <v>89</v>
      </c>
      <c r="F36" s="35" t="s">
        <v>104</v>
      </c>
      <c r="G36" s="35" t="s">
        <v>90</v>
      </c>
      <c r="H36" s="36" t="s">
        <v>91</v>
      </c>
      <c r="I36" s="35"/>
      <c r="J36" s="35"/>
      <c r="K36" s="36"/>
      <c r="L36">
        <f t="shared" si="3"/>
        <v>9.0417750000000012</v>
      </c>
      <c r="M36">
        <f t="shared" si="2"/>
        <v>20</v>
      </c>
      <c r="N36" s="4">
        <f>IF(ISBLANK(D36),"",Open_time Control_1+(INT(L36)&amp;":"&amp;IF(ROUND(((L36-INT(L36))*60),0)&lt;10,0,"")&amp;ROUND(((L36-INT(L36))*60),0)))</f>
        <v>45500.627083333333</v>
      </c>
      <c r="O36" s="4">
        <f>IF(ISBLANK(D36),"",Open_time Control_1+(INT(M36)&amp;":"&amp;IF(ROUND(((M36-INT(M36))*60),0)&lt;10,0,"")&amp;ROUND(((M36-INT(M36))*60),0)))</f>
        <v>45501.083333333336</v>
      </c>
    </row>
    <row r="37" spans="4:15" ht="17" customHeight="1" thickBot="1" x14ac:dyDescent="0.2">
      <c r="D37" s="20"/>
      <c r="E37" s="34"/>
      <c r="F37" s="35"/>
      <c r="G37" s="35"/>
      <c r="H37" s="36"/>
      <c r="I37" s="35"/>
      <c r="J37" s="35"/>
      <c r="K37" s="36"/>
      <c r="L37" t="str">
        <f t="shared" si="3"/>
        <v/>
      </c>
      <c r="M37" t="str">
        <f t="shared" si="2"/>
        <v/>
      </c>
      <c r="N37" s="4" t="str">
        <f>IF(ISBLANK(D37),"",Open_time Control_1+(INT(L37)&amp;":"&amp;IF(ROUND(((L37-INT(L37))*60),0)&lt;10,0,"")&amp;ROUND(((L37-INT(L37))*60),0)))</f>
        <v/>
      </c>
      <c r="O37" s="4" t="str">
        <f>IF(ISBLANK(D37),"",Open_time Control_1+(INT(M37)&amp;":"&amp;IF(ROUND(((M37-INT(M37))*60),0)&lt;10,0,"")&amp;ROUND(((M37-INT(M37))*60),0)))</f>
        <v/>
      </c>
    </row>
  </sheetData>
  <sheetProtection algorithmName="SHA-512" hashValue="ZYQin6v6E0iNpcC9I7+9b2Dn0/bi5OBt8ww5WOuVvda6CZVMZiQgmrJGLfp99jaxUhYX7AQrWS8mD11fp+52iA==" saltValue="KrE9Ta/PW+LsyQkuSQ1AQA==" spinCount="100000" sheet="1" objects="1" scenarios="1" formatCells="0" selectLockedCells="1"/>
  <mergeCells count="8">
    <mergeCell ref="D26:H26"/>
    <mergeCell ref="I26:K26"/>
    <mergeCell ref="A1:G1"/>
    <mergeCell ref="B8:F8"/>
    <mergeCell ref="Q1:AF4"/>
    <mergeCell ref="J6:K6"/>
    <mergeCell ref="D13:H13"/>
    <mergeCell ref="I13:K13"/>
  </mergeCells>
  <phoneticPr fontId="13" type="noConversion"/>
  <pageMargins left="0.75" right="0.75" top="1" bottom="1" header="0.5" footer="0.5"/>
  <pageSetup orientation="portrait" horizontalDpi="4294967292" verticalDpi="4294967292"/>
  <headerFooter>
    <oddHeader>&amp;A</oddHeader>
    <oddFooter>Page &amp;P</oddFooter>
  </headerFooter>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14ED8-B2B3-3C4A-953E-40C153A6C07C}">
  <sheetPr>
    <pageSetUpPr fitToPage="1"/>
  </sheetPr>
  <dimension ref="B1:O57"/>
  <sheetViews>
    <sheetView zoomScale="115" zoomScaleNormal="115" zoomScalePageLayoutView="75" workbookViewId="0">
      <selection activeCell="F21" sqref="F21"/>
    </sheetView>
  </sheetViews>
  <sheetFormatPr baseColWidth="10" defaultColWidth="8.83203125" defaultRowHeight="13" x14ac:dyDescent="0.15"/>
  <cols>
    <col min="1" max="1" width="1.83203125" customWidth="1"/>
    <col min="2" max="2" width="12.83203125" customWidth="1"/>
    <col min="3" max="4" width="15.83203125" customWidth="1"/>
    <col min="5" max="5" width="25.83203125" customWidth="1"/>
    <col min="6" max="6" width="40.83203125" customWidth="1"/>
    <col min="7" max="7" width="12.83203125" customWidth="1"/>
    <col min="8" max="8" width="25.83203125" customWidth="1"/>
    <col min="9" max="9" width="30.83203125" customWidth="1"/>
    <col min="10" max="10" width="25.83203125" customWidth="1"/>
    <col min="11" max="11" width="1.83203125" customWidth="1"/>
    <col min="12" max="12" width="8.83203125" customWidth="1"/>
  </cols>
  <sheetData>
    <row r="1" spans="2:15" x14ac:dyDescent="0.15">
      <c r="K1" s="75"/>
      <c r="L1" s="75"/>
      <c r="M1" s="75"/>
    </row>
    <row r="2" spans="2:15" ht="18" x14ac:dyDescent="0.2">
      <c r="C2" s="112" t="s">
        <v>33</v>
      </c>
      <c r="D2" s="112"/>
      <c r="E2" s="112"/>
      <c r="F2" s="112"/>
      <c r="G2" s="55"/>
      <c r="H2" s="55"/>
      <c r="I2" s="78" t="s">
        <v>58</v>
      </c>
      <c r="J2" s="79">
        <f>'Control Entry'!B4</f>
        <v>45484</v>
      </c>
      <c r="K2" s="55"/>
      <c r="L2" s="55"/>
    </row>
    <row r="3" spans="2:15" ht="45" customHeight="1" x14ac:dyDescent="0.45">
      <c r="D3" s="12"/>
      <c r="E3" s="121" t="s">
        <v>29</v>
      </c>
      <c r="F3" s="121"/>
      <c r="G3" s="121"/>
      <c r="H3" s="121"/>
      <c r="I3" s="66" t="s">
        <v>60</v>
      </c>
      <c r="J3" s="71">
        <f>IF(ISBLANK(Brevet_Number),"",Brevet_Number)</f>
        <v>5407</v>
      </c>
      <c r="K3" s="39"/>
      <c r="L3" s="39"/>
    </row>
    <row r="4" spans="2:15" ht="20" customHeight="1" x14ac:dyDescent="0.15">
      <c r="C4" s="12"/>
      <c r="E4" s="122" t="str">
        <f>IF(ISBLANK(Brevet_Length),"",Brevet_Length&amp;" km Randonnée")</f>
        <v>300 km Randonnée</v>
      </c>
      <c r="F4" s="122"/>
      <c r="G4" s="122"/>
      <c r="H4" s="122"/>
      <c r="K4" s="51"/>
      <c r="L4" s="51"/>
    </row>
    <row r="5" spans="2:15" ht="20" customHeight="1" x14ac:dyDescent="0.2">
      <c r="D5" s="52"/>
      <c r="E5" s="120" t="str">
        <f>IF(ISBLANK(Brevet_Description),"",Brevet_Description)</f>
        <v>Parks and Rivers</v>
      </c>
      <c r="F5" s="120"/>
      <c r="G5" s="120"/>
      <c r="H5" s="120"/>
      <c r="I5" s="74"/>
      <c r="J5" s="52"/>
      <c r="K5" s="52"/>
      <c r="L5" s="52"/>
    </row>
    <row r="6" spans="2:15" ht="20" x14ac:dyDescent="0.2">
      <c r="D6" s="67"/>
      <c r="E6" s="120"/>
      <c r="F6" s="120"/>
      <c r="G6" s="120"/>
      <c r="H6" s="120"/>
      <c r="I6" s="74"/>
      <c r="J6" s="67"/>
      <c r="K6" s="52"/>
      <c r="L6" s="52"/>
    </row>
    <row r="7" spans="2:15" ht="25" customHeight="1" x14ac:dyDescent="0.15">
      <c r="C7" s="116"/>
      <c r="D7" s="116"/>
      <c r="E7" s="116"/>
      <c r="F7" s="116"/>
      <c r="H7" s="118"/>
    </row>
    <row r="8" spans="2:15" ht="21" thickBot="1" x14ac:dyDescent="0.25">
      <c r="B8" s="17" t="s">
        <v>61</v>
      </c>
      <c r="C8" s="117"/>
      <c r="D8" s="117"/>
      <c r="E8" s="117"/>
      <c r="F8" s="117"/>
      <c r="G8" s="17" t="s">
        <v>31</v>
      </c>
      <c r="H8" s="119"/>
      <c r="I8" s="53"/>
      <c r="J8" s="53"/>
      <c r="K8" s="53"/>
    </row>
    <row r="9" spans="2:15" ht="22" customHeight="1" x14ac:dyDescent="0.15">
      <c r="B9" s="58"/>
      <c r="C9" s="58"/>
      <c r="D9" s="58"/>
      <c r="E9" s="58"/>
      <c r="F9" s="54"/>
      <c r="G9" s="60"/>
      <c r="H9" s="60"/>
      <c r="I9" s="60"/>
      <c r="J9" s="54"/>
    </row>
    <row r="10" spans="2:15" ht="20" customHeight="1" x14ac:dyDescent="0.15">
      <c r="B10" s="114" t="s">
        <v>34</v>
      </c>
      <c r="C10" s="114"/>
      <c r="D10" s="64" t="s">
        <v>35</v>
      </c>
      <c r="E10" s="115" t="s">
        <v>57</v>
      </c>
      <c r="F10" s="115"/>
      <c r="G10" s="115"/>
      <c r="H10" s="70"/>
      <c r="I10" s="59"/>
      <c r="J10" s="59"/>
      <c r="K10" s="19"/>
      <c r="L10" s="123"/>
      <c r="M10" s="123"/>
      <c r="N10" s="123"/>
      <c r="O10" s="123"/>
    </row>
    <row r="11" spans="2:15" ht="23" x14ac:dyDescent="0.15">
      <c r="B11" s="58"/>
      <c r="C11" s="58" t="s">
        <v>73</v>
      </c>
      <c r="D11" s="58"/>
      <c r="E11" s="58"/>
      <c r="F11" s="54"/>
      <c r="G11" s="60"/>
      <c r="H11" s="60"/>
      <c r="I11" s="60"/>
      <c r="J11" s="54"/>
    </row>
    <row r="12" spans="2:15" ht="21" thickBot="1" x14ac:dyDescent="0.25">
      <c r="D12" s="137" t="s">
        <v>19</v>
      </c>
      <c r="E12" s="137"/>
      <c r="F12" s="69">
        <f>IF(ISBLANK('Control Entry'!B12),"",'Control Entry'!B12)</f>
        <v>45500</v>
      </c>
      <c r="G12" s="73"/>
      <c r="H12" s="17" t="s">
        <v>63</v>
      </c>
      <c r="I12" s="68">
        <f>IF(ISBLANK('Control Entry'!B13),"",'Control Entry'!B13)</f>
        <v>0.25</v>
      </c>
      <c r="J12" s="23"/>
    </row>
    <row r="13" spans="2:15" ht="20" x14ac:dyDescent="0.2">
      <c r="D13" s="22"/>
      <c r="E13" s="22"/>
      <c r="F13" s="21"/>
      <c r="G13" s="21"/>
      <c r="H13" s="21"/>
      <c r="L13" s="23"/>
      <c r="M13" s="23"/>
      <c r="N13" s="23"/>
    </row>
    <row r="14" spans="2:15" ht="21" thickBot="1" x14ac:dyDescent="0.25">
      <c r="D14" s="137" t="s">
        <v>62</v>
      </c>
      <c r="E14" s="137"/>
      <c r="F14" s="69"/>
      <c r="G14" s="73"/>
      <c r="H14" s="17" t="s">
        <v>64</v>
      </c>
      <c r="I14" s="68"/>
      <c r="J14" s="23"/>
      <c r="L14" s="45"/>
      <c r="M14" s="45"/>
      <c r="N14" s="45"/>
    </row>
    <row r="15" spans="2:15" ht="20" x14ac:dyDescent="0.2">
      <c r="B15" s="22"/>
      <c r="C15" s="22"/>
      <c r="D15" s="21"/>
      <c r="E15" s="21"/>
      <c r="H15" s="21"/>
    </row>
    <row r="16" spans="2:15" ht="21" thickBot="1" x14ac:dyDescent="0.25">
      <c r="C16" s="65"/>
      <c r="D16" s="65"/>
      <c r="E16" s="65"/>
      <c r="F16" s="65"/>
      <c r="H16" s="17" t="s">
        <v>65</v>
      </c>
      <c r="I16" s="68"/>
      <c r="J16" s="23"/>
      <c r="L16" s="45"/>
      <c r="M16" s="45"/>
      <c r="N16" s="45"/>
    </row>
    <row r="17" spans="2:15" ht="20" x14ac:dyDescent="0.15">
      <c r="C17" s="138" t="s">
        <v>14</v>
      </c>
      <c r="D17" s="138"/>
      <c r="E17" s="138"/>
      <c r="F17" s="138"/>
      <c r="G17" s="19"/>
      <c r="H17" s="19"/>
      <c r="I17" s="133"/>
      <c r="J17" s="133"/>
      <c r="K17" s="19"/>
      <c r="L17" s="123"/>
      <c r="M17" s="123"/>
      <c r="N17" s="123"/>
      <c r="O17" s="123"/>
    </row>
    <row r="18" spans="2:15" ht="6" customHeight="1" thickBot="1" x14ac:dyDescent="0.2">
      <c r="B18" s="61"/>
      <c r="C18" s="61"/>
      <c r="D18" s="61"/>
      <c r="E18" s="61"/>
      <c r="F18" s="62"/>
      <c r="G18" s="63"/>
      <c r="H18" s="63"/>
      <c r="I18" s="63"/>
      <c r="J18" s="62"/>
    </row>
    <row r="19" spans="2:15" ht="22" thickTop="1" thickBot="1" x14ac:dyDescent="0.2">
      <c r="B19" s="113" t="s">
        <v>50</v>
      </c>
      <c r="C19" s="113"/>
      <c r="D19" s="113"/>
      <c r="E19" s="113"/>
      <c r="F19" s="113"/>
      <c r="G19" s="113"/>
      <c r="H19" s="113"/>
      <c r="I19" s="113"/>
      <c r="J19" s="113"/>
    </row>
    <row r="20" spans="2:15" ht="20" thickBot="1" x14ac:dyDescent="0.25">
      <c r="B20" s="50" t="s">
        <v>26</v>
      </c>
      <c r="C20" s="8" t="s">
        <v>0</v>
      </c>
      <c r="D20" s="8" t="s">
        <v>1</v>
      </c>
      <c r="E20" s="8" t="s">
        <v>22</v>
      </c>
      <c r="F20" s="8" t="s">
        <v>27</v>
      </c>
      <c r="G20" s="134" t="s">
        <v>36</v>
      </c>
      <c r="H20" s="135"/>
      <c r="I20" s="136"/>
      <c r="J20" s="50" t="s">
        <v>28</v>
      </c>
    </row>
    <row r="21" spans="2:15" ht="40" customHeight="1" x14ac:dyDescent="0.25">
      <c r="B21" s="88"/>
      <c r="C21" s="100">
        <f>Control_1 Open_time</f>
        <v>45500.25</v>
      </c>
      <c r="D21" s="100">
        <f>Control_1 Close_time</f>
        <v>45500.291666666664</v>
      </c>
      <c r="E21" s="89"/>
      <c r="F21" s="90" t="str">
        <f>IF(ISBLANK(Control_1 Establishment_1),"",Control_1 Establishment_1)</f>
        <v>STAFFED</v>
      </c>
      <c r="G21" s="127" t="str">
        <f>IF(ISBLANK('Control Entry'!I15),"",'Control Entry'!I15)</f>
        <v/>
      </c>
      <c r="H21" s="128"/>
      <c r="I21" s="129"/>
      <c r="J21" s="91"/>
    </row>
    <row r="22" spans="2:15" ht="40" customHeight="1" x14ac:dyDescent="0.25">
      <c r="B22" s="92">
        <f>IF(ISBLANK(Distance Control_1),"",Control_1 Distance)</f>
        <v>0</v>
      </c>
      <c r="C22" s="93">
        <f>Control_1 Open_time</f>
        <v>45500.25</v>
      </c>
      <c r="D22" s="93">
        <f>Control_1 Close_time</f>
        <v>45500.291666666664</v>
      </c>
      <c r="E22" s="90" t="str">
        <f>IF(ISBLANK(Locale Control_1),"",Locale Control_1)</f>
        <v>COURTENAY</v>
      </c>
      <c r="F22" s="90" t="str">
        <f>IF(ISBLANK(Control_1 Establishment_2),"",Control_1 Establishment_2)</f>
        <v>Royal Lepage</v>
      </c>
      <c r="G22" s="130" t="str">
        <f>IF(ISBLANK('Control Entry'!J15),"",'Control Entry'!J15)</f>
        <v/>
      </c>
      <c r="H22" s="131"/>
      <c r="I22" s="132"/>
      <c r="J22" s="94"/>
    </row>
    <row r="23" spans="2:15" ht="40" customHeight="1" thickBot="1" x14ac:dyDescent="0.3">
      <c r="B23" s="95"/>
      <c r="C23" s="101">
        <f>Control_1 Open_time</f>
        <v>45500.25</v>
      </c>
      <c r="D23" s="101">
        <f>Control_1 Close_time</f>
        <v>45500.291666666664</v>
      </c>
      <c r="E23" s="96"/>
      <c r="F23" s="97" t="str">
        <f>IF(ISBLANK(Control_1 Establishment_3),"",Control_1 Establishment_3)</f>
        <v>750 Comox Rd</v>
      </c>
      <c r="G23" s="124" t="str">
        <f>IF(ISBLANK('Control Entry'!K15),"",'Control Entry'!K15)</f>
        <v/>
      </c>
      <c r="H23" s="125"/>
      <c r="I23" s="126"/>
      <c r="J23" s="98"/>
    </row>
    <row r="24" spans="2:15" ht="40" customHeight="1" x14ac:dyDescent="0.25">
      <c r="B24" s="88"/>
      <c r="C24" s="100">
        <f>Control_2 Open_time</f>
        <v>45500.268055555556</v>
      </c>
      <c r="D24" s="100">
        <f>Control_2 Close_time</f>
        <v>45500.322222222225</v>
      </c>
      <c r="E24" s="99"/>
      <c r="F24" s="90" t="str">
        <f>IF(ISBLANK(Control_2 Establishment_1),"",Control_2 Establishment_1)</f>
        <v>INFORMATION</v>
      </c>
      <c r="G24" s="127" t="str">
        <f>IF(ISBLANK('Control Entry'!I16),"",'Control Entry'!I16)</f>
        <v>Sign post at beach access</v>
      </c>
      <c r="H24" s="128"/>
      <c r="I24" s="129"/>
      <c r="J24" s="91"/>
    </row>
    <row r="25" spans="2:15" ht="40" customHeight="1" x14ac:dyDescent="0.25">
      <c r="B25" s="92">
        <f>IF(ISBLANK(Distance Control_2),"",Control_2 Distance)</f>
        <v>14.6</v>
      </c>
      <c r="C25" s="93">
        <f>Control_2 Open_time</f>
        <v>45500.268055555556</v>
      </c>
      <c r="D25" s="93">
        <f>Control_2 Close_time</f>
        <v>45500.322222222225</v>
      </c>
      <c r="E25" s="90" t="str">
        <f>IF(ISBLANK(Locale Control_2),"",Locale Control_2)</f>
        <v>LITTLE RIVER</v>
      </c>
      <c r="F25" s="90" t="str">
        <f>IF(ISBLANK(Control_2 Establishment_2),"",Control_2 Establishment_2)</f>
        <v>Singing Sands Beach Access</v>
      </c>
      <c r="G25" s="130" t="str">
        <f>IF(ISBLANK('Control Entry'!J16),"",'Control Entry'!J16)</f>
        <v>"…fires and/or _____??_____on beach…"</v>
      </c>
      <c r="H25" s="131"/>
      <c r="I25" s="132"/>
      <c r="J25" s="94"/>
    </row>
    <row r="26" spans="2:15" ht="40" customHeight="1" thickBot="1" x14ac:dyDescent="0.3">
      <c r="B26" s="95"/>
      <c r="C26" s="101">
        <f>Control_2 Open_time</f>
        <v>45500.268055555556</v>
      </c>
      <c r="D26" s="101">
        <f>Control_2 Close_time</f>
        <v>45500.322222222225</v>
      </c>
      <c r="E26" s="96"/>
      <c r="F26" s="97" t="str">
        <f>IF(ISBLANK(Control_2 Establishment_3),"",Control_2 Establishment_3)</f>
        <v>end of road</v>
      </c>
      <c r="G26" s="124" t="str">
        <f>IF(ISBLANK('Control Entry'!K16),"",'Control Entry'!K16)</f>
        <v/>
      </c>
      <c r="H26" s="125"/>
      <c r="I26" s="126"/>
      <c r="J26" s="98"/>
    </row>
    <row r="27" spans="2:15" ht="40" customHeight="1" x14ac:dyDescent="0.25">
      <c r="B27" s="88"/>
      <c r="C27" s="100">
        <f>Control_3 Open_time</f>
        <v>45500.351388888892</v>
      </c>
      <c r="D27" s="100">
        <f>Control_3 Close_time</f>
        <v>45500.479861111111</v>
      </c>
      <c r="E27" s="99"/>
      <c r="F27" s="90" t="str">
        <f>IF(ISBLANK(Control_3 Establishment_1),"",Control_3 Establishment_1)</f>
        <v>BUSINESS</v>
      </c>
      <c r="G27" s="127" t="str">
        <f>IF(ISBLANK('Control Entry'!I17),"",'Control Entry'!I17)</f>
        <v/>
      </c>
      <c r="H27" s="128"/>
      <c r="I27" s="129"/>
      <c r="J27" s="91"/>
    </row>
    <row r="28" spans="2:15" ht="40" customHeight="1" x14ac:dyDescent="0.25">
      <c r="B28" s="92">
        <f>IF(ISBLANK(Distance Control_3),"",Control_3 Distance)</f>
        <v>82.8</v>
      </c>
      <c r="C28" s="93">
        <f>Control_3 Open_time</f>
        <v>45500.351388888892</v>
      </c>
      <c r="D28" s="93">
        <f>Control_3 Close_time</f>
        <v>45500.479861111111</v>
      </c>
      <c r="E28" s="90" t="str">
        <f>IF(ISBLANK(Locale Control_3),"",Locale Control_3)</f>
        <v>CAMPBELL RIVER</v>
      </c>
      <c r="F28" s="90" t="str">
        <f>IF(ISBLANK(Control_3 Establishment_2),"",Control_3 Establishment_2)</f>
        <v>Your choice</v>
      </c>
      <c r="G28" s="130" t="str">
        <f>IF(ISBLANK('Control Entry'!J17),"",'Control Entry'!J17)</f>
        <v/>
      </c>
      <c r="H28" s="131"/>
      <c r="I28" s="132"/>
      <c r="J28" s="94"/>
    </row>
    <row r="29" spans="2:15" ht="40" customHeight="1" thickBot="1" x14ac:dyDescent="0.3">
      <c r="B29" s="95"/>
      <c r="C29" s="101">
        <f>Control_3 Open_time</f>
        <v>45500.351388888892</v>
      </c>
      <c r="D29" s="101">
        <f>Control_3 Close_time</f>
        <v>45500.479861111111</v>
      </c>
      <c r="E29" s="96"/>
      <c r="F29" s="97" t="str">
        <f>IF(ISBLANK(Control_3 Establishment_3),"",Control_3 Establishment_3)</f>
        <v>Discovery Harbour Centre</v>
      </c>
      <c r="G29" s="124" t="str">
        <f>IF(ISBLANK('Control Entry'!K17),"",'Control Entry'!K17)</f>
        <v/>
      </c>
      <c r="H29" s="125"/>
      <c r="I29" s="126"/>
      <c r="J29" s="98"/>
    </row>
    <row r="30" spans="2:15" ht="40" customHeight="1" x14ac:dyDescent="0.25">
      <c r="B30" s="88"/>
      <c r="C30" s="100">
        <f>Control_4 Open_time</f>
        <v>45500.421527777777</v>
      </c>
      <c r="D30" s="100">
        <f>Control_4 Close_time</f>
        <v>45500.63958333333</v>
      </c>
      <c r="E30" s="99"/>
      <c r="F30" s="90" t="str">
        <f>IF(ISBLANK(Control_4 Establishment_1),"",Control_4 Establishment_1)</f>
        <v>BUSINESS</v>
      </c>
      <c r="G30" s="127" t="str">
        <f>IF(ISBLANK('Control Entry'!I18),"",'Control Entry'!I18)</f>
        <v/>
      </c>
      <c r="H30" s="128"/>
      <c r="I30" s="129"/>
      <c r="J30" s="91"/>
    </row>
    <row r="31" spans="2:15" ht="40" customHeight="1" x14ac:dyDescent="0.25">
      <c r="B31" s="92">
        <f>IF(ISBLANK(Distance Control_4),"",Control_4 Distance)</f>
        <v>140.19999999999999</v>
      </c>
      <c r="C31" s="93">
        <f>Control_4 Open_time</f>
        <v>45500.421527777777</v>
      </c>
      <c r="D31" s="93">
        <f>Control_4 Close_time</f>
        <v>45500.63958333333</v>
      </c>
      <c r="E31" s="90" t="str">
        <f>IF(ISBLANK(Locale Control_4),"",Locale Control_4)</f>
        <v>CUMBERLAND</v>
      </c>
      <c r="F31" s="90" t="str">
        <f>IF(ISBLANK(Control_4 Establishment_2),"",Control_4 Establishment_2)</f>
        <v>Gas N Go</v>
      </c>
      <c r="G31" s="130" t="str">
        <f>IF(ISBLANK('Control Entry'!J18),"",'Control Entry'!J18)</f>
        <v/>
      </c>
      <c r="H31" s="131"/>
      <c r="I31" s="132"/>
      <c r="J31" s="94"/>
    </row>
    <row r="32" spans="2:15" ht="40" customHeight="1" thickBot="1" x14ac:dyDescent="0.3">
      <c r="B32" s="95"/>
      <c r="C32" s="101">
        <f>Control_4 Open_time</f>
        <v>45500.421527777777</v>
      </c>
      <c r="D32" s="101">
        <f>Control_4 Close_time</f>
        <v>45500.63958333333</v>
      </c>
      <c r="E32" s="96"/>
      <c r="F32" s="97" t="str">
        <f>IF(ISBLANK(Control_4 Establishment_3),"",Control_4 Establishment_3)</f>
        <v>4690 Cumberland Rd</v>
      </c>
      <c r="G32" s="124" t="str">
        <f>IF(ISBLANK('Control Entry'!K18),"",'Control Entry'!K18)</f>
        <v/>
      </c>
      <c r="H32" s="125"/>
      <c r="I32" s="126"/>
      <c r="J32" s="98"/>
    </row>
    <row r="33" spans="2:10" ht="40" customHeight="1" x14ac:dyDescent="0.25">
      <c r="B33" s="88"/>
      <c r="C33" s="100">
        <f>Control_5 Open_time</f>
        <v>45500.475694444445</v>
      </c>
      <c r="D33" s="100">
        <f>Control_5 Close_time</f>
        <v>45500.761805555558</v>
      </c>
      <c r="E33" s="99"/>
      <c r="F33" s="90" t="str">
        <f>IF(ISBLANK(Control_5 Establishment_1),"",Control_5 Establishment_1)</f>
        <v>BUSINESS</v>
      </c>
      <c r="G33" s="127" t="str">
        <f>IF(ISBLANK('Control Entry'!I19),"",'Control Entry'!I19)</f>
        <v/>
      </c>
      <c r="H33" s="128"/>
      <c r="I33" s="129"/>
      <c r="J33" s="91"/>
    </row>
    <row r="34" spans="2:10" ht="40" customHeight="1" x14ac:dyDescent="0.25">
      <c r="B34" s="92">
        <f>IF(ISBLANK(Distance Control_5),"",Control_5 Distance)</f>
        <v>184.2</v>
      </c>
      <c r="C34" s="93">
        <f>Control_5 Open_time</f>
        <v>45500.475694444445</v>
      </c>
      <c r="D34" s="93">
        <f>Control_5 Close_time</f>
        <v>45500.761805555558</v>
      </c>
      <c r="E34" s="90" t="str">
        <f>IF(ISBLANK(Locale Control_5),"",Locale Control_5)</f>
        <v>HORNE LAKE</v>
      </c>
      <c r="F34" s="90" t="str">
        <f>IF(ISBLANK(Control_5 Establishment_2),"",Control_5 Establishment_2)</f>
        <v>Petrocanada</v>
      </c>
      <c r="G34" s="130" t="str">
        <f>IF(ISBLANK('Control Entry'!J19),"",'Control Entry'!J19)</f>
        <v/>
      </c>
      <c r="H34" s="131"/>
      <c r="I34" s="132"/>
      <c r="J34" s="94"/>
    </row>
    <row r="35" spans="2:10" ht="40" customHeight="1" thickBot="1" x14ac:dyDescent="0.3">
      <c r="B35" s="95"/>
      <c r="C35" s="101">
        <f>Control_5 Open_time</f>
        <v>45500.475694444445</v>
      </c>
      <c r="D35" s="101">
        <f>Control_5 Close_time</f>
        <v>45500.761805555558</v>
      </c>
      <c r="E35" s="96"/>
      <c r="F35" s="97" t="str">
        <f>IF(ISBLANK(Control_5 Establishment_3),"",Control_5 Establishment_3)</f>
        <v>700 Horne Lake Rd</v>
      </c>
      <c r="G35" s="124" t="str">
        <f>IF(ISBLANK('Control Entry'!K19),"",'Control Entry'!K19)</f>
        <v/>
      </c>
      <c r="H35" s="125"/>
      <c r="I35" s="126"/>
      <c r="J35" s="98"/>
    </row>
    <row r="36" spans="2:10" ht="40" customHeight="1" x14ac:dyDescent="0.25">
      <c r="B36" s="88"/>
      <c r="C36" s="100">
        <f>Control_6 Open_time</f>
        <v>45500.512499999997</v>
      </c>
      <c r="D36" s="100">
        <f>Control_6 Close_time</f>
        <v>45500.843055555553</v>
      </c>
      <c r="E36" s="99"/>
      <c r="F36" s="90" t="str">
        <f>IF(ISBLANK(Control_6 Establishment_1),"",Control_6 Establishment_1)</f>
        <v>BUSINESS</v>
      </c>
      <c r="G36" s="127" t="str">
        <f>IF(ISBLANK('Control Entry'!I20),"",'Control Entry'!I20)</f>
        <v/>
      </c>
      <c r="H36" s="128"/>
      <c r="I36" s="129"/>
      <c r="J36" s="91"/>
    </row>
    <row r="37" spans="2:10" ht="40" customHeight="1" x14ac:dyDescent="0.25">
      <c r="B37" s="92">
        <f>IF(ISBLANK(Distance Control_6),"",Control_6 Distance)</f>
        <v>213.6</v>
      </c>
      <c r="C37" s="93">
        <f>Control_6 Open_time</f>
        <v>45500.512499999997</v>
      </c>
      <c r="D37" s="93">
        <f>Control_6 Close_time</f>
        <v>45500.843055555553</v>
      </c>
      <c r="E37" s="90" t="str">
        <f>IF(ISBLANK(Locale Control_6),"",Locale Control_6)</f>
        <v>PARKSVILLE</v>
      </c>
      <c r="F37" s="90" t="str">
        <f>IF(ISBLANK(Control_6 Establishment_2),"",Control_6 Establishment_2)</f>
        <v>Chevron Gas</v>
      </c>
      <c r="G37" s="130" t="str">
        <f>IF(ISBLANK('Control Entry'!J20),"",'Control Entry'!J20)</f>
        <v/>
      </c>
      <c r="H37" s="131"/>
      <c r="I37" s="132"/>
      <c r="J37" s="94"/>
    </row>
    <row r="38" spans="2:10" ht="40" customHeight="1" thickBot="1" x14ac:dyDescent="0.3">
      <c r="B38" s="95"/>
      <c r="C38" s="101">
        <f>Control_6 Open_time</f>
        <v>45500.512499999997</v>
      </c>
      <c r="D38" s="101">
        <f>Control_6 Close_time</f>
        <v>45500.843055555553</v>
      </c>
      <c r="E38" s="96"/>
      <c r="F38" s="97" t="str">
        <f>IF(ISBLANK(Control_6 Establishment_3),"",Control_6 Establishment_3)</f>
        <v>112 Island Hwy W</v>
      </c>
      <c r="G38" s="124" t="str">
        <f>IF(ISBLANK('Control Entry'!K20),"",'Control Entry'!K20)</f>
        <v/>
      </c>
      <c r="H38" s="125"/>
      <c r="I38" s="126"/>
      <c r="J38" s="98"/>
    </row>
    <row r="39" spans="2:10" ht="40" customHeight="1" x14ac:dyDescent="0.25">
      <c r="B39" s="88"/>
      <c r="C39" s="100">
        <f>Control_7 Open_time</f>
        <v>45500.538194444445</v>
      </c>
      <c r="D39" s="100">
        <f>Control_7 Close_time</f>
        <v>45500.897916666669</v>
      </c>
      <c r="E39" s="99"/>
      <c r="F39" s="90" t="str">
        <f>IF(ISBLANK(Control_7 Establishment_1),"",Control_7 Establishment_1)</f>
        <v>INFORMATION</v>
      </c>
      <c r="G39" s="127" t="str">
        <f>IF(ISBLANK('Control Entry'!I21),"",'Control Entry'!I21)</f>
        <v>Sit on bench, yellow sign in front</v>
      </c>
      <c r="H39" s="128"/>
      <c r="I39" s="129"/>
      <c r="J39" s="91"/>
    </row>
    <row r="40" spans="2:10" ht="40" customHeight="1" x14ac:dyDescent="0.25">
      <c r="B40" s="92">
        <f>IF(ISBLANK(Distance Control_7),"",Control_7 Distance)</f>
        <v>233.2</v>
      </c>
      <c r="C40" s="93">
        <f>Control_7 Open_time</f>
        <v>45500.538194444445</v>
      </c>
      <c r="D40" s="93">
        <f>Control_7 Close_time</f>
        <v>45500.897916666669</v>
      </c>
      <c r="E40" s="90" t="str">
        <f>IF(ISBLANK(Locale Control_7),"",Locale Control_7)</f>
        <v>LITTLE QUALICUM</v>
      </c>
      <c r="F40" s="90" t="str">
        <f>IF(ISBLANK(Control_7 Establishment_2),"",Control_7 Establishment_2)</f>
        <v>Middle Bridge</v>
      </c>
      <c r="G40" s="130" t="str">
        <f>IF(ISBLANK('Control Entry'!J21),"",'Control Entry'!J21)</f>
        <v>"____?____Danger…"</v>
      </c>
      <c r="H40" s="131"/>
      <c r="I40" s="132"/>
      <c r="J40" s="94"/>
    </row>
    <row r="41" spans="2:10" ht="40" customHeight="1" thickBot="1" x14ac:dyDescent="0.3">
      <c r="B41" s="95"/>
      <c r="C41" s="101">
        <f>Control_7 Open_time</f>
        <v>45500.538194444445</v>
      </c>
      <c r="D41" s="101">
        <f>Control_7 Close_time</f>
        <v>45500.897916666669</v>
      </c>
      <c r="E41" s="96"/>
      <c r="F41" s="97" t="str">
        <f>IF(ISBLANK(Control_7 Establishment_3),"",Control_7 Establishment_3)</f>
        <v>Little Qualicum Falls Provincial Park</v>
      </c>
      <c r="G41" s="124" t="str">
        <f>IF(ISBLANK('Control Entry'!K21),"",'Control Entry'!K21)</f>
        <v/>
      </c>
      <c r="H41" s="125"/>
      <c r="I41" s="126"/>
      <c r="J41" s="98"/>
    </row>
    <row r="42" spans="2:10" ht="40" customHeight="1" x14ac:dyDescent="0.25">
      <c r="B42" s="88"/>
      <c r="C42" s="100">
        <f>Control_8 Open_time</f>
        <v>45500.572916666664</v>
      </c>
      <c r="D42" s="100">
        <f>Control_8 Close_time</f>
        <v>45500.970833333333</v>
      </c>
      <c r="E42" s="99"/>
      <c r="F42" s="90" t="str">
        <f>IF(ISBLANK(Control_8 Establishment_1),"",Control_8 Establishment_1)</f>
        <v>INFORMATION</v>
      </c>
      <c r="G42" s="127" t="str">
        <f>IF(ISBLANK('Control Entry'!I22),"",'Control Entry'!I22)</f>
        <v>Sign post at beach access</v>
      </c>
      <c r="H42" s="128"/>
      <c r="I42" s="129"/>
      <c r="J42" s="91"/>
    </row>
    <row r="43" spans="2:10" ht="40" customHeight="1" x14ac:dyDescent="0.25">
      <c r="B43" s="92">
        <f>IF(ISBLANK(Distance Control_8),"",Control_8 Distance)</f>
        <v>259.60000000000002</v>
      </c>
      <c r="C43" s="93">
        <f>Control_8 Open_time</f>
        <v>45500.572916666664</v>
      </c>
      <c r="D43" s="93">
        <f>Control_8 Close_time</f>
        <v>45500.970833333333</v>
      </c>
      <c r="E43" s="90" t="str">
        <f>IF(ISBLANK(Locale Control_8),"",Locale Control_8)</f>
        <v>DEEP BAY</v>
      </c>
      <c r="F43" s="90" t="str">
        <f>IF(ISBLANK(Control_8 Establishment_2),"",Control_8 Establishment_2)</f>
        <v>Mapleguard Point</v>
      </c>
      <c r="G43" s="130" t="str">
        <f>IF(ISBLANK('Control Entry'!J22),"",'Control Entry'!J22)</f>
        <v>Where is no fires sign?</v>
      </c>
      <c r="H43" s="131"/>
      <c r="I43" s="132"/>
      <c r="J43" s="94"/>
    </row>
    <row r="44" spans="2:10" ht="40" customHeight="1" thickBot="1" x14ac:dyDescent="0.3">
      <c r="B44" s="95"/>
      <c r="C44" s="101">
        <f>Control_8 Open_time</f>
        <v>45500.572916666664</v>
      </c>
      <c r="D44" s="101">
        <f>Control_8 Close_time</f>
        <v>45500.970833333333</v>
      </c>
      <c r="E44" s="96"/>
      <c r="F44" s="97" t="str">
        <f>IF(ISBLANK(Control_8 Establishment_3),"",Control_8 Establishment_3)</f>
        <v>5550 Deep Bay Dr</v>
      </c>
      <c r="G44" s="124" t="str">
        <f>IF(ISBLANK('Control Entry'!K22),"",'Control Entry'!K22)</f>
        <v>TOP                   BOTTOM</v>
      </c>
      <c r="H44" s="125"/>
      <c r="I44" s="126"/>
      <c r="J44" s="98"/>
    </row>
    <row r="45" spans="2:10" ht="40" customHeight="1" x14ac:dyDescent="0.25">
      <c r="B45" s="88"/>
      <c r="C45" s="100">
        <f>Control_9 Open_time</f>
        <v>45500.627083333333</v>
      </c>
      <c r="D45" s="100">
        <f>Control_9 Close_time</f>
        <v>45501.083333333336</v>
      </c>
      <c r="E45" s="99"/>
      <c r="F45" s="90" t="str">
        <f>IF(ISBLANK(Control_9 Establishment_1),"",Control_9 Establishment_1)</f>
        <v>STAFFED</v>
      </c>
      <c r="G45" s="127" t="str">
        <f>IF(ISBLANK('Control Entry'!I23),"",'Control Entry'!I23)</f>
        <v>Self sign if closed</v>
      </c>
      <c r="H45" s="128"/>
      <c r="I45" s="129"/>
      <c r="J45" s="91"/>
    </row>
    <row r="46" spans="2:10" ht="40" customHeight="1" x14ac:dyDescent="0.25">
      <c r="B46" s="92">
        <f>IF(ISBLANK(Distance Control_9),"",Control_9 Distance)</f>
        <v>301.10000000000002</v>
      </c>
      <c r="C46" s="93">
        <f>Control_9 Open_time</f>
        <v>45500.627083333333</v>
      </c>
      <c r="D46" s="93">
        <f>Control_9 Close_time</f>
        <v>45501.083333333336</v>
      </c>
      <c r="E46" s="90" t="str">
        <f>IF(ISBLANK(Locale Control_9),"",Locale Control_9)</f>
        <v>COURTENAY</v>
      </c>
      <c r="F46" s="90" t="str">
        <f>IF(ISBLANK(Control_9 Establishment_2),"",Control_9 Establishment_2)</f>
        <v>Royal Lepage</v>
      </c>
      <c r="G46" s="130" t="str">
        <f>IF(ISBLANK('Control Entry'!J23),"",'Control Entry'!J23)</f>
        <v/>
      </c>
      <c r="H46" s="131"/>
      <c r="I46" s="132"/>
      <c r="J46" s="94"/>
    </row>
    <row r="47" spans="2:10" ht="40" customHeight="1" thickBot="1" x14ac:dyDescent="0.3">
      <c r="B47" s="95"/>
      <c r="C47" s="101">
        <f>Control_9 Open_time</f>
        <v>45500.627083333333</v>
      </c>
      <c r="D47" s="101">
        <f>Control_9 Close_time</f>
        <v>45501.083333333336</v>
      </c>
      <c r="E47" s="96"/>
      <c r="F47" s="97" t="str">
        <f>IF(ISBLANK(Control_9 Establishment_3),"",Control_9 Establishment_3)</f>
        <v>750 Comox Rd</v>
      </c>
      <c r="G47" s="124" t="str">
        <f>IF(ISBLANK('Control Entry'!K23),"",'Control Entry'!K23)</f>
        <v/>
      </c>
      <c r="H47" s="125"/>
      <c r="I47" s="126"/>
      <c r="J47" s="98"/>
    </row>
    <row r="48" spans="2:10" ht="40" customHeight="1" x14ac:dyDescent="0.25">
      <c r="B48" s="88"/>
      <c r="C48" s="100" t="str">
        <f>Control_10 Open_time</f>
        <v/>
      </c>
      <c r="D48" s="100" t="str">
        <f>Control_10 Close_time</f>
        <v/>
      </c>
      <c r="E48" s="99"/>
      <c r="F48" s="90" t="str">
        <f>IF(ISBLANK(Control_10 Establishment_1),"",Control_10 Establishment_1)</f>
        <v/>
      </c>
      <c r="G48" s="127" t="str">
        <f>IF(ISBLANK('Control Entry'!I24),"",'Control Entry'!I24)</f>
        <v/>
      </c>
      <c r="H48" s="128"/>
      <c r="I48" s="129"/>
      <c r="J48" s="91"/>
    </row>
    <row r="49" spans="2:11" ht="40" customHeight="1" x14ac:dyDescent="0.25">
      <c r="B49" s="92" t="str">
        <f>IF(ISBLANK(Distance Control_10),"",Control_10 Distance)</f>
        <v/>
      </c>
      <c r="C49" s="93" t="str">
        <f>Control_10 Open_time</f>
        <v/>
      </c>
      <c r="D49" s="93" t="str">
        <f>Control_10 Close_time</f>
        <v/>
      </c>
      <c r="E49" s="90" t="str">
        <f>IF(ISBLANK(Locale Control_10),"",Locale Control_10)</f>
        <v/>
      </c>
      <c r="F49" s="90" t="str">
        <f>IF(ISBLANK(Control_10 Establishment_2),"",Control_10 Establishment_2)</f>
        <v/>
      </c>
      <c r="G49" s="130" t="str">
        <f>IF(ISBLANK('Control Entry'!J24),"",'Control Entry'!J24)</f>
        <v/>
      </c>
      <c r="H49" s="131"/>
      <c r="I49" s="132"/>
      <c r="J49" s="94"/>
    </row>
    <row r="50" spans="2:11" ht="40" customHeight="1" thickBot="1" x14ac:dyDescent="0.3">
      <c r="B50" s="95"/>
      <c r="C50" s="101" t="str">
        <f>Control_10 Open_time</f>
        <v/>
      </c>
      <c r="D50" s="101" t="str">
        <f>Control_10 Close_time</f>
        <v/>
      </c>
      <c r="E50" s="96"/>
      <c r="F50" s="97" t="str">
        <f>IF(ISBLANK(Control_10 Establishment_3),"",Control_10 Establishment_3)</f>
        <v/>
      </c>
      <c r="G50" s="124" t="str">
        <f>IF(ISBLANK('Control Entry'!K24),"",'Control Entry'!K24)</f>
        <v/>
      </c>
      <c r="H50" s="125"/>
      <c r="I50" s="126"/>
      <c r="J50" s="98"/>
    </row>
    <row r="52" spans="2:11" ht="24" customHeight="1" x14ac:dyDescent="0.15">
      <c r="B52" s="141" t="s">
        <v>30</v>
      </c>
      <c r="C52" s="141"/>
      <c r="D52" s="141"/>
      <c r="E52" s="141"/>
      <c r="F52" s="141"/>
      <c r="I52" s="58" t="s">
        <v>56</v>
      </c>
      <c r="J52" s="81" t="str">
        <f>IF(ISBLANK('Control Entry'!F10),"",'Control Entry'!F10)</f>
        <v>‭1 (604) 866-7804‬</v>
      </c>
      <c r="K52" s="54"/>
    </row>
    <row r="54" spans="2:11" x14ac:dyDescent="0.15">
      <c r="B54" s="76" t="s">
        <v>59</v>
      </c>
      <c r="C54" s="77">
        <f>'Control Entry'!B3</f>
        <v>45393</v>
      </c>
    </row>
    <row r="55" spans="2:11" ht="23" x14ac:dyDescent="0.15">
      <c r="B55" s="58"/>
      <c r="C55" s="58"/>
      <c r="D55" s="58"/>
      <c r="E55" s="58"/>
      <c r="F55" s="54"/>
      <c r="G55" s="60"/>
      <c r="H55" s="60"/>
      <c r="I55" s="60"/>
      <c r="J55" s="54"/>
    </row>
    <row r="56" spans="2:11" x14ac:dyDescent="0.15">
      <c r="E56" s="1"/>
    </row>
    <row r="57" spans="2:11" x14ac:dyDescent="0.15">
      <c r="B57" s="56"/>
      <c r="C57" s="57"/>
      <c r="D57" s="57"/>
      <c r="E57" s="57"/>
      <c r="F57" s="139"/>
      <c r="G57" s="140"/>
      <c r="H57" s="140"/>
      <c r="I57" s="140"/>
      <c r="J57" s="140"/>
    </row>
  </sheetData>
  <mergeCells count="50">
    <mergeCell ref="N17:O17"/>
    <mergeCell ref="F57:J57"/>
    <mergeCell ref="G48:I48"/>
    <mergeCell ref="G49:I49"/>
    <mergeCell ref="G50:I50"/>
    <mergeCell ref="G21:I21"/>
    <mergeCell ref="G22:I22"/>
    <mergeCell ref="G23:I23"/>
    <mergeCell ref="G24:I24"/>
    <mergeCell ref="G25:I25"/>
    <mergeCell ref="G29:I29"/>
    <mergeCell ref="G30:I30"/>
    <mergeCell ref="G31:I31"/>
    <mergeCell ref="B52:F52"/>
    <mergeCell ref="G45:I45"/>
    <mergeCell ref="G46:I46"/>
    <mergeCell ref="G47:I47"/>
    <mergeCell ref="G20:I20"/>
    <mergeCell ref="D12:E12"/>
    <mergeCell ref="D14:E14"/>
    <mergeCell ref="G27:I27"/>
    <mergeCell ref="G28:I28"/>
    <mergeCell ref="G26:I26"/>
    <mergeCell ref="C17:F17"/>
    <mergeCell ref="G37:I37"/>
    <mergeCell ref="L10:M10"/>
    <mergeCell ref="N10:O10"/>
    <mergeCell ref="G44:I44"/>
    <mergeCell ref="G38:I38"/>
    <mergeCell ref="G39:I39"/>
    <mergeCell ref="G40:I40"/>
    <mergeCell ref="G41:I41"/>
    <mergeCell ref="G42:I42"/>
    <mergeCell ref="G43:I43"/>
    <mergeCell ref="G32:I32"/>
    <mergeCell ref="G33:I33"/>
    <mergeCell ref="G34:I34"/>
    <mergeCell ref="G35:I35"/>
    <mergeCell ref="G36:I36"/>
    <mergeCell ref="I17:J17"/>
    <mergeCell ref="L17:M17"/>
    <mergeCell ref="C2:F2"/>
    <mergeCell ref="B19:J19"/>
    <mergeCell ref="B10:C10"/>
    <mergeCell ref="E10:G10"/>
    <mergeCell ref="C7:F8"/>
    <mergeCell ref="H7:H8"/>
    <mergeCell ref="E5:H6"/>
    <mergeCell ref="E3:H3"/>
    <mergeCell ref="E4:H4"/>
  </mergeCells>
  <printOptions horizontalCentered="1" verticalCentered="1"/>
  <pageMargins left="0.39370078740157483" right="0.39370078740157483" top="0.39370078740157483" bottom="0.39370078740157483" header="0.15748031496062992" footer="0.15748031496062992"/>
  <pageSetup scale="43"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E900F-F270-644D-8463-167507B73A41}">
  <sheetPr>
    <pageSetUpPr fitToPage="1"/>
  </sheetPr>
  <dimension ref="B1:O57"/>
  <sheetViews>
    <sheetView topLeftCell="A25" zoomScale="115" zoomScaleNormal="115" zoomScalePageLayoutView="75" workbookViewId="0">
      <selection activeCell="C14" sqref="C14"/>
    </sheetView>
  </sheetViews>
  <sheetFormatPr baseColWidth="10" defaultColWidth="8.83203125" defaultRowHeight="13" x14ac:dyDescent="0.15"/>
  <cols>
    <col min="1" max="1" width="1.83203125" customWidth="1"/>
    <col min="2" max="2" width="12.83203125" customWidth="1"/>
    <col min="3" max="4" width="15.83203125" customWidth="1"/>
    <col min="5" max="5" width="25.83203125" customWidth="1"/>
    <col min="6" max="6" width="40.83203125" customWidth="1"/>
    <col min="7" max="7" width="12.83203125" customWidth="1"/>
    <col min="8" max="8" width="25.83203125" customWidth="1"/>
    <col min="9" max="9" width="30.83203125" customWidth="1"/>
    <col min="10" max="10" width="25.83203125" customWidth="1"/>
    <col min="11" max="11" width="1.83203125" customWidth="1"/>
    <col min="12" max="12" width="8.83203125" customWidth="1"/>
  </cols>
  <sheetData>
    <row r="1" spans="2:15" x14ac:dyDescent="0.15">
      <c r="K1" s="75"/>
      <c r="L1" s="75"/>
      <c r="M1" s="75"/>
    </row>
    <row r="2" spans="2:15" ht="18" x14ac:dyDescent="0.2">
      <c r="C2" s="112" t="s">
        <v>33</v>
      </c>
      <c r="D2" s="112"/>
      <c r="E2" s="112"/>
      <c r="F2" s="112"/>
      <c r="G2" s="55"/>
      <c r="H2" s="55"/>
      <c r="I2" s="78" t="s">
        <v>58</v>
      </c>
      <c r="J2" s="79">
        <f>'Control Entry'!B4</f>
        <v>45484</v>
      </c>
      <c r="K2" s="55"/>
      <c r="L2" s="55"/>
    </row>
    <row r="3" spans="2:15" ht="45" customHeight="1" x14ac:dyDescent="0.45">
      <c r="D3" s="12"/>
      <c r="E3" s="121" t="s">
        <v>29</v>
      </c>
      <c r="F3" s="121"/>
      <c r="G3" s="121"/>
      <c r="H3" s="121"/>
      <c r="I3" s="66" t="s">
        <v>60</v>
      </c>
      <c r="J3" s="71">
        <f>IF(ISBLANK(Brevet_Number),"",Brevet_Number)</f>
        <v>5407</v>
      </c>
      <c r="K3" s="39"/>
      <c r="L3" s="39"/>
    </row>
    <row r="4" spans="2:15" ht="20" customHeight="1" x14ac:dyDescent="0.15">
      <c r="C4" s="12"/>
      <c r="E4" s="122" t="str">
        <f>IF(ISBLANK(Brevet_Length),"",Brevet_Length&amp;" km Randonnée")</f>
        <v>300 km Randonnée</v>
      </c>
      <c r="F4" s="122"/>
      <c r="G4" s="122"/>
      <c r="H4" s="122"/>
      <c r="K4" s="51"/>
      <c r="L4" s="51"/>
    </row>
    <row r="5" spans="2:15" ht="20" customHeight="1" x14ac:dyDescent="0.2">
      <c r="D5" s="52"/>
      <c r="E5" s="120" t="str">
        <f>IF(ISBLANK(Brevet_Description),"",Brevet_Description)</f>
        <v>Parks and Rivers</v>
      </c>
      <c r="F5" s="120"/>
      <c r="G5" s="120"/>
      <c r="H5" s="120"/>
      <c r="I5" s="74"/>
      <c r="J5" s="52"/>
      <c r="K5" s="52"/>
      <c r="L5" s="52"/>
    </row>
    <row r="6" spans="2:15" ht="20" x14ac:dyDescent="0.2">
      <c r="D6" s="67"/>
      <c r="E6" s="120"/>
      <c r="F6" s="120"/>
      <c r="G6" s="120"/>
      <c r="H6" s="120"/>
      <c r="I6" s="74"/>
      <c r="J6" s="67"/>
      <c r="K6" s="52"/>
      <c r="L6" s="52"/>
    </row>
    <row r="7" spans="2:15" ht="25" customHeight="1" x14ac:dyDescent="0.15">
      <c r="C7" s="116"/>
      <c r="D7" s="116"/>
      <c r="E7" s="116"/>
      <c r="F7" s="116"/>
      <c r="H7" s="118"/>
    </row>
    <row r="8" spans="2:15" ht="21" thickBot="1" x14ac:dyDescent="0.25">
      <c r="B8" s="17" t="s">
        <v>61</v>
      </c>
      <c r="C8" s="117"/>
      <c r="D8" s="117"/>
      <c r="E8" s="117"/>
      <c r="F8" s="117"/>
      <c r="G8" s="17" t="s">
        <v>31</v>
      </c>
      <c r="H8" s="119"/>
      <c r="I8" s="53"/>
      <c r="J8" s="53"/>
      <c r="K8" s="53"/>
    </row>
    <row r="9" spans="2:15" ht="22" customHeight="1" x14ac:dyDescent="0.15">
      <c r="B9" s="58"/>
      <c r="C9" s="58"/>
      <c r="D9" s="58"/>
      <c r="E9" s="58"/>
      <c r="F9" s="54"/>
      <c r="G9" s="60"/>
      <c r="H9" s="60"/>
      <c r="I9" s="60"/>
      <c r="J9" s="54"/>
    </row>
    <row r="10" spans="2:15" ht="20" customHeight="1" x14ac:dyDescent="0.15">
      <c r="B10" s="114" t="s">
        <v>34</v>
      </c>
      <c r="C10" s="114"/>
      <c r="D10" s="64" t="s">
        <v>35</v>
      </c>
      <c r="E10" s="115" t="s">
        <v>57</v>
      </c>
      <c r="F10" s="115"/>
      <c r="G10" s="115"/>
      <c r="H10" s="70"/>
      <c r="I10" s="59"/>
      <c r="J10" s="59"/>
      <c r="K10" s="19"/>
      <c r="L10" s="123"/>
      <c r="M10" s="123"/>
      <c r="N10" s="123"/>
      <c r="O10" s="123"/>
    </row>
    <row r="11" spans="2:15" ht="23" x14ac:dyDescent="0.15">
      <c r="B11" s="58"/>
      <c r="C11" s="58" t="s">
        <v>73</v>
      </c>
      <c r="D11" s="58"/>
      <c r="E11" s="58"/>
      <c r="F11" s="54"/>
      <c r="G11" s="60"/>
      <c r="H11" s="60"/>
      <c r="I11" s="60"/>
      <c r="J11" s="54"/>
    </row>
    <row r="12" spans="2:15" ht="21" thickBot="1" x14ac:dyDescent="0.25">
      <c r="D12" s="137" t="s">
        <v>19</v>
      </c>
      <c r="E12" s="137"/>
      <c r="F12" s="69">
        <f>IF(ISBLANK('Control Entry'!B12),"",'Control Entry'!B12)</f>
        <v>45500</v>
      </c>
      <c r="G12" s="73"/>
      <c r="H12" s="17" t="s">
        <v>63</v>
      </c>
      <c r="I12" s="68">
        <f>IF(ISBLANK('Control Entry'!B13),"",'Control Entry'!B13)</f>
        <v>0.25</v>
      </c>
      <c r="J12" s="23"/>
    </row>
    <row r="13" spans="2:15" ht="20" x14ac:dyDescent="0.2">
      <c r="D13" s="22"/>
      <c r="E13" s="22"/>
      <c r="F13" s="21"/>
      <c r="G13" s="21"/>
      <c r="H13" s="21"/>
      <c r="L13" s="23"/>
      <c r="M13" s="23"/>
      <c r="N13" s="23"/>
    </row>
    <row r="14" spans="2:15" ht="21" thickBot="1" x14ac:dyDescent="0.25">
      <c r="D14" s="137" t="s">
        <v>62</v>
      </c>
      <c r="E14" s="137"/>
      <c r="F14" s="69"/>
      <c r="G14" s="73"/>
      <c r="H14" s="17" t="s">
        <v>64</v>
      </c>
      <c r="I14" s="68"/>
      <c r="J14" s="23"/>
      <c r="L14" s="45"/>
      <c r="M14" s="45"/>
      <c r="N14" s="45"/>
    </row>
    <row r="15" spans="2:15" ht="20" x14ac:dyDescent="0.2">
      <c r="B15" s="22"/>
      <c r="C15" s="22"/>
      <c r="D15" s="21"/>
      <c r="E15" s="21"/>
      <c r="H15" s="21"/>
    </row>
    <row r="16" spans="2:15" ht="21" thickBot="1" x14ac:dyDescent="0.25">
      <c r="C16" s="65"/>
      <c r="D16" s="65"/>
      <c r="E16" s="65"/>
      <c r="F16" s="65"/>
      <c r="H16" s="17" t="s">
        <v>65</v>
      </c>
      <c r="I16" s="68"/>
      <c r="J16" s="23"/>
      <c r="L16" s="45"/>
      <c r="M16" s="45"/>
      <c r="N16" s="45"/>
    </row>
    <row r="17" spans="2:15" ht="20" x14ac:dyDescent="0.15">
      <c r="C17" s="138" t="s">
        <v>14</v>
      </c>
      <c r="D17" s="138"/>
      <c r="E17" s="138"/>
      <c r="F17" s="138"/>
      <c r="G17" s="19"/>
      <c r="H17" s="19"/>
      <c r="I17" s="133"/>
      <c r="J17" s="133"/>
      <c r="K17" s="19"/>
      <c r="L17" s="123"/>
      <c r="M17" s="123"/>
      <c r="N17" s="123"/>
      <c r="O17" s="123"/>
    </row>
    <row r="18" spans="2:15" ht="6" customHeight="1" thickBot="1" x14ac:dyDescent="0.2">
      <c r="B18" s="61"/>
      <c r="C18" s="61"/>
      <c r="D18" s="61"/>
      <c r="E18" s="61"/>
      <c r="F18" s="62"/>
      <c r="G18" s="63"/>
      <c r="H18" s="63"/>
      <c r="I18" s="63"/>
      <c r="J18" s="62"/>
    </row>
    <row r="19" spans="2:15" ht="22" thickTop="1" thickBot="1" x14ac:dyDescent="0.2">
      <c r="B19" s="113" t="s">
        <v>50</v>
      </c>
      <c r="C19" s="113"/>
      <c r="D19" s="113"/>
      <c r="E19" s="113"/>
      <c r="F19" s="113"/>
      <c r="G19" s="113"/>
      <c r="H19" s="113"/>
      <c r="I19" s="113"/>
      <c r="J19" s="113"/>
    </row>
    <row r="20" spans="2:15" ht="20" thickBot="1" x14ac:dyDescent="0.25">
      <c r="B20" s="50" t="s">
        <v>26</v>
      </c>
      <c r="C20" s="8" t="s">
        <v>0</v>
      </c>
      <c r="D20" s="8" t="s">
        <v>1</v>
      </c>
      <c r="E20" s="8" t="s">
        <v>22</v>
      </c>
      <c r="F20" s="8" t="s">
        <v>27</v>
      </c>
      <c r="G20" s="134" t="s">
        <v>36</v>
      </c>
      <c r="H20" s="135"/>
      <c r="I20" s="136"/>
      <c r="J20" s="50" t="s">
        <v>28</v>
      </c>
    </row>
    <row r="21" spans="2:15" ht="40" customHeight="1" x14ac:dyDescent="0.25">
      <c r="B21" s="88"/>
      <c r="C21" s="100">
        <f>'Control Entry'!N$28</f>
        <v>45500.25</v>
      </c>
      <c r="D21" s="100">
        <f>'Control Entry'!O$28</f>
        <v>45500.291666666664</v>
      </c>
      <c r="E21" s="89"/>
      <c r="F21" s="90" t="str">
        <f>IF(ISBLANK('Control Entry'!F$28),"",'Control Entry'!F$28)</f>
        <v>BUSINESS</v>
      </c>
      <c r="G21" s="127" t="str">
        <f>IF(ISBLANK('Control Entry'!I$28),"",'Control Entry'!I$28)</f>
        <v/>
      </c>
      <c r="H21" s="128"/>
      <c r="I21" s="129"/>
      <c r="J21" s="91"/>
    </row>
    <row r="22" spans="2:15" ht="40" customHeight="1" x14ac:dyDescent="0.25">
      <c r="B22" s="92">
        <f>IF(ISBLANK('Control Entry'!D$28),"",'Control Entry'!D$28)</f>
        <v>0</v>
      </c>
      <c r="C22" s="93">
        <f>'Control Entry'!N$28</f>
        <v>45500.25</v>
      </c>
      <c r="D22" s="93">
        <f>'Control Entry'!O$28</f>
        <v>45500.291666666664</v>
      </c>
      <c r="E22" s="90" t="str">
        <f>IF(ISBLANK('Control Entry'!E$28),"",'Control Entry'!E$28)</f>
        <v>PARKSVILLE</v>
      </c>
      <c r="F22" s="90" t="str">
        <f>IF(ISBLANK('Control Entry'!G$28),"",'Control Entry'!G$28)</f>
        <v>Chevron Gas</v>
      </c>
      <c r="G22" s="130" t="str">
        <f>IF(ISBLANK('Control Entry'!J$28),"",'Control Entry'!J$28)</f>
        <v/>
      </c>
      <c r="H22" s="131"/>
      <c r="I22" s="132"/>
      <c r="J22" s="94"/>
    </row>
    <row r="23" spans="2:15" ht="40" customHeight="1" thickBot="1" x14ac:dyDescent="0.3">
      <c r="B23" s="95"/>
      <c r="C23" s="101">
        <f>'Control Entry'!N$28</f>
        <v>45500.25</v>
      </c>
      <c r="D23" s="101">
        <f>'Control Entry'!O$28</f>
        <v>45500.291666666664</v>
      </c>
      <c r="E23" s="96"/>
      <c r="F23" s="97" t="str">
        <f>IF(ISBLANK('Control Entry'!H$28),"",'Control Entry'!H$28)</f>
        <v>112 Island Hwy W</v>
      </c>
      <c r="G23" s="124" t="str">
        <f>IF(ISBLANK('Control Entry'!K$28),"",'Control Entry'!K$28)</f>
        <v/>
      </c>
      <c r="H23" s="125"/>
      <c r="I23" s="126"/>
      <c r="J23" s="98"/>
    </row>
    <row r="24" spans="2:15" ht="40" customHeight="1" x14ac:dyDescent="0.25">
      <c r="B24" s="88"/>
      <c r="C24" s="100">
        <f>'Control Entry'!N$29</f>
        <v>45500.274305555555</v>
      </c>
      <c r="D24" s="100">
        <f>'Control Entry'!O$29</f>
        <v>45500.332638888889</v>
      </c>
      <c r="E24" s="89"/>
      <c r="F24" s="90" t="str">
        <f>IF(ISBLANK('Control Entry'!F$29),"",'Control Entry'!F$29)</f>
        <v>INFORMATION</v>
      </c>
      <c r="G24" s="127" t="str">
        <f>IF(ISBLANK('Control Entry'!I$29),"",'Control Entry'!I$29)</f>
        <v>Sit on bench, yellow sign in front</v>
      </c>
      <c r="H24" s="128"/>
      <c r="I24" s="129"/>
      <c r="J24" s="91"/>
    </row>
    <row r="25" spans="2:15" ht="40" customHeight="1" x14ac:dyDescent="0.25">
      <c r="B25" s="92">
        <f>IF(ISBLANK('Control Entry'!D$29),"",'Control Entry'!D$29)</f>
        <v>19.599999999999994</v>
      </c>
      <c r="C25" s="93">
        <f>'Control Entry'!N$29</f>
        <v>45500.274305555555</v>
      </c>
      <c r="D25" s="93">
        <f>'Control Entry'!O$29</f>
        <v>45500.332638888889</v>
      </c>
      <c r="E25" s="90" t="str">
        <f>IF(ISBLANK('Control Entry'!E$29),"",'Control Entry'!E$29)</f>
        <v>LITTLE QUALICUM</v>
      </c>
      <c r="F25" s="90" t="str">
        <f>IF(ISBLANK('Control Entry'!G$29),"",'Control Entry'!G$29)</f>
        <v>Middle Bridge</v>
      </c>
      <c r="G25" s="130" t="str">
        <f>IF(ISBLANK('Control Entry'!J$29),"",'Control Entry'!J$29)</f>
        <v>"____?____Danger…"</v>
      </c>
      <c r="H25" s="131"/>
      <c r="I25" s="132"/>
      <c r="J25" s="94"/>
    </row>
    <row r="26" spans="2:15" ht="40" customHeight="1" thickBot="1" x14ac:dyDescent="0.3">
      <c r="B26" s="95"/>
      <c r="C26" s="101">
        <f>'Control Entry'!N$29</f>
        <v>45500.274305555555</v>
      </c>
      <c r="D26" s="101">
        <f>'Control Entry'!O$29</f>
        <v>45500.332638888889</v>
      </c>
      <c r="E26" s="96"/>
      <c r="F26" s="97" t="str">
        <f>IF(ISBLANK('Control Entry'!H$29),"",'Control Entry'!H$29)</f>
        <v>Little Qualicum Falls Provincial Park</v>
      </c>
      <c r="G26" s="124" t="str">
        <f>IF(ISBLANK('Control Entry'!K$29),"",'Control Entry'!K$29)</f>
        <v/>
      </c>
      <c r="H26" s="125"/>
      <c r="I26" s="126"/>
      <c r="J26" s="98"/>
    </row>
    <row r="27" spans="2:15" ht="40" customHeight="1" x14ac:dyDescent="0.25">
      <c r="B27" s="88"/>
      <c r="C27" s="100">
        <f>'Control Entry'!N$30</f>
        <v>45500.306250000001</v>
      </c>
      <c r="D27" s="100">
        <f>'Control Entry'!O$30</f>
        <v>45500.387499999997</v>
      </c>
      <c r="E27" s="89"/>
      <c r="F27" s="90" t="str">
        <f>IF(ISBLANK('Control Entry'!F$30),"",'Control Entry'!F$30)</f>
        <v>INFORMATION</v>
      </c>
      <c r="G27" s="127" t="str">
        <f>IF(ISBLANK('Control Entry'!I$30),"",'Control Entry'!I$30)</f>
        <v>Sign post at beach access</v>
      </c>
      <c r="H27" s="128"/>
      <c r="I27" s="129"/>
      <c r="J27" s="91"/>
    </row>
    <row r="28" spans="2:15" ht="40" customHeight="1" x14ac:dyDescent="0.25">
      <c r="B28" s="92">
        <f>IF(ISBLANK('Control Entry'!D$30),"",'Control Entry'!D$30)</f>
        <v>46.000000000000028</v>
      </c>
      <c r="C28" s="93">
        <f>'Control Entry'!N$30</f>
        <v>45500.306250000001</v>
      </c>
      <c r="D28" s="93">
        <f>'Control Entry'!O$30</f>
        <v>45500.387499999997</v>
      </c>
      <c r="E28" s="90" t="str">
        <f>IF(ISBLANK('Control Entry'!E$30),"",'Control Entry'!E$30)</f>
        <v>DEEP BAY</v>
      </c>
      <c r="F28" s="90" t="str">
        <f>IF(ISBLANK('Control Entry'!G$30),"",'Control Entry'!G$30)</f>
        <v>Mapleguard Point</v>
      </c>
      <c r="G28" s="130" t="str">
        <f>IF(ISBLANK('Control Entry'!J$30),"",'Control Entry'!J$30)</f>
        <v>Where is no fires sign?</v>
      </c>
      <c r="H28" s="131"/>
      <c r="I28" s="132"/>
      <c r="J28" s="94"/>
    </row>
    <row r="29" spans="2:15" ht="40" customHeight="1" thickBot="1" x14ac:dyDescent="0.3">
      <c r="B29" s="95"/>
      <c r="C29" s="101">
        <f>'Control Entry'!N$30</f>
        <v>45500.306250000001</v>
      </c>
      <c r="D29" s="101">
        <f>'Control Entry'!O$30</f>
        <v>45500.387499999997</v>
      </c>
      <c r="E29" s="96"/>
      <c r="F29" s="97" t="str">
        <f>IF(ISBLANK('Control Entry'!H$30),"",'Control Entry'!H$30)</f>
        <v>5550 Deep Bay Dr</v>
      </c>
      <c r="G29" s="124" t="str">
        <f>IF(ISBLANK('Control Entry'!K$30),"",'Control Entry'!K$30)</f>
        <v>TOP                   BOTTOM</v>
      </c>
      <c r="H29" s="125"/>
      <c r="I29" s="126"/>
      <c r="J29" s="98"/>
    </row>
    <row r="30" spans="2:15" ht="40" customHeight="1" x14ac:dyDescent="0.25">
      <c r="B30" s="88"/>
      <c r="C30" s="100">
        <f>'Control Entry'!N$31</f>
        <v>45500.356944444444</v>
      </c>
      <c r="D30" s="100">
        <f>'Control Entry'!O$31</f>
        <v>45500.493055555555</v>
      </c>
      <c r="E30" s="89"/>
      <c r="F30" s="90" t="str">
        <f>IF(ISBLANK('Control Entry'!F$31),"",'Control Entry'!F$31)</f>
        <v>STAFFED</v>
      </c>
      <c r="G30" s="127" t="str">
        <f>IF(ISBLANK('Control Entry'!I$31),"",'Control Entry'!I$31)</f>
        <v>Self sign if closed</v>
      </c>
      <c r="H30" s="128"/>
      <c r="I30" s="129"/>
      <c r="J30" s="91"/>
    </row>
    <row r="31" spans="2:15" ht="40" customHeight="1" x14ac:dyDescent="0.25">
      <c r="B31" s="92">
        <f>IF(ISBLANK('Control Entry'!D$31),"",'Control Entry'!D$31)</f>
        <v>87.500000000000028</v>
      </c>
      <c r="C31" s="93">
        <f>'Control Entry'!N$31</f>
        <v>45500.356944444444</v>
      </c>
      <c r="D31" s="93">
        <f>'Control Entry'!O$31</f>
        <v>45500.493055555555</v>
      </c>
      <c r="E31" s="90" t="str">
        <f>IF(ISBLANK('Control Entry'!E$31),"",'Control Entry'!E$31)</f>
        <v>COURTENAY</v>
      </c>
      <c r="F31" s="90" t="str">
        <f>IF(ISBLANK('Control Entry'!G$31),"",'Control Entry'!G$31)</f>
        <v>Royal Lepage</v>
      </c>
      <c r="G31" s="130" t="str">
        <f>IF(ISBLANK('Control Entry'!J$31),"",'Control Entry'!J$31)</f>
        <v/>
      </c>
      <c r="H31" s="131"/>
      <c r="I31" s="132"/>
      <c r="J31" s="94"/>
    </row>
    <row r="32" spans="2:15" ht="40" customHeight="1" thickBot="1" x14ac:dyDescent="0.3">
      <c r="B32" s="95"/>
      <c r="C32" s="101">
        <f>'Control Entry'!N$31</f>
        <v>45500.356944444444</v>
      </c>
      <c r="D32" s="101">
        <f>'Control Entry'!O$31</f>
        <v>45500.493055555555</v>
      </c>
      <c r="E32" s="96"/>
      <c r="F32" s="97" t="str">
        <f>IF(ISBLANK('Control Entry'!H$31),"",'Control Entry'!H$31)</f>
        <v>750 Comox Rd</v>
      </c>
      <c r="G32" s="124" t="str">
        <f>IF(ISBLANK('Control Entry'!K$31),"",'Control Entry'!K$31)</f>
        <v/>
      </c>
      <c r="H32" s="125"/>
      <c r="I32" s="126"/>
      <c r="J32" s="98"/>
    </row>
    <row r="33" spans="2:10" ht="40" customHeight="1" x14ac:dyDescent="0.25">
      <c r="B33" s="88"/>
      <c r="C33" s="100">
        <f>'Control Entry'!N$32</f>
        <v>45500.375</v>
      </c>
      <c r="D33" s="100">
        <f>'Control Entry'!O$32</f>
        <v>45500.533333333333</v>
      </c>
      <c r="E33" s="89"/>
      <c r="F33" s="90" t="str">
        <f>IF(ISBLANK('Control Entry'!F$32),"",'Control Entry'!F$32)</f>
        <v>INFORMATION</v>
      </c>
      <c r="G33" s="127" t="str">
        <f>IF(ISBLANK('Control Entry'!I$32),"",'Control Entry'!I$32)</f>
        <v>Sign post at beach access</v>
      </c>
      <c r="H33" s="128"/>
      <c r="I33" s="129"/>
      <c r="J33" s="91"/>
    </row>
    <row r="34" spans="2:10" ht="40" customHeight="1" x14ac:dyDescent="0.25">
      <c r="B34" s="92">
        <f>IF(ISBLANK('Control Entry'!D$32),"",'Control Entry'!D$32)</f>
        <v>102.10000000000002</v>
      </c>
      <c r="C34" s="93">
        <f>'Control Entry'!N$32</f>
        <v>45500.375</v>
      </c>
      <c r="D34" s="93">
        <f>'Control Entry'!O$32</f>
        <v>45500.533333333333</v>
      </c>
      <c r="E34" s="90" t="str">
        <f>IF(ISBLANK('Control Entry'!E$32),"",'Control Entry'!E$32)</f>
        <v>LITTLE RIVER</v>
      </c>
      <c r="F34" s="90" t="str">
        <f>IF(ISBLANK('Control Entry'!G$32),"",'Control Entry'!G$32)</f>
        <v>Singing Sands Beach Access</v>
      </c>
      <c r="G34" s="130" t="str">
        <f>IF(ISBLANK('Control Entry'!J$32),"",'Control Entry'!J$32)</f>
        <v/>
      </c>
      <c r="H34" s="131"/>
      <c r="I34" s="132"/>
      <c r="J34" s="94"/>
    </row>
    <row r="35" spans="2:10" ht="40" customHeight="1" thickBot="1" x14ac:dyDescent="0.3">
      <c r="B35" s="95"/>
      <c r="C35" s="101">
        <f>'Control Entry'!N$32</f>
        <v>45500.375</v>
      </c>
      <c r="D35" s="101">
        <f>'Control Entry'!O$32</f>
        <v>45500.533333333333</v>
      </c>
      <c r="E35" s="96"/>
      <c r="F35" s="97" t="str">
        <f>IF(ISBLANK('Control Entry'!H$32),"",'Control Entry'!H$32)</f>
        <v>end of road</v>
      </c>
      <c r="G35" s="124" t="str">
        <f>IF(ISBLANK('Control Entry'!K$32),"",'Control Entry'!K$32)</f>
        <v/>
      </c>
      <c r="H35" s="125"/>
      <c r="I35" s="126"/>
      <c r="J35" s="98"/>
    </row>
    <row r="36" spans="2:10" ht="40" customHeight="1" x14ac:dyDescent="0.25">
      <c r="B36" s="88"/>
      <c r="C36" s="100">
        <f>'Control Entry'!N$33</f>
        <v>45500.459027777775</v>
      </c>
      <c r="D36" s="100">
        <f>'Control Entry'!O$33</f>
        <v>45500.722916666666</v>
      </c>
      <c r="E36" s="89"/>
      <c r="F36" s="90" t="str">
        <f>IF(ISBLANK('Control Entry'!F$33),"",'Control Entry'!F$33)</f>
        <v>BUSINESS</v>
      </c>
      <c r="G36" s="127" t="str">
        <f>IF(ISBLANK('Control Entry'!I$33),"",'Control Entry'!I$33)</f>
        <v/>
      </c>
      <c r="H36" s="128"/>
      <c r="I36" s="129"/>
      <c r="J36" s="91"/>
    </row>
    <row r="37" spans="2:10" ht="40" customHeight="1" x14ac:dyDescent="0.25">
      <c r="B37" s="92">
        <f>IF(ISBLANK('Control Entry'!D$33),"",'Control Entry'!D$33)</f>
        <v>170.3</v>
      </c>
      <c r="C37" s="93">
        <f>'Control Entry'!N$33</f>
        <v>45500.459027777775</v>
      </c>
      <c r="D37" s="93">
        <f>'Control Entry'!O$33</f>
        <v>45500.722916666666</v>
      </c>
      <c r="E37" s="90" t="str">
        <f>IF(ISBLANK('Control Entry'!E$33),"",'Control Entry'!E$33)</f>
        <v>CAMPBELL RIVER</v>
      </c>
      <c r="F37" s="90" t="str">
        <f>IF(ISBLANK('Control Entry'!G$33),"",'Control Entry'!G$33)</f>
        <v>Your choice</v>
      </c>
      <c r="G37" s="130" t="str">
        <f>IF(ISBLANK('Control Entry'!J$33),"",'Control Entry'!J$33)</f>
        <v/>
      </c>
      <c r="H37" s="131"/>
      <c r="I37" s="132"/>
      <c r="J37" s="94"/>
    </row>
    <row r="38" spans="2:10" ht="40" customHeight="1" thickBot="1" x14ac:dyDescent="0.3">
      <c r="B38" s="95"/>
      <c r="C38" s="101">
        <f>'Control Entry'!N$33</f>
        <v>45500.459027777775</v>
      </c>
      <c r="D38" s="101">
        <f>'Control Entry'!O$33</f>
        <v>45500.722916666666</v>
      </c>
      <c r="E38" s="96"/>
      <c r="F38" s="97" t="str">
        <f>IF(ISBLANK('Control Entry'!H$33),"",'Control Entry'!H$33)</f>
        <v>Discovery Harbour Centre</v>
      </c>
      <c r="G38" s="124" t="str">
        <f>IF(ISBLANK('Control Entry'!K$33),"",'Control Entry'!K$33)</f>
        <v/>
      </c>
      <c r="H38" s="125"/>
      <c r="I38" s="126"/>
      <c r="J38" s="98"/>
    </row>
    <row r="39" spans="2:10" ht="40" customHeight="1" x14ac:dyDescent="0.25">
      <c r="B39" s="88"/>
      <c r="C39" s="100">
        <f>'Control Entry'!N$34</f>
        <v>45500.53125</v>
      </c>
      <c r="D39" s="100">
        <f>'Control Entry'!O$34</f>
        <v>45500.882638888892</v>
      </c>
      <c r="E39" s="89"/>
      <c r="F39" s="90" t="str">
        <f>IF(ISBLANK('Control Entry'!F$34),"",'Control Entry'!F$34)</f>
        <v>BUSINESS</v>
      </c>
      <c r="G39" s="127" t="str">
        <f>IF(ISBLANK('Control Entry'!I$34),"",'Control Entry'!I$34)</f>
        <v/>
      </c>
      <c r="H39" s="128"/>
      <c r="I39" s="129"/>
      <c r="J39" s="91"/>
    </row>
    <row r="40" spans="2:10" ht="40" customHeight="1" x14ac:dyDescent="0.25">
      <c r="B40" s="92">
        <f>IF(ISBLANK('Control Entry'!D$34),"",'Control Entry'!D$34)</f>
        <v>227.7</v>
      </c>
      <c r="C40" s="93">
        <f>'Control Entry'!N$34</f>
        <v>45500.53125</v>
      </c>
      <c r="D40" s="93">
        <f>'Control Entry'!O$34</f>
        <v>45500.882638888892</v>
      </c>
      <c r="E40" s="90" t="str">
        <f>IF(ISBLANK('Control Entry'!E$34),"",'Control Entry'!E$34)</f>
        <v>CUMBERLAND</v>
      </c>
      <c r="F40" s="90" t="str">
        <f>IF(ISBLANK('Control Entry'!G$34),"",'Control Entry'!G$34)</f>
        <v>Gas N Go</v>
      </c>
      <c r="G40" s="130" t="str">
        <f>IF(ISBLANK('Control Entry'!J$34),"",'Control Entry'!J$34)</f>
        <v/>
      </c>
      <c r="H40" s="131"/>
      <c r="I40" s="132"/>
      <c r="J40" s="94"/>
    </row>
    <row r="41" spans="2:10" ht="40" customHeight="1" thickBot="1" x14ac:dyDescent="0.3">
      <c r="B41" s="95"/>
      <c r="C41" s="101">
        <f>'Control Entry'!N$34</f>
        <v>45500.53125</v>
      </c>
      <c r="D41" s="101">
        <f>'Control Entry'!O$34</f>
        <v>45500.882638888892</v>
      </c>
      <c r="E41" s="96"/>
      <c r="F41" s="97" t="str">
        <f>IF(ISBLANK('Control Entry'!H$34),"",'Control Entry'!H$34)</f>
        <v>4690 Cumberland Rd</v>
      </c>
      <c r="G41" s="124" t="str">
        <f>IF(ISBLANK('Control Entry'!K$34),"",'Control Entry'!K$34)</f>
        <v/>
      </c>
      <c r="H41" s="125"/>
      <c r="I41" s="126"/>
      <c r="J41" s="98"/>
    </row>
    <row r="42" spans="2:10" ht="40" customHeight="1" x14ac:dyDescent="0.25">
      <c r="B42" s="88"/>
      <c r="C42" s="100">
        <f>'Control Entry'!N$35</f>
        <v>45500.588194444441</v>
      </c>
      <c r="D42" s="100">
        <f>'Control Entry'!O$35</f>
        <v>45501.004861111112</v>
      </c>
      <c r="E42" s="89"/>
      <c r="F42" s="90" t="str">
        <f>IF(ISBLANK('Control Entry'!F$35),"",'Control Entry'!F$35)</f>
        <v>BUSINESS</v>
      </c>
      <c r="G42" s="127" t="str">
        <f>IF(ISBLANK('Control Entry'!I$35),"",'Control Entry'!I$35)</f>
        <v>Self sign if closed</v>
      </c>
      <c r="H42" s="128"/>
      <c r="I42" s="129"/>
      <c r="J42" s="91"/>
    </row>
    <row r="43" spans="2:10" ht="40" customHeight="1" x14ac:dyDescent="0.25">
      <c r="B43" s="92">
        <f>IF(ISBLANK('Control Entry'!D$35),"",'Control Entry'!D$35)</f>
        <v>271.7</v>
      </c>
      <c r="C43" s="93">
        <f>'Control Entry'!N$35</f>
        <v>45500.588194444441</v>
      </c>
      <c r="D43" s="93">
        <f>'Control Entry'!O$35</f>
        <v>45501.004861111112</v>
      </c>
      <c r="E43" s="90" t="str">
        <f>IF(ISBLANK('Control Entry'!E$35),"",'Control Entry'!E$35)</f>
        <v>HORNE LAKE</v>
      </c>
      <c r="F43" s="90" t="str">
        <f>IF(ISBLANK('Control Entry'!G$35),"",'Control Entry'!G$35)</f>
        <v>Petrocanada</v>
      </c>
      <c r="G43" s="130" t="str">
        <f>IF(ISBLANK('Control Entry'!J$35),"",'Control Entry'!J$35)</f>
        <v/>
      </c>
      <c r="H43" s="131"/>
      <c r="I43" s="132"/>
      <c r="J43" s="94"/>
    </row>
    <row r="44" spans="2:10" ht="40" customHeight="1" thickBot="1" x14ac:dyDescent="0.3">
      <c r="B44" s="95"/>
      <c r="C44" s="101">
        <f>'Control Entry'!N$35</f>
        <v>45500.588194444441</v>
      </c>
      <c r="D44" s="101">
        <f>'Control Entry'!O$35</f>
        <v>45501.004861111112</v>
      </c>
      <c r="E44" s="96"/>
      <c r="F44" s="97" t="str">
        <f>IF(ISBLANK('Control Entry'!H$35),"",'Control Entry'!H$35)</f>
        <v>700 Horne Lake Rd</v>
      </c>
      <c r="G44" s="124" t="str">
        <f>IF(ISBLANK('Control Entry'!K$35),"",'Control Entry'!K$35)</f>
        <v/>
      </c>
      <c r="H44" s="125"/>
      <c r="I44" s="126"/>
      <c r="J44" s="98"/>
    </row>
    <row r="45" spans="2:10" ht="40" customHeight="1" x14ac:dyDescent="0.25">
      <c r="B45" s="88"/>
      <c r="C45" s="100">
        <f>'Control Entry'!N$36</f>
        <v>45500.627083333333</v>
      </c>
      <c r="D45" s="100">
        <f>'Control Entry'!O$36</f>
        <v>45501.083333333336</v>
      </c>
      <c r="E45" s="89"/>
      <c r="F45" s="90" t="str">
        <f>IF(ISBLANK('Control Entry'!F$36),"",'Control Entry'!F$36)</f>
        <v>BUSINESS</v>
      </c>
      <c r="G45" s="127" t="str">
        <f>IF(ISBLANK('Control Entry'!I$36),"",'Control Entry'!I$36)</f>
        <v/>
      </c>
      <c r="H45" s="128"/>
      <c r="I45" s="129"/>
      <c r="J45" s="91"/>
    </row>
    <row r="46" spans="2:10" ht="40" customHeight="1" x14ac:dyDescent="0.25">
      <c r="B46" s="92">
        <f>IF(ISBLANK('Control Entry'!D$36),"",'Control Entry'!D$36)</f>
        <v>301.10000000000002</v>
      </c>
      <c r="C46" s="93">
        <f>'Control Entry'!N$36</f>
        <v>45500.627083333333</v>
      </c>
      <c r="D46" s="93">
        <f>'Control Entry'!O$36</f>
        <v>45501.083333333336</v>
      </c>
      <c r="E46" s="90" t="str">
        <f>IF(ISBLANK('Control Entry'!E$36),"",'Control Entry'!E$36)</f>
        <v>PARKSVILLE</v>
      </c>
      <c r="F46" s="90" t="str">
        <f>IF(ISBLANK('Control Entry'!G$36),"",'Control Entry'!G$36)</f>
        <v>Chevron Gas</v>
      </c>
      <c r="G46" s="130" t="str">
        <f>IF(ISBLANK('Control Entry'!J$36),"",'Control Entry'!J$36)</f>
        <v/>
      </c>
      <c r="H46" s="131"/>
      <c r="I46" s="132"/>
      <c r="J46" s="94"/>
    </row>
    <row r="47" spans="2:10" ht="40" customHeight="1" thickBot="1" x14ac:dyDescent="0.3">
      <c r="B47" s="95"/>
      <c r="C47" s="101">
        <f>'Control Entry'!N$36</f>
        <v>45500.627083333333</v>
      </c>
      <c r="D47" s="101">
        <f>'Control Entry'!O$36</f>
        <v>45501.083333333336</v>
      </c>
      <c r="E47" s="96"/>
      <c r="F47" s="97" t="str">
        <f>IF(ISBLANK('Control Entry'!H$36),"",'Control Entry'!H$36)</f>
        <v>112 Island Hwy W</v>
      </c>
      <c r="G47" s="124" t="str">
        <f>IF(ISBLANK('Control Entry'!K$36),"",'Control Entry'!K$36)</f>
        <v/>
      </c>
      <c r="H47" s="125"/>
      <c r="I47" s="126"/>
      <c r="J47" s="98"/>
    </row>
    <row r="48" spans="2:10" ht="40" customHeight="1" x14ac:dyDescent="0.25">
      <c r="B48" s="88"/>
      <c r="C48" s="100" t="str">
        <f>'Control Entry'!N$37</f>
        <v/>
      </c>
      <c r="D48" s="100" t="str">
        <f>'Control Entry'!O$37</f>
        <v/>
      </c>
      <c r="E48" s="89"/>
      <c r="F48" s="90" t="str">
        <f>IF(ISBLANK('Control Entry'!F$37),"",'Control Entry'!F$37)</f>
        <v/>
      </c>
      <c r="G48" s="127" t="str">
        <f>IF(ISBLANK('Control Entry'!I$37),"",'Control Entry'!I$37)</f>
        <v/>
      </c>
      <c r="H48" s="128"/>
      <c r="I48" s="129"/>
      <c r="J48" s="91"/>
    </row>
    <row r="49" spans="2:11" ht="40" customHeight="1" x14ac:dyDescent="0.25">
      <c r="B49" s="92" t="str">
        <f>IF(ISBLANK('Control Entry'!D$37),"",'Control Entry'!D$37)</f>
        <v/>
      </c>
      <c r="C49" s="93" t="str">
        <f>'Control Entry'!N$37</f>
        <v/>
      </c>
      <c r="D49" s="93" t="str">
        <f>'Control Entry'!O$37</f>
        <v/>
      </c>
      <c r="E49" s="90" t="str">
        <f>IF(ISBLANK('Control Entry'!E$37),"",'Control Entry'!E$37)</f>
        <v/>
      </c>
      <c r="F49" s="90" t="str">
        <f>IF(ISBLANK('Control Entry'!G$37),"",'Control Entry'!G$37)</f>
        <v/>
      </c>
      <c r="G49" s="130" t="str">
        <f>IF(ISBLANK('Control Entry'!J$37),"",'Control Entry'!J$37)</f>
        <v/>
      </c>
      <c r="H49" s="131"/>
      <c r="I49" s="132"/>
      <c r="J49" s="94"/>
    </row>
    <row r="50" spans="2:11" ht="40" customHeight="1" thickBot="1" x14ac:dyDescent="0.3">
      <c r="B50" s="95"/>
      <c r="C50" s="101" t="str">
        <f>'Control Entry'!N$37</f>
        <v/>
      </c>
      <c r="D50" s="101" t="str">
        <f>'Control Entry'!O$37</f>
        <v/>
      </c>
      <c r="E50" s="96"/>
      <c r="F50" s="97" t="str">
        <f>IF(ISBLANK('Control Entry'!H$37),"",'Control Entry'!H$37)</f>
        <v/>
      </c>
      <c r="G50" s="124" t="str">
        <f>IF(ISBLANK('Control Entry'!K$37),"",'Control Entry'!K$37)</f>
        <v/>
      </c>
      <c r="H50" s="125"/>
      <c r="I50" s="126"/>
      <c r="J50" s="98"/>
    </row>
    <row r="52" spans="2:11" ht="24" customHeight="1" x14ac:dyDescent="0.15">
      <c r="B52" s="141" t="s">
        <v>30</v>
      </c>
      <c r="C52" s="141"/>
      <c r="D52" s="141"/>
      <c r="E52" s="141"/>
      <c r="F52" s="141"/>
      <c r="I52" s="58" t="s">
        <v>56</v>
      </c>
      <c r="J52" s="81" t="str">
        <f>IF(ISBLANK('Control Entry'!F10),"",'Control Entry'!F10)</f>
        <v>‭1 (604) 866-7804‬</v>
      </c>
      <c r="K52" s="54"/>
    </row>
    <row r="54" spans="2:11" x14ac:dyDescent="0.15">
      <c r="B54" s="76" t="s">
        <v>59</v>
      </c>
      <c r="C54" s="77">
        <f>'Control Entry'!B3</f>
        <v>45393</v>
      </c>
    </row>
    <row r="55" spans="2:11" ht="23" x14ac:dyDescent="0.15">
      <c r="B55" s="58"/>
      <c r="C55" s="58"/>
      <c r="D55" s="58"/>
      <c r="E55" s="58"/>
      <c r="F55" s="54"/>
      <c r="G55" s="60"/>
      <c r="H55" s="60"/>
      <c r="I55" s="60"/>
      <c r="J55" s="54"/>
    </row>
    <row r="56" spans="2:11" x14ac:dyDescent="0.15">
      <c r="E56" s="1"/>
    </row>
    <row r="57" spans="2:11" x14ac:dyDescent="0.15">
      <c r="B57" s="56"/>
      <c r="C57" s="57"/>
      <c r="D57" s="57"/>
      <c r="E57" s="57"/>
      <c r="F57" s="139"/>
      <c r="G57" s="140"/>
      <c r="H57" s="140"/>
      <c r="I57" s="140"/>
      <c r="J57" s="140"/>
    </row>
  </sheetData>
  <mergeCells count="50">
    <mergeCell ref="C2:F2"/>
    <mergeCell ref="E3:H3"/>
    <mergeCell ref="E4:H4"/>
    <mergeCell ref="E5:H6"/>
    <mergeCell ref="C7:F8"/>
    <mergeCell ref="H7:H8"/>
    <mergeCell ref="G20:I20"/>
    <mergeCell ref="B10:C10"/>
    <mergeCell ref="E10:G10"/>
    <mergeCell ref="L10:M10"/>
    <mergeCell ref="N10:O10"/>
    <mergeCell ref="D12:E12"/>
    <mergeCell ref="D14:E14"/>
    <mergeCell ref="C17:F17"/>
    <mergeCell ref="I17:J17"/>
    <mergeCell ref="L17:M17"/>
    <mergeCell ref="N17:O17"/>
    <mergeCell ref="B19:J19"/>
    <mergeCell ref="G32:I32"/>
    <mergeCell ref="G21:I21"/>
    <mergeCell ref="G22:I22"/>
    <mergeCell ref="G23:I23"/>
    <mergeCell ref="G24:I24"/>
    <mergeCell ref="G25:I25"/>
    <mergeCell ref="G26:I26"/>
    <mergeCell ref="G27:I27"/>
    <mergeCell ref="G28:I28"/>
    <mergeCell ref="G29:I29"/>
    <mergeCell ref="G30:I30"/>
    <mergeCell ref="G31:I31"/>
    <mergeCell ref="G44:I44"/>
    <mergeCell ref="G33:I33"/>
    <mergeCell ref="G34:I34"/>
    <mergeCell ref="G35:I35"/>
    <mergeCell ref="G36:I36"/>
    <mergeCell ref="G37:I37"/>
    <mergeCell ref="G38:I38"/>
    <mergeCell ref="G39:I39"/>
    <mergeCell ref="G40:I40"/>
    <mergeCell ref="G41:I41"/>
    <mergeCell ref="G42:I42"/>
    <mergeCell ref="G43:I43"/>
    <mergeCell ref="B52:F52"/>
    <mergeCell ref="F57:J57"/>
    <mergeCell ref="G45:I45"/>
    <mergeCell ref="G46:I46"/>
    <mergeCell ref="G47:I47"/>
    <mergeCell ref="G48:I48"/>
    <mergeCell ref="G49:I49"/>
    <mergeCell ref="G50:I50"/>
  </mergeCells>
  <printOptions horizontalCentered="1" verticalCentered="1"/>
  <pageMargins left="0.39370078740157483" right="0.39370078740157483" top="0.39370078740157483" bottom="0.39370078740157483" header="0.15748031496062992" footer="0.15748031496062992"/>
  <pageSetup scale="37"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28</vt:i4>
      </vt:variant>
    </vt:vector>
  </HeadingPairs>
  <TitlesOfParts>
    <vt:vector size="31" baseType="lpstr">
      <vt:lpstr>Control Entry</vt:lpstr>
      <vt:lpstr>Card #1</vt:lpstr>
      <vt:lpstr>Card #2</vt:lpstr>
      <vt:lpstr>brevet</vt:lpstr>
      <vt:lpstr>Brevet_Description</vt:lpstr>
      <vt:lpstr>Brevet_Length</vt:lpstr>
      <vt:lpstr>Brevet_Number</vt:lpstr>
      <vt:lpstr>Close</vt:lpstr>
      <vt:lpstr>Close_time</vt:lpstr>
      <vt:lpstr>Control_1</vt:lpstr>
      <vt:lpstr>Control_10</vt:lpstr>
      <vt:lpstr>Control_2</vt:lpstr>
      <vt:lpstr>Control_3</vt:lpstr>
      <vt:lpstr>Control_4</vt:lpstr>
      <vt:lpstr>Control_5</vt:lpstr>
      <vt:lpstr>Control_6</vt:lpstr>
      <vt:lpstr>Control_7</vt:lpstr>
      <vt:lpstr>Control_8</vt:lpstr>
      <vt:lpstr>Control_9</vt:lpstr>
      <vt:lpstr>Distance</vt:lpstr>
      <vt:lpstr>Establishment_1</vt:lpstr>
      <vt:lpstr>Establishment_2</vt:lpstr>
      <vt:lpstr>Establishment_3</vt:lpstr>
      <vt:lpstr>Locale</vt:lpstr>
      <vt:lpstr>Max_time</vt:lpstr>
      <vt:lpstr>Open</vt:lpstr>
      <vt:lpstr>Open_time</vt:lpstr>
      <vt:lpstr>'Card #1'!Print_Area</vt:lpstr>
      <vt:lpstr>'Card #2'!Print_Area</vt:lpstr>
      <vt:lpstr>Start_date</vt:lpstr>
      <vt:lpstr>Start_time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Hinde</dc:creator>
  <cp:lastModifiedBy>Stephen Hinde</cp:lastModifiedBy>
  <cp:lastPrinted>2024-05-16T01:42:05Z</cp:lastPrinted>
  <dcterms:created xsi:type="dcterms:W3CDTF">1997-11-12T04:43:39Z</dcterms:created>
  <dcterms:modified xsi:type="dcterms:W3CDTF">2024-07-26T18:36:45Z</dcterms:modified>
</cp:coreProperties>
</file>