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2"/>
  <workbookPr showInkAnnotation="0" autoCompressPictures="0"/>
  <mc:AlternateContent xmlns:mc="http://schemas.openxmlformats.org/markup-compatibility/2006">
    <mc:Choice Requires="x15">
      <x15ac:absPath xmlns:x15ac="http://schemas.microsoft.com/office/spreadsheetml/2010/11/ac" url="/Users/stephencarol/Documents/BCR/2022/5159 300/"/>
    </mc:Choice>
  </mc:AlternateContent>
  <xr:revisionPtr revIDLastSave="0" documentId="13_ncr:1_{B2598A96-F78F-324F-AB63-31F19E2D1DC5}" xr6:coauthVersionLast="36" xr6:coauthVersionMax="36" xr10:uidLastSave="{00000000-0000-0000-0000-000000000000}"/>
  <bookViews>
    <workbookView xWindow="0" yWindow="460" windowWidth="25600" windowHeight="15540" tabRatio="509" xr2:uid="{00000000-000D-0000-FFFF-FFFF00000000}"/>
  </bookViews>
  <sheets>
    <sheet name="Control Entry" sheetId="1" r:id="rId1"/>
    <sheet name="Control Card #1" sheetId="2" r:id="rId2"/>
    <sheet name="Control Card #2" sheetId="3" r:id="rId3"/>
    <sheet name="Control Card #3" sheetId="4" r:id="rId4"/>
    <sheet name="Control Card #4" sheetId="5" r:id="rId5"/>
  </sheets>
  <definedNames>
    <definedName name="Address_1" localSheetId="2">#REF!</definedName>
    <definedName name="Address_1" localSheetId="3">#REF!</definedName>
    <definedName name="Address_1" localSheetId="4">#REF!</definedName>
    <definedName name="Address_1">#REF!</definedName>
    <definedName name="Address_2" localSheetId="2">#REF!</definedName>
    <definedName name="Address_2" localSheetId="3">#REF!</definedName>
    <definedName name="Address_2" localSheetId="4">#REF!</definedName>
    <definedName name="Address_2">#REF!</definedName>
    <definedName name="brevet">'Control Entry'!$C$6</definedName>
    <definedName name="Brevet_Description">'Control Entry'!$B$8</definedName>
    <definedName name="Brevet_Length">'Control Entry'!$B$6</definedName>
    <definedName name="Brevet_Number">'Control Entry'!$B$9</definedName>
    <definedName name="City" localSheetId="2">#REF!</definedName>
    <definedName name="City" localSheetId="3">#REF!</definedName>
    <definedName name="City" localSheetId="4">#REF!</definedName>
    <definedName name="City">#REF!</definedName>
    <definedName name="Close">'Control Entry'!$M$15:$M$24</definedName>
    <definedName name="Close_time">'Control Entry'!$O$15:$O$24</definedName>
    <definedName name="Control_1">'Control Entry'!$D$15:$O$15</definedName>
    <definedName name="Control_10">'Control Entry'!$D$24:$O$24</definedName>
    <definedName name="Control_11" localSheetId="2">'Control Entry'!#REF!</definedName>
    <definedName name="Control_11" localSheetId="3">'Control Entry'!#REF!</definedName>
    <definedName name="Control_11" localSheetId="4">'Control Entry'!#REF!</definedName>
    <definedName name="Control_11">'Control Entry'!#REF!</definedName>
    <definedName name="Control_12" localSheetId="2">'Control Entry'!#REF!</definedName>
    <definedName name="Control_12" localSheetId="3">'Control Entry'!#REF!</definedName>
    <definedName name="Control_12" localSheetId="4">'Control Entry'!#REF!</definedName>
    <definedName name="Control_12">'Control Entry'!#REF!</definedName>
    <definedName name="Control_13" localSheetId="2">'Control Entry'!#REF!</definedName>
    <definedName name="Control_13" localSheetId="3">'Control Entry'!#REF!</definedName>
    <definedName name="Control_13" localSheetId="4">'Control Entry'!#REF!</definedName>
    <definedName name="Control_13">'Control Entry'!#REF!</definedName>
    <definedName name="Control_14" localSheetId="2">'Control Entry'!#REF!</definedName>
    <definedName name="Control_14" localSheetId="3">'Control Entry'!#REF!</definedName>
    <definedName name="Control_14" localSheetId="4">'Control Entry'!#REF!</definedName>
    <definedName name="Control_14">'Control Entry'!#REF!</definedName>
    <definedName name="Control_15" localSheetId="2">'Control Entry'!#REF!</definedName>
    <definedName name="Control_15" localSheetId="3">'Control Entry'!#REF!</definedName>
    <definedName name="Control_15" localSheetId="4">'Control Entry'!#REF!</definedName>
    <definedName name="Control_15">'Control Entry'!#REF!</definedName>
    <definedName name="Control_16" localSheetId="2">'Control Entry'!#REF!</definedName>
    <definedName name="Control_16" localSheetId="3">'Control Entry'!#REF!</definedName>
    <definedName name="Control_16" localSheetId="4">'Control Entry'!#REF!</definedName>
    <definedName name="Control_16">'Control Entry'!#REF!</definedName>
    <definedName name="Control_17" localSheetId="2">'Control Entry'!#REF!</definedName>
    <definedName name="Control_17" localSheetId="3">'Control Entry'!#REF!</definedName>
    <definedName name="Control_17" localSheetId="4">'Control Entry'!#REF!</definedName>
    <definedName name="Control_17">'Control Entry'!#REF!</definedName>
    <definedName name="Control_18" localSheetId="2">'Control Entry'!#REF!</definedName>
    <definedName name="Control_18" localSheetId="3">'Control Entry'!#REF!</definedName>
    <definedName name="Control_18" localSheetId="4">'Control Entry'!#REF!</definedName>
    <definedName name="Control_18">'Control Entry'!#REF!</definedName>
    <definedName name="Control_19" localSheetId="2">'Control Entry'!#REF!</definedName>
    <definedName name="Control_19" localSheetId="3">'Control Entry'!#REF!</definedName>
    <definedName name="Control_19" localSheetId="4">'Control Entry'!#REF!</definedName>
    <definedName name="Control_19">'Control Entry'!#REF!</definedName>
    <definedName name="Control_2">'Control Entry'!$D$16:$O$16</definedName>
    <definedName name="Control_20" localSheetId="2">'Control Entry'!#REF!</definedName>
    <definedName name="Control_20" localSheetId="3">'Control Entry'!#REF!</definedName>
    <definedName name="Control_20" localSheetId="4">'Control Entry'!#REF!</definedName>
    <definedName name="Control_20">'Control Entry'!#REF!</definedName>
    <definedName name="Control_3">'Control Entry'!$D$17:$O$17</definedName>
    <definedName name="Control_4">'Control Entry'!$D$18:$O$18</definedName>
    <definedName name="Control_5">'Control Entry'!$D$19:$O$19</definedName>
    <definedName name="Control_6">'Control Entry'!$D$20:$O$20</definedName>
    <definedName name="Control_7">'Control Entry'!$D$21:$O$21</definedName>
    <definedName name="Control_8">'Control Entry'!$D$22:$O$22</definedName>
    <definedName name="Control_9">'Control Entry'!$D$23:$O$23</definedName>
    <definedName name="Country" localSheetId="2">#REF!</definedName>
    <definedName name="Country" localSheetId="3">#REF!</definedName>
    <definedName name="Country" localSheetId="4">#REF!</definedName>
    <definedName name="Country">#REF!</definedName>
    <definedName name="Distance">'Control Entry'!$D$15:$D$24</definedName>
    <definedName name="email" localSheetId="2">#REF!</definedName>
    <definedName name="email" localSheetId="3">#REF!</definedName>
    <definedName name="email" localSheetId="4">#REF!</definedName>
    <definedName name="email">#REF!</definedName>
    <definedName name="Establishment_1">'Control Entry'!$F$15:$F$24</definedName>
    <definedName name="Establishment_2">'Control Entry'!$G$15:$G$24</definedName>
    <definedName name="Establishment_3">'Control Entry'!$H$15:$H$24</definedName>
    <definedName name="Fax" localSheetId="2">#REF!</definedName>
    <definedName name="Fax" localSheetId="3">#REF!</definedName>
    <definedName name="Fax" localSheetId="4">#REF!</definedName>
    <definedName name="Fax">#REF!</definedName>
    <definedName name="First_Name" localSheetId="2">#REF!</definedName>
    <definedName name="First_Name" localSheetId="3">#REF!</definedName>
    <definedName name="First_Name" localSheetId="4">#REF!</definedName>
    <definedName name="First_Name">#REF!</definedName>
    <definedName name="Home_telephone" localSheetId="2">#REF!</definedName>
    <definedName name="Home_telephone" localSheetId="3">#REF!</definedName>
    <definedName name="Home_telephone" localSheetId="4">#REF!</definedName>
    <definedName name="Home_telephone">#REF!</definedName>
    <definedName name="HTML_CodePage" hidden="1">1252</definedName>
    <definedName name="HTML_Control" hidden="1">{"'Web sheet'!$A$1:$D$92"}</definedName>
    <definedName name="HTML_Description" hidden="1">""</definedName>
    <definedName name="HTML_Email" hidden="1">"randos@island.net"</definedName>
    <definedName name="HTML_Header" hidden="1">"Web sheet"</definedName>
    <definedName name="HTML_LastUpdate" hidden="1">"99-03-06"</definedName>
    <definedName name="HTML_LineAfter" hidden="1">TRUE</definedName>
    <definedName name="HTML_LineBefore" hidden="1">TRUE</definedName>
    <definedName name="HTML_Name" hidden="1">"Stephen Hinde"</definedName>
    <definedName name="HTML_OBDlg2" hidden="1">TRUE</definedName>
    <definedName name="HTML_OBDlg4" hidden="1">TRUE</definedName>
    <definedName name="HTML_OS" hidden="1">0</definedName>
    <definedName name="HTML_PathFile" hidden="1">"C:\My Documents\excel\MyHTML.htm"</definedName>
    <definedName name="HTML_Title" hidden="1">"VI0100B Nanaimo Populaire"</definedName>
    <definedName name="HTML1_1" hidden="1">"'[vi0100b.xls]VI0100B 970310'!$A$3:$D$22"</definedName>
    <definedName name="HTML1_10" hidden="1">"randos@island.net"</definedName>
    <definedName name="HTML1_11" hidden="1">1</definedName>
    <definedName name="HTML1_12" hidden="1">"C:\My Documents\Web Page\vi0100b.htm"</definedName>
    <definedName name="HTML1_2" hidden="1">1</definedName>
    <definedName name="HTML1_3" hidden="1">"100 km Populaire"</definedName>
    <definedName name="HTML1_4" hidden="1">"VI0100B 970310"</definedName>
    <definedName name="HTML1_5" hidden="1">"Nanaimo--Lantzville--Nanaimo--Yellow Point--Nanaimo"</definedName>
    <definedName name="HTML1_6" hidden="1">1</definedName>
    <definedName name="HTML1_7" hidden="1">1</definedName>
    <definedName name="HTML1_8" hidden="1">"26/10/97"</definedName>
    <definedName name="HTML1_9" hidden="1">"Stephen Hinde"</definedName>
    <definedName name="HTML2_1" hidden="1">"'[vi0100b.xls]VI0100B 970310'!$A$1:$D$22"</definedName>
    <definedName name="HTML2_10" hidden="1">"randos@island.net"</definedName>
    <definedName name="HTML2_11" hidden="1">1</definedName>
    <definedName name="HTML2_12" hidden="1">"C:\My Documents\Web Page\vi0100b.htm"</definedName>
    <definedName name="HTML2_2" hidden="1">1</definedName>
    <definedName name="HTML2_3" hidden="1">"100 km Populaire"</definedName>
    <definedName name="HTML2_4" hidden="1">"VI0100B 970310"</definedName>
    <definedName name="HTML2_5" hidden="1">"Nanaimo--Lantzville--Nanaimo--Yellow Point--Nanaimo"</definedName>
    <definedName name="HTML2_6" hidden="1">1</definedName>
    <definedName name="HTML2_7" hidden="1">1</definedName>
    <definedName name="HTML2_8" hidden="1">"26/10/97"</definedName>
    <definedName name="HTML2_9" hidden="1">"Stephen Hinde"</definedName>
    <definedName name="HTML3_1" hidden="1">"'[vi0100b.xls]VI0100B 970310'!$A$1:$D$24"</definedName>
    <definedName name="HTML3_10" hidden="1">"randos@island.net"</definedName>
    <definedName name="HTML3_11" hidden="1">1</definedName>
    <definedName name="HTML3_12" hidden="1">"C:\My Documents\excel\vi0100b.htm"</definedName>
    <definedName name="HTML3_2" hidden="1">1</definedName>
    <definedName name="HTML3_3" hidden="1">"Vancouver Island Populaire"</definedName>
    <definedName name="HTML3_4" hidden="1">"VI0100B 970310"</definedName>
    <definedName name="HTML3_5" hidden="1">"Nanaimo--Lantzville--Yellow Point--Nanaimo"</definedName>
    <definedName name="HTML3_6" hidden="1">1</definedName>
    <definedName name="HTML3_7" hidden="1">1</definedName>
    <definedName name="HTML3_8" hidden="1">"26/10/97"</definedName>
    <definedName name="HTML3_9" hidden="1">"Stephen Hinde"</definedName>
    <definedName name="HTML4_1" hidden="1">"'[VI0100B.xls]VI0100B 971026'!$A$1:$I$47"</definedName>
    <definedName name="HTML4_10" hidden="1">""</definedName>
    <definedName name="HTML4_11" hidden="1">1</definedName>
    <definedName name="HTML4_12" hidden="1">"C:\My Documents\Web Page\VI0100B.htm"</definedName>
    <definedName name="HTML4_2" hidden="1">1</definedName>
    <definedName name="HTML4_3" hidden="1">"VI0100B"</definedName>
    <definedName name="HTML4_4" hidden="1">"VI0100B 971026"</definedName>
    <definedName name="HTML4_5" hidden="1">""</definedName>
    <definedName name="HTML4_6" hidden="1">-4146</definedName>
    <definedName name="HTML4_7" hidden="1">-4146</definedName>
    <definedName name="HTML4_8" hidden="1">"26/10/97"</definedName>
    <definedName name="HTML4_9" hidden="1">"Stephen Hinde"</definedName>
    <definedName name="HTML5_1" hidden="1">"'[VI0100B.xls]VI0100B 971026'!$A$1:$I$23"</definedName>
    <definedName name="HTML5_10" hidden="1">""</definedName>
    <definedName name="HTML5_11" hidden="1">1</definedName>
    <definedName name="HTML5_12" hidden="1">"C:\My Documents\Web Page\VI0100B top.htm"</definedName>
    <definedName name="HTML5_2" hidden="1">1</definedName>
    <definedName name="HTML5_3" hidden="1">"VI0100B"</definedName>
    <definedName name="HTML5_4" hidden="1">"VI0100B 971026"</definedName>
    <definedName name="HTML5_5" hidden="1">""</definedName>
    <definedName name="HTML5_6" hidden="1">-4146</definedName>
    <definedName name="HTML5_7" hidden="1">-4146</definedName>
    <definedName name="HTML5_8" hidden="1">"97-10-26"</definedName>
    <definedName name="HTML5_9" hidden="1">"Stephen Hinde"</definedName>
    <definedName name="HTML6_1" hidden="1">"'[VI0100B.xls]VI0100B 971026'!$A$25:$I$47"</definedName>
    <definedName name="HTML6_10" hidden="1">""</definedName>
    <definedName name="HTML6_11" hidden="1">1</definedName>
    <definedName name="HTML6_12" hidden="1">"C:\My Documents\Web Page\VI0100B bottom"</definedName>
    <definedName name="HTML6_2" hidden="1">1</definedName>
    <definedName name="HTML6_3" hidden="1">"VI0100B"</definedName>
    <definedName name="HTML6_4" hidden="1">"VI0100B 971026"</definedName>
    <definedName name="HTML6_5" hidden="1">""</definedName>
    <definedName name="HTML6_6" hidden="1">-4146</definedName>
    <definedName name="HTML6_7" hidden="1">-4146</definedName>
    <definedName name="HTML6_8" hidden="1">"97-10-26"</definedName>
    <definedName name="HTML6_9" hidden="1">"Stephen Hinde"</definedName>
    <definedName name="HTML7_1" hidden="1">"'[VI0200A  Tour of Cowichan Valley.xls]Web sheet'!$A$1:$E$92"</definedName>
    <definedName name="HTML7_10" hidden="1">"randos@island.net"</definedName>
    <definedName name="HTML7_11" hidden="1">1</definedName>
    <definedName name="HTML7_12" hidden="1">"C:\My Documents\Web Page\200km_route_sheet.htm"</definedName>
    <definedName name="HTML7_2" hidden="1">1</definedName>
    <definedName name="HTML7_3" hidden="1">"VI0200A  Tour of Cowichan Valley"</definedName>
    <definedName name="HTML7_4" hidden="1">"Vancouver Island 200 km Brevet"</definedName>
    <definedName name="HTML7_5" hidden="1">""</definedName>
    <definedName name="HTML7_6" hidden="1">1</definedName>
    <definedName name="HTML7_7" hidden="1">1</definedName>
    <definedName name="HTML7_8" hidden="1">"97-11-23"</definedName>
    <definedName name="HTML7_9" hidden="1">"Stephen Hinde"</definedName>
    <definedName name="HTML8_1" hidden="1">"'[VI0300A  Duncan--Victoria.xls]Web sheet'!$A$1:$E$161"</definedName>
    <definedName name="HTML8_10" hidden="1">"randos@island.net"</definedName>
    <definedName name="HTML8_11" hidden="1">1</definedName>
    <definedName name="HTML8_12" hidden="1">"C:\My Documents\Web Page\300km_route_sheet_duncan.htm"</definedName>
    <definedName name="HTML8_2" hidden="1">1</definedName>
    <definedName name="HTML8_3" hidden="1">"VI0300A  Duncan--Victoria"</definedName>
    <definedName name="HTML8_4" hidden="1">"Web sheet"</definedName>
    <definedName name="HTML8_5" hidden="1">""</definedName>
    <definedName name="HTML8_6" hidden="1">1</definedName>
    <definedName name="HTML8_7" hidden="1">1</definedName>
    <definedName name="HTML8_8" hidden="1">"98-01-25"</definedName>
    <definedName name="HTML8_9" hidden="1">"Stephen Hinde"</definedName>
    <definedName name="HTMLCount" hidden="1">8</definedName>
    <definedName name="Initial" localSheetId="2">#REF!</definedName>
    <definedName name="Initial" localSheetId="3">#REF!</definedName>
    <definedName name="Initial" localSheetId="4">#REF!</definedName>
    <definedName name="Initial">#REF!</definedName>
    <definedName name="Locale">'Control Entry'!$E$15:$E$24</definedName>
    <definedName name="Max_time">'Control Entry'!$B$7</definedName>
    <definedName name="Open">'Control Entry'!$L$15:$L$24</definedName>
    <definedName name="Open_time">'Control Entry'!$N$15:$N$24</definedName>
    <definedName name="Postal_Code" localSheetId="2">#REF!</definedName>
    <definedName name="Postal_Code" localSheetId="3">#REF!</definedName>
    <definedName name="Postal_Code" localSheetId="4">#REF!</definedName>
    <definedName name="Postal_Code">#REF!</definedName>
    <definedName name="_xlnm.Print_Titles" localSheetId="1">'Control Card #1'!$1:$2</definedName>
    <definedName name="_xlnm.Print_Titles" localSheetId="2">'Control Card #2'!$1:$2</definedName>
    <definedName name="_xlnm.Print_Titles" localSheetId="3">'Control Card #3'!$1:$2</definedName>
    <definedName name="_xlnm.Print_Titles" localSheetId="4">'Control Card #4'!$1:$2</definedName>
    <definedName name="Province_State" localSheetId="2">#REF!</definedName>
    <definedName name="Province_State" localSheetId="3">#REF!</definedName>
    <definedName name="Province_State" localSheetId="4">#REF!</definedName>
    <definedName name="Province_State">#REF!</definedName>
    <definedName name="Start_date">'Control Entry'!$B$12</definedName>
    <definedName name="Start_time">'Control Entry'!$B$13</definedName>
    <definedName name="surname" localSheetId="2">#REF!</definedName>
    <definedName name="surname" localSheetId="3">#REF!</definedName>
    <definedName name="surname" localSheetId="4">#REF!</definedName>
    <definedName name="surname">#REF!</definedName>
    <definedName name="Work_telephone" localSheetId="2">#REF!</definedName>
    <definedName name="Work_telephone" localSheetId="3">#REF!</definedName>
    <definedName name="Work_telephone" localSheetId="4">#REF!</definedName>
    <definedName name="Work_telephone">#REF!</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F32" i="5" l="1"/>
  <c r="F31" i="5"/>
  <c r="F30" i="5"/>
  <c r="E32" i="5"/>
  <c r="E31" i="5"/>
  <c r="E30" i="5"/>
  <c r="D31" i="5"/>
  <c r="A31" i="5"/>
  <c r="F29" i="5"/>
  <c r="F28" i="5"/>
  <c r="F27" i="5"/>
  <c r="E29" i="5"/>
  <c r="E28" i="5"/>
  <c r="E27" i="5"/>
  <c r="D28" i="5"/>
  <c r="A28" i="5"/>
  <c r="F26" i="5"/>
  <c r="F25" i="5"/>
  <c r="F24" i="5"/>
  <c r="E26" i="5"/>
  <c r="E25" i="5"/>
  <c r="E24" i="5"/>
  <c r="D25" i="5"/>
  <c r="A25" i="5"/>
  <c r="F23" i="5"/>
  <c r="F22" i="5"/>
  <c r="F21" i="5"/>
  <c r="E23" i="5"/>
  <c r="E22" i="5"/>
  <c r="E21" i="5"/>
  <c r="D22" i="5"/>
  <c r="A22" i="5"/>
  <c r="F20" i="5"/>
  <c r="F19" i="5"/>
  <c r="F18" i="5"/>
  <c r="E20" i="5"/>
  <c r="E19" i="5"/>
  <c r="E18" i="5"/>
  <c r="D19" i="5"/>
  <c r="A19" i="5" l="1"/>
  <c r="F17" i="5"/>
  <c r="F16" i="5"/>
  <c r="F15" i="5"/>
  <c r="E17" i="5"/>
  <c r="E16" i="5"/>
  <c r="E15" i="5"/>
  <c r="D16" i="5"/>
  <c r="A16" i="5"/>
  <c r="F14" i="5"/>
  <c r="F13" i="5"/>
  <c r="F12" i="5"/>
  <c r="E14" i="5"/>
  <c r="E13" i="5"/>
  <c r="E12" i="5"/>
  <c r="D13" i="5"/>
  <c r="A13" i="5"/>
  <c r="F11" i="5"/>
  <c r="F10" i="5"/>
  <c r="F9" i="5"/>
  <c r="E11" i="5"/>
  <c r="E10" i="5"/>
  <c r="E9" i="5"/>
  <c r="D10" i="5"/>
  <c r="A10" i="5"/>
  <c r="F8" i="5"/>
  <c r="F7" i="5"/>
  <c r="F6" i="5"/>
  <c r="E8" i="5"/>
  <c r="E7" i="5"/>
  <c r="E6" i="5"/>
  <c r="D7" i="5"/>
  <c r="A7" i="5"/>
  <c r="F26" i="4"/>
  <c r="F25" i="4"/>
  <c r="F24" i="4"/>
  <c r="F19" i="4"/>
  <c r="F5" i="5"/>
  <c r="F4" i="5"/>
  <c r="F3" i="5"/>
  <c r="E5" i="4"/>
  <c r="E5" i="5"/>
  <c r="E4" i="5"/>
  <c r="E3" i="5"/>
  <c r="D4" i="5"/>
  <c r="A4" i="5"/>
  <c r="S3" i="5"/>
  <c r="S3" i="4"/>
  <c r="S3" i="3"/>
  <c r="S3" i="2"/>
  <c r="Q33" i="5"/>
  <c r="Q32" i="5"/>
  <c r="S20" i="5"/>
  <c r="L20" i="5"/>
  <c r="L6" i="5"/>
  <c r="R5" i="5"/>
  <c r="P5" i="5"/>
  <c r="L63" i="1"/>
  <c r="L62" i="1"/>
  <c r="L61" i="1"/>
  <c r="L60" i="1"/>
  <c r="L59" i="1"/>
  <c r="L58" i="1"/>
  <c r="L57" i="1"/>
  <c r="L56" i="1"/>
  <c r="L55" i="1"/>
  <c r="M54" i="1"/>
  <c r="L54" i="1"/>
  <c r="Q33" i="4"/>
  <c r="Q32" i="4"/>
  <c r="Q33" i="3"/>
  <c r="Q32" i="3"/>
  <c r="Q33" i="2"/>
  <c r="Q32" i="2"/>
  <c r="M48" i="1" l="1"/>
  <c r="M49" i="1"/>
  <c r="M50" i="1"/>
  <c r="M35" i="1"/>
  <c r="M36" i="1"/>
  <c r="M37" i="1"/>
  <c r="M23" i="1"/>
  <c r="M24" i="1"/>
  <c r="S20" i="4" l="1"/>
  <c r="L20" i="4"/>
  <c r="S20" i="3"/>
  <c r="L20" i="3"/>
  <c r="S20" i="2"/>
  <c r="L20" i="2"/>
  <c r="F32" i="4" l="1"/>
  <c r="F31" i="4"/>
  <c r="F30" i="4"/>
  <c r="E32" i="4"/>
  <c r="E31" i="4"/>
  <c r="E30" i="4"/>
  <c r="D31" i="4"/>
  <c r="A31" i="4"/>
  <c r="F29" i="4"/>
  <c r="F28" i="4"/>
  <c r="F27" i="4"/>
  <c r="E29" i="4"/>
  <c r="E28" i="4"/>
  <c r="E27" i="4"/>
  <c r="D28" i="4"/>
  <c r="A28" i="4"/>
  <c r="E26" i="4"/>
  <c r="E25" i="4"/>
  <c r="E24" i="4"/>
  <c r="D25" i="4"/>
  <c r="A25" i="4"/>
  <c r="F23" i="4"/>
  <c r="F22" i="4"/>
  <c r="F21" i="4"/>
  <c r="E23" i="4"/>
  <c r="E22" i="4"/>
  <c r="E21" i="4"/>
  <c r="D22" i="4"/>
  <c r="A22" i="4"/>
  <c r="F20" i="4"/>
  <c r="F18" i="4"/>
  <c r="E20" i="4"/>
  <c r="E19" i="4"/>
  <c r="E18" i="4"/>
  <c r="D19" i="4"/>
  <c r="A19" i="4"/>
  <c r="F17" i="4"/>
  <c r="F16" i="4"/>
  <c r="F15" i="4"/>
  <c r="E17" i="4"/>
  <c r="E16" i="4"/>
  <c r="E15" i="4"/>
  <c r="D16" i="4"/>
  <c r="A16" i="4"/>
  <c r="F13" i="4"/>
  <c r="F14" i="4"/>
  <c r="F12" i="4"/>
  <c r="E14" i="4"/>
  <c r="E13" i="4"/>
  <c r="E12" i="4"/>
  <c r="D13" i="4"/>
  <c r="A13" i="4"/>
  <c r="A7" i="2" l="1"/>
  <c r="F11" i="4"/>
  <c r="F10" i="4"/>
  <c r="F9" i="4"/>
  <c r="E11" i="4"/>
  <c r="E10" i="4"/>
  <c r="E9" i="4"/>
  <c r="D10" i="4"/>
  <c r="A10" i="4"/>
  <c r="F8" i="4"/>
  <c r="F7" i="4"/>
  <c r="F6" i="4"/>
  <c r="E8" i="4"/>
  <c r="E7" i="4"/>
  <c r="E6" i="4"/>
  <c r="D7" i="4"/>
  <c r="A7" i="4"/>
  <c r="F5" i="4"/>
  <c r="F4" i="4"/>
  <c r="F3" i="4"/>
  <c r="E4" i="4"/>
  <c r="E3" i="4"/>
  <c r="D4" i="4"/>
  <c r="A4" i="4"/>
  <c r="L50" i="1" l="1"/>
  <c r="L49" i="1"/>
  <c r="L48" i="1"/>
  <c r="L47" i="1"/>
  <c r="L46" i="1"/>
  <c r="L45" i="1"/>
  <c r="L44" i="1"/>
  <c r="L43" i="1"/>
  <c r="L42" i="1"/>
  <c r="L41" i="1"/>
  <c r="L6" i="4"/>
  <c r="R5" i="4"/>
  <c r="P5" i="4"/>
  <c r="E8" i="3" l="1"/>
  <c r="E7" i="3"/>
  <c r="E5" i="3"/>
  <c r="F5" i="2" l="1"/>
  <c r="F32" i="2"/>
  <c r="F31" i="2"/>
  <c r="F30" i="2"/>
  <c r="F29" i="2"/>
  <c r="F28" i="2"/>
  <c r="F27" i="2"/>
  <c r="F26" i="2"/>
  <c r="F25" i="2"/>
  <c r="F24" i="2"/>
  <c r="F23" i="2"/>
  <c r="F22" i="2"/>
  <c r="F21" i="2"/>
  <c r="F20" i="2"/>
  <c r="F19" i="2"/>
  <c r="F18" i="2"/>
  <c r="F17" i="2"/>
  <c r="F16" i="2"/>
  <c r="F15" i="2"/>
  <c r="F14" i="2"/>
  <c r="F13" i="2"/>
  <c r="F12" i="2"/>
  <c r="F11" i="2"/>
  <c r="F10" i="2"/>
  <c r="F9" i="2"/>
  <c r="F8" i="2"/>
  <c r="F7" i="2"/>
  <c r="F6" i="2"/>
  <c r="F4" i="2"/>
  <c r="F3" i="2"/>
  <c r="L15" i="1"/>
  <c r="N15" i="1" s="1"/>
  <c r="L37" i="1"/>
  <c r="L36" i="1"/>
  <c r="L35" i="1"/>
  <c r="L34" i="1"/>
  <c r="L33" i="1"/>
  <c r="L32" i="1"/>
  <c r="L31" i="1"/>
  <c r="L30" i="1"/>
  <c r="L29" i="1"/>
  <c r="L28" i="1"/>
  <c r="F32" i="3"/>
  <c r="F31" i="3"/>
  <c r="F30" i="3"/>
  <c r="F29" i="3"/>
  <c r="F28" i="3"/>
  <c r="F27" i="3"/>
  <c r="F26" i="3"/>
  <c r="F25" i="3"/>
  <c r="F24" i="3"/>
  <c r="F23" i="3"/>
  <c r="F22" i="3"/>
  <c r="F21" i="3"/>
  <c r="F20" i="3"/>
  <c r="F19" i="3"/>
  <c r="F18" i="3"/>
  <c r="F17" i="3"/>
  <c r="F16" i="3"/>
  <c r="F15" i="3"/>
  <c r="F14" i="3"/>
  <c r="F13" i="3"/>
  <c r="F12" i="3"/>
  <c r="F11" i="3"/>
  <c r="F10" i="3"/>
  <c r="F9" i="3"/>
  <c r="F7" i="3"/>
  <c r="F8" i="3"/>
  <c r="F5" i="3"/>
  <c r="F6" i="3"/>
  <c r="F4" i="3"/>
  <c r="F3" i="3"/>
  <c r="E32" i="3"/>
  <c r="E31" i="3"/>
  <c r="E30" i="3"/>
  <c r="E29" i="3"/>
  <c r="E28" i="3"/>
  <c r="E27" i="3"/>
  <c r="E26" i="3"/>
  <c r="E25" i="3"/>
  <c r="E24" i="3"/>
  <c r="E23" i="3"/>
  <c r="E22" i="3"/>
  <c r="E21" i="3"/>
  <c r="E20" i="3"/>
  <c r="E19" i="3"/>
  <c r="E18" i="3"/>
  <c r="E17" i="3"/>
  <c r="E16" i="3"/>
  <c r="E15" i="3"/>
  <c r="E14" i="3"/>
  <c r="E13" i="3"/>
  <c r="E12" i="3"/>
  <c r="E11" i="3"/>
  <c r="E10" i="3"/>
  <c r="E9" i="3"/>
  <c r="E6" i="3"/>
  <c r="C6" i="1"/>
  <c r="E4" i="3"/>
  <c r="E3" i="3"/>
  <c r="D31" i="3"/>
  <c r="D28" i="3"/>
  <c r="D25" i="3"/>
  <c r="D22" i="3"/>
  <c r="D19" i="3"/>
  <c r="D16" i="3"/>
  <c r="D13" i="3"/>
  <c r="D10" i="3"/>
  <c r="D7" i="3"/>
  <c r="D4" i="3"/>
  <c r="A31" i="3"/>
  <c r="A28" i="3"/>
  <c r="A25" i="3"/>
  <c r="A22" i="3"/>
  <c r="A19" i="3"/>
  <c r="A16" i="3"/>
  <c r="A13" i="3"/>
  <c r="A10" i="3"/>
  <c r="A7" i="3"/>
  <c r="A4" i="3"/>
  <c r="L24" i="1"/>
  <c r="L23" i="1"/>
  <c r="L22" i="1"/>
  <c r="L21" i="1"/>
  <c r="L20" i="1"/>
  <c r="L19" i="1"/>
  <c r="L18" i="1"/>
  <c r="L17" i="1"/>
  <c r="L16" i="1"/>
  <c r="L6" i="3"/>
  <c r="R5" i="3"/>
  <c r="P5" i="3"/>
  <c r="L6" i="2"/>
  <c r="R5" i="2"/>
  <c r="P5"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D25" i="2"/>
  <c r="D28" i="2"/>
  <c r="D31" i="2"/>
  <c r="A31" i="2"/>
  <c r="A4" i="2"/>
  <c r="D19" i="2"/>
  <c r="D16" i="2"/>
  <c r="D13" i="2"/>
  <c r="D10" i="2"/>
  <c r="D7" i="2"/>
  <c r="D4" i="2"/>
  <c r="D22" i="2"/>
  <c r="A28" i="2"/>
  <c r="A25" i="2"/>
  <c r="A22" i="2"/>
  <c r="A19" i="2"/>
  <c r="A10" i="2"/>
  <c r="A16" i="2"/>
  <c r="A13" i="2"/>
  <c r="M20" i="1" l="1"/>
  <c r="O50" i="1"/>
  <c r="N50" i="1"/>
  <c r="N61" i="1"/>
  <c r="N60" i="1"/>
  <c r="N59" i="1"/>
  <c r="N63" i="1"/>
  <c r="N58" i="1"/>
  <c r="N62" i="1"/>
  <c r="M63" i="1"/>
  <c r="O63" i="1" s="1"/>
  <c r="M61" i="1"/>
  <c r="O61" i="1" s="1"/>
  <c r="M59" i="1"/>
  <c r="O59" i="1" s="1"/>
  <c r="M62" i="1"/>
  <c r="O62" i="1" s="1"/>
  <c r="M60" i="1"/>
  <c r="O60" i="1" s="1"/>
  <c r="M58" i="1"/>
  <c r="O58" i="1" s="1"/>
  <c r="B7" i="1"/>
  <c r="M46" i="1" s="1"/>
  <c r="O46" i="1" s="1"/>
  <c r="M4" i="5"/>
  <c r="M57" i="1"/>
  <c r="O57" i="1" s="1"/>
  <c r="M55" i="1"/>
  <c r="O55" i="1" s="1"/>
  <c r="M56" i="1"/>
  <c r="O56" i="1"/>
  <c r="N56" i="1"/>
  <c r="N57" i="1"/>
  <c r="N55" i="1"/>
  <c r="O54" i="1"/>
  <c r="N54" i="1"/>
  <c r="M4" i="3"/>
  <c r="M42" i="1"/>
  <c r="O42" i="1" s="1"/>
  <c r="M16" i="1"/>
  <c r="M32" i="1"/>
  <c r="O32" i="1" s="1"/>
  <c r="M19" i="1"/>
  <c r="M18" i="1"/>
  <c r="O18" i="1" s="1"/>
  <c r="M17" i="1"/>
  <c r="O17" i="1" s="1"/>
  <c r="O48" i="1"/>
  <c r="O49" i="1"/>
  <c r="N48" i="1"/>
  <c r="N42" i="1"/>
  <c r="N47" i="1"/>
  <c r="N43" i="1"/>
  <c r="N45" i="1"/>
  <c r="N49" i="1"/>
  <c r="N46" i="1"/>
  <c r="N44" i="1"/>
  <c r="N41" i="1"/>
  <c r="M4" i="4"/>
  <c r="M15" i="1"/>
  <c r="O15" i="1" s="1"/>
  <c r="C3" i="2" s="1"/>
  <c r="N31" i="1"/>
  <c r="B4" i="2"/>
  <c r="O19" i="1"/>
  <c r="C17" i="2" s="1"/>
  <c r="N18" i="1"/>
  <c r="B14" i="2" s="1"/>
  <c r="O23" i="1"/>
  <c r="C27" i="2" s="1"/>
  <c r="N28" i="1"/>
  <c r="N34" i="1"/>
  <c r="N22" i="1"/>
  <c r="B25" i="2" s="1"/>
  <c r="B3" i="2"/>
  <c r="O20" i="1"/>
  <c r="B5" i="2"/>
  <c r="N17" i="1"/>
  <c r="B11" i="2" s="1"/>
  <c r="N21" i="1"/>
  <c r="B22" i="2" s="1"/>
  <c r="N24" i="1"/>
  <c r="B31" i="2" s="1"/>
  <c r="N35" i="1"/>
  <c r="O37" i="1"/>
  <c r="N37" i="1"/>
  <c r="O24" i="1"/>
  <c r="C31" i="2" s="1"/>
  <c r="N16" i="1"/>
  <c r="B6" i="2" s="1"/>
  <c r="N20" i="1"/>
  <c r="B19" i="2" s="1"/>
  <c r="N29" i="1"/>
  <c r="N32" i="1"/>
  <c r="O16" i="1"/>
  <c r="N19" i="1"/>
  <c r="B17" i="2" s="1"/>
  <c r="N23" i="1"/>
  <c r="B27" i="2" s="1"/>
  <c r="N30" i="1"/>
  <c r="N33" i="1"/>
  <c r="N36" i="1"/>
  <c r="M4" i="2"/>
  <c r="O36" i="1"/>
  <c r="O35" i="1"/>
  <c r="M21" i="1" l="1"/>
  <c r="O21" i="1" s="1"/>
  <c r="C23" i="2" s="1"/>
  <c r="M29" i="1"/>
  <c r="O29" i="1" s="1"/>
  <c r="M43" i="1"/>
  <c r="O43" i="1" s="1"/>
  <c r="C11" i="4" s="1"/>
  <c r="M28" i="1"/>
  <c r="O28" i="1" s="1"/>
  <c r="C3" i="3" s="1"/>
  <c r="M34" i="1"/>
  <c r="O34" i="1" s="1"/>
  <c r="C23" i="3" s="1"/>
  <c r="M41" i="1"/>
  <c r="O41" i="1" s="1"/>
  <c r="M30" i="1"/>
  <c r="O30" i="1" s="1"/>
  <c r="C11" i="3" s="1"/>
  <c r="M44" i="1"/>
  <c r="O44" i="1" s="1"/>
  <c r="C13" i="4" s="1"/>
  <c r="M33" i="1"/>
  <c r="O33" i="1" s="1"/>
  <c r="C19" i="3" s="1"/>
  <c r="M22" i="1"/>
  <c r="O22" i="1" s="1"/>
  <c r="C26" i="2" s="1"/>
  <c r="M45" i="1"/>
  <c r="O45" i="1" s="1"/>
  <c r="C15" i="4" s="1"/>
  <c r="M31" i="1"/>
  <c r="O31" i="1" s="1"/>
  <c r="C14" i="3" s="1"/>
  <c r="M47" i="1"/>
  <c r="O47" i="1" s="1"/>
  <c r="C22" i="4" s="1"/>
  <c r="C27" i="5"/>
  <c r="C29" i="5"/>
  <c r="C28" i="5"/>
  <c r="B29" i="5"/>
  <c r="B28" i="5"/>
  <c r="B27" i="5"/>
  <c r="B22" i="5"/>
  <c r="B21" i="5"/>
  <c r="B23" i="5"/>
  <c r="C20" i="5"/>
  <c r="C19" i="5"/>
  <c r="C18" i="5"/>
  <c r="B25" i="5"/>
  <c r="B24" i="5"/>
  <c r="B26" i="5"/>
  <c r="C26" i="5"/>
  <c r="C25" i="5"/>
  <c r="C24" i="5"/>
  <c r="C21" i="5"/>
  <c r="C23" i="5"/>
  <c r="C22" i="5"/>
  <c r="C31" i="5"/>
  <c r="C30" i="5"/>
  <c r="C32" i="5"/>
  <c r="B19" i="5"/>
  <c r="B18" i="5"/>
  <c r="B20" i="5"/>
  <c r="B32" i="5"/>
  <c r="B31" i="5"/>
  <c r="B30" i="5"/>
  <c r="B8" i="5"/>
  <c r="B7" i="5"/>
  <c r="B6" i="5"/>
  <c r="B14" i="5"/>
  <c r="B13" i="5"/>
  <c r="B12" i="5"/>
  <c r="C7" i="5"/>
  <c r="C8" i="5"/>
  <c r="C6" i="5"/>
  <c r="B15" i="5"/>
  <c r="B17" i="5"/>
  <c r="B16" i="5"/>
  <c r="B9" i="5"/>
  <c r="B10" i="5"/>
  <c r="B11" i="5"/>
  <c r="C13" i="5"/>
  <c r="C12" i="5"/>
  <c r="C14" i="5"/>
  <c r="C16" i="5"/>
  <c r="C15" i="5"/>
  <c r="C17" i="5"/>
  <c r="C10" i="5"/>
  <c r="C9" i="5"/>
  <c r="C11" i="5"/>
  <c r="B4" i="5"/>
  <c r="B3" i="5"/>
  <c r="B5" i="5"/>
  <c r="B31" i="4"/>
  <c r="B30" i="4"/>
  <c r="B32" i="4"/>
  <c r="C5" i="5"/>
  <c r="C3" i="5"/>
  <c r="C4" i="5"/>
  <c r="C31" i="4"/>
  <c r="C30" i="4"/>
  <c r="C32" i="4"/>
  <c r="B13" i="4"/>
  <c r="B12" i="4"/>
  <c r="B14" i="4"/>
  <c r="B29" i="4"/>
  <c r="B28" i="4"/>
  <c r="B27" i="4"/>
  <c r="C16" i="4"/>
  <c r="B23" i="4"/>
  <c r="B22" i="4"/>
  <c r="B21" i="4"/>
  <c r="B17" i="4"/>
  <c r="B16" i="4"/>
  <c r="B15" i="4"/>
  <c r="B25" i="4"/>
  <c r="B24" i="4"/>
  <c r="B26" i="4"/>
  <c r="C29" i="4"/>
  <c r="C28" i="4"/>
  <c r="C27" i="4"/>
  <c r="C21" i="4"/>
  <c r="C4" i="2"/>
  <c r="B19" i="4"/>
  <c r="B18" i="4"/>
  <c r="B20" i="4"/>
  <c r="C20" i="4"/>
  <c r="C19" i="4"/>
  <c r="C18" i="4"/>
  <c r="C26" i="4"/>
  <c r="C25" i="4"/>
  <c r="C24" i="4"/>
  <c r="C8" i="4"/>
  <c r="C7" i="4"/>
  <c r="C6" i="4"/>
  <c r="C9" i="4"/>
  <c r="B8" i="4"/>
  <c r="B7" i="4"/>
  <c r="B6" i="4"/>
  <c r="B9" i="4"/>
  <c r="B11" i="4"/>
  <c r="B10" i="4"/>
  <c r="B5" i="4"/>
  <c r="B4" i="4"/>
  <c r="B3" i="4"/>
  <c r="C3" i="4"/>
  <c r="C5" i="4"/>
  <c r="C4" i="4"/>
  <c r="B21" i="3"/>
  <c r="B29" i="3"/>
  <c r="B6" i="3"/>
  <c r="B26" i="3"/>
  <c r="B5" i="3"/>
  <c r="B11" i="3"/>
  <c r="B32" i="3"/>
  <c r="B16" i="3"/>
  <c r="C31" i="3"/>
  <c r="C5" i="2"/>
  <c r="B19" i="3"/>
  <c r="B14" i="3"/>
  <c r="B25" i="3"/>
  <c r="C16" i="2"/>
  <c r="B13" i="3"/>
  <c r="B12" i="3"/>
  <c r="B21" i="2"/>
  <c r="B26" i="2"/>
  <c r="C15" i="2"/>
  <c r="C30" i="3"/>
  <c r="B3" i="3"/>
  <c r="C25" i="2"/>
  <c r="B8" i="2"/>
  <c r="B12" i="2"/>
  <c r="B13" i="2"/>
  <c r="B22" i="3"/>
  <c r="B30" i="3"/>
  <c r="B27" i="3"/>
  <c r="B8" i="3"/>
  <c r="C29" i="2"/>
  <c r="B18" i="3"/>
  <c r="B29" i="2"/>
  <c r="B15" i="2"/>
  <c r="B31" i="3"/>
  <c r="B18" i="2"/>
  <c r="B10" i="3"/>
  <c r="B32" i="2"/>
  <c r="C28" i="2"/>
  <c r="C24" i="2"/>
  <c r="C30" i="2"/>
  <c r="B20" i="2"/>
  <c r="B24" i="3"/>
  <c r="B28" i="3"/>
  <c r="B7" i="3"/>
  <c r="B4" i="3"/>
  <c r="B16" i="2"/>
  <c r="B7" i="2"/>
  <c r="C19" i="2"/>
  <c r="C18" i="2"/>
  <c r="C20" i="2"/>
  <c r="C13" i="2"/>
  <c r="C12" i="2"/>
  <c r="C14" i="2"/>
  <c r="B23" i="3"/>
  <c r="B9" i="2"/>
  <c r="B30" i="2"/>
  <c r="C32" i="2"/>
  <c r="B10" i="2"/>
  <c r="B9" i="3"/>
  <c r="B24" i="2"/>
  <c r="C18" i="3"/>
  <c r="B20" i="3"/>
  <c r="C9" i="2"/>
  <c r="C10" i="2"/>
  <c r="B28" i="2"/>
  <c r="B23" i="2"/>
  <c r="B17" i="3"/>
  <c r="C8" i="2"/>
  <c r="C7" i="2"/>
  <c r="C22" i="2"/>
  <c r="C21" i="2"/>
  <c r="C11" i="2"/>
  <c r="C20" i="3"/>
  <c r="B15" i="3"/>
  <c r="C32" i="3"/>
  <c r="C6" i="2"/>
  <c r="C6" i="3"/>
  <c r="C7" i="3"/>
  <c r="C8" i="3"/>
  <c r="C10" i="3"/>
  <c r="C25" i="3"/>
  <c r="C26" i="3"/>
  <c r="C24" i="3"/>
  <c r="C15" i="3"/>
  <c r="C16" i="3"/>
  <c r="C17" i="3"/>
  <c r="C27" i="3"/>
  <c r="C28" i="3"/>
  <c r="C29" i="3"/>
  <c r="C10" i="4" l="1"/>
  <c r="C17" i="4"/>
  <c r="C5" i="3"/>
  <c r="C13" i="3"/>
  <c r="C12" i="4"/>
  <c r="C14" i="4"/>
  <c r="C21" i="3"/>
  <c r="C22" i="3"/>
  <c r="C23" i="4"/>
  <c r="C12" i="3"/>
  <c r="C9" i="3"/>
  <c r="C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Stephen Hinde</author>
    <author>A satisfied Microsoft Office user</author>
  </authors>
  <commentList>
    <comment ref="B4" authorId="0" shapeId="0" xr:uid="{4563209B-AACD-704D-A715-734D9228E28F}">
      <text>
        <r>
          <rPr>
            <b/>
            <sz val="10"/>
            <color rgb="FF000000"/>
            <rFont val="Tahoma"/>
            <family val="2"/>
          </rPr>
          <t>Stephen Hinde:</t>
        </r>
        <r>
          <rPr>
            <sz val="10"/>
            <color rgb="FF000000"/>
            <rFont val="Tahoma"/>
            <family val="2"/>
          </rPr>
          <t xml:space="preserve">Revision date of the brevet details on this sheet
</t>
        </r>
      </text>
    </comment>
    <comment ref="B6" authorId="0" shapeId="0" xr:uid="{00000000-0006-0000-0000-000001000000}">
      <text>
        <r>
          <rPr>
            <b/>
            <sz val="10"/>
            <color rgb="FF000000"/>
            <rFont val="Tahoma"/>
            <family val="2"/>
          </rPr>
          <t>Stephen Hinde:</t>
        </r>
        <r>
          <rPr>
            <sz val="10"/>
            <color rgb="FF000000"/>
            <rFont val="Tahoma"/>
            <family val="2"/>
          </rPr>
          <t xml:space="preserve">
</t>
        </r>
        <r>
          <rPr>
            <sz val="10"/>
            <color rgb="FF000000"/>
            <rFont val="Tahoma"/>
            <family val="2"/>
          </rPr>
          <t xml:space="preserve">Nominal ACP distance
</t>
        </r>
        <r>
          <rPr>
            <sz val="10"/>
            <color rgb="FF000000"/>
            <rFont val="Tahoma"/>
            <family val="2"/>
          </rPr>
          <t xml:space="preserve">
</t>
        </r>
        <r>
          <rPr>
            <sz val="10"/>
            <color rgb="FF000000"/>
            <rFont val="Tahoma"/>
            <family val="2"/>
          </rPr>
          <t>eg 200, 300, 400, 600</t>
        </r>
      </text>
    </comment>
    <comment ref="B7" authorId="1" shapeId="0" xr:uid="{00000000-0006-0000-0000-000002000000}">
      <text>
        <r>
          <rPr>
            <sz val="8"/>
            <color rgb="FF000000"/>
            <rFont val="Tahoma"/>
            <family val="2"/>
          </rPr>
          <t>Autocalculated based on ACP specified times</t>
        </r>
      </text>
    </comment>
    <comment ref="B9" authorId="0" shapeId="0" xr:uid="{00000000-0006-0000-0000-000003000000}">
      <text>
        <r>
          <rPr>
            <b/>
            <sz val="10"/>
            <color rgb="FF000000"/>
            <rFont val="Tahoma"/>
            <family val="2"/>
          </rPr>
          <t>Stephen Hinde:</t>
        </r>
        <r>
          <rPr>
            <sz val="10"/>
            <color rgb="FF000000"/>
            <rFont val="Tahoma"/>
            <family val="2"/>
          </rPr>
          <t xml:space="preserve">
</t>
        </r>
        <r>
          <rPr>
            <sz val="10"/>
            <color rgb="FF000000"/>
            <rFont val="Tahoma"/>
            <family val="2"/>
          </rPr>
          <t>On event page</t>
        </r>
      </text>
    </comment>
    <comment ref="B10" authorId="0" shapeId="0" xr:uid="{00000000-0006-0000-0000-000004000000}">
      <text>
        <r>
          <rPr>
            <b/>
            <sz val="10"/>
            <color rgb="FF000000"/>
            <rFont val="Tahoma"/>
            <family val="2"/>
          </rPr>
          <t>Stephen Hinde:</t>
        </r>
        <r>
          <rPr>
            <sz val="10"/>
            <color rgb="FF000000"/>
            <rFont val="Tahoma"/>
            <family val="2"/>
          </rPr>
          <t xml:space="preserve">
</t>
        </r>
        <r>
          <rPr>
            <sz val="10"/>
            <color rgb="FF000000"/>
            <rFont val="Tahoma"/>
            <family val="2"/>
          </rPr>
          <t>Official ACP date</t>
        </r>
      </text>
    </comment>
    <comment ref="B12" authorId="0" shapeId="0" xr:uid="{23558CA1-4512-6144-8D64-23E7C0C33489}">
      <text>
        <r>
          <rPr>
            <b/>
            <sz val="10"/>
            <color rgb="FF000000"/>
            <rFont val="Tahoma"/>
            <family val="2"/>
          </rPr>
          <t>Stephen Hinde:</t>
        </r>
        <r>
          <rPr>
            <sz val="10"/>
            <color rgb="FF000000"/>
            <rFont val="Tahoma"/>
            <family val="2"/>
          </rPr>
          <t xml:space="preserve">
</t>
        </r>
        <r>
          <rPr>
            <sz val="10"/>
            <color rgb="FF000000"/>
            <rFont val="Tahoma"/>
            <family val="2"/>
          </rPr>
          <t xml:space="preserve">Ride date
</t>
        </r>
      </text>
    </comment>
    <comment ref="B13" authorId="0" shapeId="0" xr:uid="{B42762EC-1925-AE46-9F2A-7C3A271E16AF}">
      <text>
        <r>
          <rPr>
            <b/>
            <sz val="10"/>
            <color rgb="FF000000"/>
            <rFont val="Tahoma"/>
            <family val="2"/>
          </rPr>
          <t>Stephen Hinde:</t>
        </r>
        <r>
          <rPr>
            <sz val="10"/>
            <color rgb="FF000000"/>
            <rFont val="Tahoma"/>
            <family val="2"/>
          </rPr>
          <t xml:space="preserve">
</t>
        </r>
        <r>
          <rPr>
            <sz val="10"/>
            <color rgb="FF000000"/>
            <rFont val="Tahoma"/>
            <family val="2"/>
          </rPr>
          <t xml:space="preserve">24hr clock format
</t>
        </r>
        <r>
          <rPr>
            <sz val="10"/>
            <color rgb="FF000000"/>
            <rFont val="Tahoma"/>
            <family val="2"/>
          </rPr>
          <t>hh:mm</t>
        </r>
      </text>
    </comment>
  </commentList>
</comments>
</file>

<file path=xl/sharedStrings.xml><?xml version="1.0" encoding="utf-8"?>
<sst xmlns="http://schemas.openxmlformats.org/spreadsheetml/2006/main" count="409" uniqueCount="116">
  <si>
    <t>Start time</t>
  </si>
  <si>
    <t>Finish time</t>
  </si>
  <si>
    <t>Elapsed time</t>
  </si>
  <si>
    <t>Open</t>
  </si>
  <si>
    <t>Close</t>
  </si>
  <si>
    <t>Open time</t>
  </si>
  <si>
    <t>Close time</t>
  </si>
  <si>
    <t>Control 1</t>
  </si>
  <si>
    <t>Control 2</t>
  </si>
  <si>
    <t>Control 3</t>
  </si>
  <si>
    <t>Control 4</t>
  </si>
  <si>
    <t>Control 5</t>
  </si>
  <si>
    <t>Control 6</t>
  </si>
  <si>
    <t>Control 7</t>
  </si>
  <si>
    <t>Control 8</t>
  </si>
  <si>
    <t>Control 9</t>
  </si>
  <si>
    <t>Control 10</t>
  </si>
  <si>
    <t>Rider's signature at completion</t>
  </si>
  <si>
    <t>Brevet Length:</t>
  </si>
  <si>
    <t>Maximum Time:</t>
  </si>
  <si>
    <t>Brevet Description:</t>
  </si>
  <si>
    <t>Brevet Number:</t>
  </si>
  <si>
    <t>Start Date:</t>
  </si>
  <si>
    <t>Start Time:</t>
  </si>
  <si>
    <t>Distance</t>
  </si>
  <si>
    <t>Locale</t>
  </si>
  <si>
    <t>Establishment 1</t>
  </si>
  <si>
    <t>Establishment 2</t>
  </si>
  <si>
    <t>Establishment 3</t>
  </si>
  <si>
    <t>|</t>
  </si>
  <si>
    <t>DIST (km)</t>
  </si>
  <si>
    <t>Establishment</t>
  </si>
  <si>
    <t>Time of Passage</t>
  </si>
  <si>
    <t>Control Card</t>
  </si>
  <si>
    <t>Name</t>
  </si>
  <si>
    <t>Address</t>
  </si>
  <si>
    <t>City</t>
  </si>
  <si>
    <t>Province/State</t>
  </si>
  <si>
    <t>Country</t>
  </si>
  <si>
    <t>Postal Code</t>
  </si>
  <si>
    <t>Telephone</t>
  </si>
  <si>
    <t>email</t>
  </si>
  <si>
    <t>Randonneur Committee Authorization</t>
  </si>
  <si>
    <t>Report results or abandonment through registration email link</t>
  </si>
  <si>
    <t>Start Date</t>
  </si>
  <si>
    <t>Finish Date</t>
  </si>
  <si>
    <t>Member #</t>
  </si>
  <si>
    <t xml:space="preserve">Brevet No. </t>
  </si>
  <si>
    <t>Schedule date:</t>
  </si>
  <si>
    <t>Single</t>
  </si>
  <si>
    <t>Tandem</t>
  </si>
  <si>
    <t>Fixed</t>
  </si>
  <si>
    <t>Recumbent</t>
  </si>
  <si>
    <t>Velomobile</t>
  </si>
  <si>
    <t>(only add if change needed to database)</t>
  </si>
  <si>
    <t>Founding member of LES RANDONNEURS MONDIAUX (1983)</t>
  </si>
  <si>
    <t>Bicycle Type
Circle one</t>
  </si>
  <si>
    <t>-------&gt;</t>
  </si>
  <si>
    <t>Ride Day Emergency Contact</t>
  </si>
  <si>
    <t>Signature/Answer</t>
  </si>
  <si>
    <t>Signature/Answer 1</t>
  </si>
  <si>
    <t>Signature/Answer 2</t>
  </si>
  <si>
    <t>Signature/Answer 3</t>
  </si>
  <si>
    <t>Instructions</t>
  </si>
  <si>
    <t>Fill nominal brevet length.  This is the ACP distance eg 200, 300, 1000</t>
  </si>
  <si>
    <t>Maximum allowable time automatically calculated</t>
  </si>
  <si>
    <t>Enter the brevet name eg 'Remembrance Day Brevet'</t>
  </si>
  <si>
    <t>Enter the brevet number.  This is the BCR database number, and can be found on the event page in the database</t>
  </si>
  <si>
    <t>Enter the schedule date.  This is the official ACP listed date and can be found on the shcedule on the website</t>
  </si>
  <si>
    <t>Fill in the control distance.  The opening and closing times will be automatically calculated based on the start time and the brevet distance.  If you need more than 10 controls, use card #2, otherwise leave that section blank.</t>
  </si>
  <si>
    <t>When using information controls, you can put your question in the Signature/Answer section eg Sig/Ans.1 Sign on main door  Sig/Ans. 2  This week's special is?  Sig/Ans. 3 ________________</t>
  </si>
  <si>
    <t>Control Card #1 Information Control Question (optional)</t>
  </si>
  <si>
    <t>Control Card #2 Information Control Question (optional)</t>
  </si>
  <si>
    <t xml:space="preserve">Control Card </t>
  </si>
  <si>
    <r>
      <t xml:space="preserve">At each control, please have signed or </t>
    </r>
    <r>
      <rPr>
        <b/>
        <i/>
        <sz val="16"/>
        <rFont val="Arial"/>
        <family val="2"/>
      </rPr>
      <t>answer question</t>
    </r>
    <r>
      <rPr>
        <i/>
        <sz val="16"/>
        <rFont val="Arial"/>
        <family val="2"/>
      </rPr>
      <t xml:space="preserve"> and</t>
    </r>
    <r>
      <rPr>
        <b/>
        <i/>
        <sz val="16"/>
        <rFont val="Arial"/>
        <family val="2"/>
      </rPr>
      <t xml:space="preserve"> note time of day</t>
    </r>
  </si>
  <si>
    <t>Enter the start time.  This will be the official ACP listed start time found on the event page, unless a ride window has been enabled.</t>
  </si>
  <si>
    <t>Enter the start date.  This will be the same as the schedule date, exceot for pre-rides or unless a ride window has been enabled.</t>
  </si>
  <si>
    <t>Control Card #2</t>
  </si>
  <si>
    <t>Control Card #3 Information Control Question (optional)</t>
  </si>
  <si>
    <t>Control Card #3</t>
  </si>
  <si>
    <r>
      <t xml:space="preserve">At each control, please </t>
    </r>
    <r>
      <rPr>
        <b/>
        <i/>
        <sz val="16"/>
        <rFont val="Arial"/>
        <family val="2"/>
      </rPr>
      <t>have signed or answer question</t>
    </r>
    <r>
      <rPr>
        <i/>
        <sz val="16"/>
        <rFont val="Arial"/>
        <family val="2"/>
      </rPr>
      <t xml:space="preserve"> and</t>
    </r>
    <r>
      <rPr>
        <b/>
        <i/>
        <sz val="16"/>
        <rFont val="Arial"/>
        <family val="2"/>
      </rPr>
      <t xml:space="preserve"> note time of day</t>
    </r>
  </si>
  <si>
    <t>Control Card #1</t>
  </si>
  <si>
    <t xml:space="preserve">Template Revised:  </t>
  </si>
  <si>
    <t>DO NOT DELETE OR MOVE ROWS OR COLUMNS (delete contents of cells only)</t>
  </si>
  <si>
    <t>Fill in the Locale (city) for each control.  Establishment 1, 2, and 3 can be used to describe the control itself eg Locale HOPE  Est.1 Dairy Queen Est.2 817 Water Ave Est. 3 (left blank)</t>
  </si>
  <si>
    <t>Scroll right to see further instructions</t>
  </si>
  <si>
    <t xml:space="preserve">Card Revised:  </t>
  </si>
  <si>
    <t>Control Card #4</t>
  </si>
  <si>
    <t>Control Card #4 Information Control Question (optional)</t>
  </si>
  <si>
    <t>You can create 4 control cards  (upto 40 controls) for one event, or 4 control cards (up to 10 controls) with different start loctions for a single event, or 2 sets of 2 control cards.  Control Card #1 will only show '#1' if a distance, not zero, is entered into the first distance box for Control Card #2.  Similarly for Control Card #3 and Control Card #4.  If CC#3 starts at distance 0 and CC#4 has a distance greater than 0, then CC#3 will display as CC#1 and CC#4 will display as CC#2.  This allows for 2 cards for start location 1 and two cards for start location 2.</t>
  </si>
  <si>
    <t>SIGN HERE AND RECORD RESULTS ON CARD #1</t>
  </si>
  <si>
    <t>Secret</t>
  </si>
  <si>
    <t>LITTLE RIVER</t>
  </si>
  <si>
    <t>INFORMATION</t>
  </si>
  <si>
    <t>STAFFED</t>
  </si>
  <si>
    <t>CUMBERLAND</t>
  </si>
  <si>
    <t>CAMPBELL RIVER</t>
  </si>
  <si>
    <t>Parks and Rivers</t>
  </si>
  <si>
    <t>PARKSVILLE</t>
  </si>
  <si>
    <t>Shell Gas</t>
  </si>
  <si>
    <t>370 Island Hwy E</t>
  </si>
  <si>
    <t>DEEP BAY</t>
  </si>
  <si>
    <t>Mapleguard Point</t>
  </si>
  <si>
    <t>5550 Deep Bay Dr</t>
  </si>
  <si>
    <t>Beach Access</t>
  </si>
  <si>
    <t>2200 Singing Sands Rd</t>
  </si>
  <si>
    <t>BUSINESS</t>
  </si>
  <si>
    <t>Your choice</t>
  </si>
  <si>
    <t>Discovery Harbour Centre</t>
  </si>
  <si>
    <t>GasNGo</t>
  </si>
  <si>
    <t>4690 Cumberland Rd</t>
  </si>
  <si>
    <t>Sign post at end of road</t>
  </si>
  <si>
    <t>Where is no fires sign?</t>
  </si>
  <si>
    <t>Where is post? (facing water)</t>
  </si>
  <si>
    <t>TOP                   BOTTOM</t>
  </si>
  <si>
    <t>LEFT       BOTH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</si>
</sst>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m/yy\ hh:mm\ AM/PM"/>
    <numFmt numFmtId="165" formatCode="d/mmm/yy"/>
    <numFmt numFmtId="166" formatCode="dddd"/>
    <numFmt numFmtId="167" formatCode="0.0"/>
    <numFmt numFmtId="168" formatCode="mmmm\ d\,\ yyyy"/>
    <numFmt numFmtId="169" formatCode="[&lt;=9999999]###\-####;\(###\)\ ###\-####"/>
  </numFmts>
  <fonts count="33" x14ac:knownFonts="1">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0"/>
      <name val="Arial"/>
      <family val="2"/>
    </font>
    <font>
      <sz val="12"/>
      <name val="Arial"/>
      <family val="2"/>
    </font>
    <font>
      <sz val="14"/>
      <name val="Arial"/>
      <family val="2"/>
    </font>
    <font>
      <sz val="20"/>
      <name val="Arial"/>
      <family val="2"/>
    </font>
    <font>
      <sz val="36"/>
      <name val="Arial"/>
      <family val="2"/>
    </font>
    <font>
      <sz val="16"/>
      <name val="Arial"/>
      <family val="2"/>
    </font>
    <font>
      <i/>
      <sz val="14"/>
      <name val="Arial"/>
      <family val="2"/>
    </font>
    <font>
      <sz val="18"/>
      <name val="Arial"/>
      <family val="2"/>
    </font>
    <font>
      <sz val="14"/>
      <name val="Arial Narrow"/>
      <family val="2"/>
    </font>
    <font>
      <b/>
      <sz val="14"/>
      <name val="Arial Narrow"/>
      <family val="2"/>
    </font>
    <font>
      <b/>
      <sz val="16"/>
      <name val="Arial Narrow"/>
      <family val="2"/>
    </font>
    <font>
      <sz val="8"/>
      <name val="Arial"/>
      <family val="2"/>
    </font>
    <font>
      <u/>
      <sz val="10"/>
      <color theme="10"/>
      <name val="Arial"/>
      <family val="2"/>
    </font>
    <font>
      <u/>
      <sz val="10"/>
      <color theme="11"/>
      <name val="Arial"/>
      <family val="2"/>
    </font>
    <font>
      <b/>
      <sz val="16"/>
      <name val="Arial"/>
      <family val="2"/>
    </font>
    <font>
      <sz val="8"/>
      <color rgb="FF000000"/>
      <name val="Tahoma"/>
      <family val="2"/>
    </font>
    <font>
      <i/>
      <sz val="16"/>
      <name val="Arial"/>
      <family val="2"/>
    </font>
    <font>
      <b/>
      <i/>
      <sz val="16"/>
      <name val="Arial"/>
      <family val="2"/>
    </font>
    <font>
      <sz val="16"/>
      <name val="Arial Narrow"/>
      <family val="2"/>
    </font>
    <font>
      <sz val="11"/>
      <color theme="1"/>
      <name val="Calibri"/>
      <family val="2"/>
      <scheme val="minor"/>
    </font>
    <font>
      <sz val="10"/>
      <color rgb="FF000000"/>
      <name val="Tahoma"/>
      <family val="2"/>
    </font>
    <font>
      <b/>
      <sz val="10"/>
      <color rgb="FF000000"/>
      <name val="Tahoma"/>
      <family val="2"/>
    </font>
    <font>
      <sz val="10"/>
      <name val="Arial Narrow"/>
      <family val="2"/>
    </font>
    <font>
      <sz val="10"/>
      <color rgb="FFFF0000"/>
      <name val="Arial"/>
      <family val="2"/>
    </font>
    <font>
      <sz val="20"/>
      <color theme="0" tint="-0.249977111117893"/>
      <name val="Impact"/>
      <family val="2"/>
    </font>
    <font>
      <sz val="16"/>
      <color rgb="FFFF0000"/>
      <name val="Arial"/>
      <family val="2"/>
    </font>
    <font>
      <sz val="9"/>
      <name val="Arial"/>
      <family val="2"/>
    </font>
    <font>
      <sz val="11"/>
      <name val="Arial Narrow"/>
      <family val="2"/>
    </font>
  </fonts>
  <fills count="3">
    <fill>
      <patternFill patternType="none"/>
    </fill>
    <fill>
      <patternFill patternType="gray125"/>
    </fill>
    <fill>
      <patternFill patternType="solid">
        <fgColor indexed="22"/>
        <bgColor indexed="64"/>
      </patternFill>
    </fill>
  </fills>
  <borders count="30">
    <border>
      <left/>
      <right/>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medium">
        <color auto="1"/>
      </top>
      <bottom style="medium">
        <color indexed="64"/>
      </bottom>
      <diagonal/>
    </border>
    <border>
      <left style="thin">
        <color indexed="64"/>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medium">
        <color auto="1"/>
      </left>
      <right/>
      <top style="medium">
        <color auto="1"/>
      </top>
      <bottom style="thin">
        <color auto="1"/>
      </bottom>
      <diagonal/>
    </border>
  </borders>
  <cellStyleXfs count="356">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4" fillId="0" borderId="0"/>
    <xf numFmtId="0" fontId="4" fillId="0" borderId="0"/>
    <xf numFmtId="0" fontId="5" fillId="0" borderId="0"/>
    <xf numFmtId="0" fontId="3" fillId="0" borderId="0"/>
    <xf numFmtId="0" fontId="2" fillId="0" borderId="0"/>
    <xf numFmtId="0" fontId="1"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161">
    <xf numFmtId="0" fontId="0" fillId="0" borderId="0" xfId="0"/>
    <xf numFmtId="0" fontId="0" fillId="0" borderId="16" xfId="0" applyBorder="1"/>
    <xf numFmtId="0" fontId="0" fillId="0" borderId="0" xfId="0" applyAlignment="1">
      <alignment horizontal="right"/>
    </xf>
    <xf numFmtId="0" fontId="0" fillId="0" borderId="0" xfId="0" applyProtection="1">
      <protection hidden="1"/>
    </xf>
    <xf numFmtId="164" fontId="0" fillId="0" borderId="0" xfId="0" applyNumberFormat="1" applyBorder="1"/>
    <xf numFmtId="164" fontId="0" fillId="0" borderId="0" xfId="0" applyNumberFormat="1" applyBorder="1" applyAlignment="1">
      <alignment horizontal="center" vertical="center" wrapText="1"/>
    </xf>
    <xf numFmtId="0" fontId="0" fillId="2" borderId="11" xfId="0" applyFill="1" applyBorder="1"/>
    <xf numFmtId="0" fontId="0" fillId="2" borderId="12" xfId="0" applyFill="1" applyBorder="1"/>
    <xf numFmtId="0" fontId="0" fillId="2" borderId="10" xfId="0" applyFill="1" applyBorder="1"/>
    <xf numFmtId="0" fontId="7" fillId="2" borderId="15" xfId="0" applyFont="1" applyFill="1" applyBorder="1" applyAlignment="1">
      <alignment horizontal="center"/>
    </xf>
    <xf numFmtId="0" fontId="0" fillId="2" borderId="7" xfId="0" applyFill="1" applyBorder="1" applyAlignment="1">
      <alignment horizontal="right"/>
    </xf>
    <xf numFmtId="0" fontId="0" fillId="2" borderId="1" xfId="0" applyFill="1" applyBorder="1" applyAlignment="1">
      <alignment horizontal="right"/>
    </xf>
    <xf numFmtId="0" fontId="0" fillId="2" borderId="3" xfId="0" applyFill="1" applyBorder="1" applyAlignment="1">
      <alignment horizontal="right"/>
    </xf>
    <xf numFmtId="0" fontId="0" fillId="2" borderId="4" xfId="0" applyFill="1" applyBorder="1"/>
    <xf numFmtId="0" fontId="0" fillId="0" borderId="0" xfId="0" applyAlignment="1">
      <alignment vertical="top" textRotation="90"/>
    </xf>
    <xf numFmtId="0" fontId="10" fillId="0" borderId="0" xfId="0" applyFont="1"/>
    <xf numFmtId="0" fontId="0" fillId="0" borderId="19" xfId="0" applyBorder="1"/>
    <xf numFmtId="0" fontId="0" fillId="0" borderId="6" xfId="0" applyBorder="1"/>
    <xf numFmtId="0" fontId="10" fillId="0" borderId="0" xfId="0" applyFont="1" applyProtection="1"/>
    <xf numFmtId="0" fontId="0" fillId="0" borderId="0" xfId="0" applyProtection="1"/>
    <xf numFmtId="0" fontId="0" fillId="0" borderId="20" xfId="0" applyBorder="1" applyProtection="1"/>
    <xf numFmtId="0" fontId="0" fillId="0" borderId="21" xfId="0" applyBorder="1" applyProtection="1"/>
    <xf numFmtId="0" fontId="0" fillId="0" borderId="0" xfId="0" applyBorder="1" applyProtection="1"/>
    <xf numFmtId="0" fontId="0" fillId="0" borderId="17" xfId="0" applyBorder="1" applyProtection="1"/>
    <xf numFmtId="0" fontId="0" fillId="0" borderId="0" xfId="0" applyBorder="1" applyAlignment="1" applyProtection="1">
      <alignment horizontal="centerContinuous"/>
      <protection hidden="1"/>
    </xf>
    <xf numFmtId="0" fontId="0" fillId="0" borderId="0" xfId="0" applyBorder="1" applyAlignment="1">
      <alignment horizontal="centerContinuous"/>
    </xf>
    <xf numFmtId="167" fontId="0" fillId="0" borderId="13" xfId="0" applyNumberFormat="1" applyBorder="1" applyProtection="1">
      <protection locked="0"/>
    </xf>
    <xf numFmtId="0" fontId="0" fillId="0" borderId="0" xfId="0" applyBorder="1" applyAlignment="1">
      <alignment horizontal="center"/>
    </xf>
    <xf numFmtId="0" fontId="0" fillId="0" borderId="0" xfId="0" applyBorder="1"/>
    <xf numFmtId="167" fontId="13" fillId="0" borderId="16" xfId="0" applyNumberFormat="1" applyFont="1" applyBorder="1" applyAlignment="1">
      <alignment horizontal="center" wrapText="1"/>
    </xf>
    <xf numFmtId="166" fontId="13" fillId="0" borderId="16" xfId="0" applyNumberFormat="1" applyFont="1" applyBorder="1" applyAlignment="1">
      <alignment horizontal="center" vertical="center" wrapText="1"/>
    </xf>
    <xf numFmtId="0" fontId="13" fillId="0" borderId="17" xfId="0" applyFont="1" applyBorder="1" applyAlignment="1">
      <alignment horizontal="center" vertical="center"/>
    </xf>
    <xf numFmtId="0" fontId="14" fillId="0" borderId="16" xfId="0" applyFont="1" applyBorder="1" applyAlignment="1">
      <alignment horizontal="center" vertical="center" wrapText="1"/>
    </xf>
    <xf numFmtId="167" fontId="13" fillId="0" borderId="7" xfId="0" applyNumberFormat="1" applyFont="1" applyBorder="1"/>
    <xf numFmtId="165" fontId="13" fillId="0" borderId="7" xfId="0" applyNumberFormat="1" applyFont="1" applyBorder="1" applyAlignment="1">
      <alignment horizontal="center" vertical="center" wrapText="1"/>
    </xf>
    <xf numFmtId="0" fontId="13" fillId="0" borderId="18" xfId="0" applyFont="1" applyBorder="1" applyAlignment="1">
      <alignment horizontal="center" vertical="center"/>
    </xf>
    <xf numFmtId="0" fontId="14" fillId="0" borderId="7" xfId="0" applyFont="1" applyBorder="1" applyAlignment="1">
      <alignment horizontal="center" vertical="center" wrapText="1"/>
    </xf>
    <xf numFmtId="0" fontId="13" fillId="0" borderId="16" xfId="0" applyFont="1" applyBorder="1" applyAlignment="1">
      <alignment horizontal="center" vertical="center"/>
    </xf>
    <xf numFmtId="167" fontId="15" fillId="0" borderId="16" xfId="0" applyNumberFormat="1" applyFont="1" applyBorder="1" applyAlignment="1">
      <alignment horizontal="center" vertical="center"/>
    </xf>
    <xf numFmtId="18" fontId="15" fillId="0" borderId="16" xfId="0" applyNumberFormat="1" applyFont="1" applyBorder="1" applyAlignment="1">
      <alignment horizontal="center" vertical="center" wrapText="1"/>
    </xf>
    <xf numFmtId="0" fontId="15" fillId="0" borderId="16" xfId="0" applyFont="1" applyBorder="1" applyAlignment="1">
      <alignment horizontal="center" vertical="center" wrapText="1"/>
    </xf>
    <xf numFmtId="167" fontId="12" fillId="0" borderId="0" xfId="0" applyNumberFormat="1" applyFont="1" applyAlignment="1">
      <alignment vertical="top"/>
    </xf>
    <xf numFmtId="0" fontId="9" fillId="0" borderId="0" xfId="0" applyFont="1" applyAlignment="1">
      <alignment horizontal="left" vertical="center"/>
    </xf>
    <xf numFmtId="0" fontId="10" fillId="0" borderId="0" xfId="0" applyFont="1" applyAlignment="1">
      <alignment horizontal="left" vertical="center" wrapText="1"/>
    </xf>
    <xf numFmtId="0" fontId="11" fillId="0" borderId="0" xfId="0" applyFont="1" applyAlignment="1">
      <alignment horizontal="center" vertical="justify"/>
    </xf>
    <xf numFmtId="0" fontId="10" fillId="0" borderId="0" xfId="0" applyFont="1" applyBorder="1" applyAlignment="1" applyProtection="1">
      <alignment horizontal="right"/>
    </xf>
    <xf numFmtId="0" fontId="10" fillId="0" borderId="0" xfId="0" applyFont="1" applyBorder="1" applyAlignment="1" applyProtection="1">
      <alignment horizontal="left"/>
    </xf>
    <xf numFmtId="0" fontId="10" fillId="0" borderId="0" xfId="0" applyFont="1" applyAlignment="1" applyProtection="1"/>
    <xf numFmtId="0" fontId="5" fillId="2" borderId="3" xfId="0" applyFont="1" applyFill="1" applyBorder="1" applyAlignment="1">
      <alignment horizontal="right"/>
    </xf>
    <xf numFmtId="168" fontId="10" fillId="0" borderId="0" xfId="0" applyNumberFormat="1" applyFont="1" applyBorder="1" applyAlignment="1">
      <alignment horizontal="center"/>
    </xf>
    <xf numFmtId="0" fontId="10" fillId="0" borderId="0" xfId="0" quotePrefix="1" applyFont="1" applyAlignment="1">
      <alignment horizontal="right" vertical="center"/>
    </xf>
    <xf numFmtId="0" fontId="10" fillId="0" borderId="0" xfId="0" applyFont="1" applyAlignment="1">
      <alignment vertical="center"/>
    </xf>
    <xf numFmtId="167" fontId="0" fillId="0" borderId="24" xfId="0" applyNumberFormat="1" applyBorder="1" applyProtection="1">
      <protection locked="0"/>
    </xf>
    <xf numFmtId="0" fontId="14" fillId="0" borderId="16" xfId="0" applyFont="1" applyBorder="1" applyAlignment="1">
      <alignment horizontal="center" vertical="top" wrapText="1"/>
    </xf>
    <xf numFmtId="0" fontId="6" fillId="0" borderId="0" xfId="0" applyFont="1" applyBorder="1" applyAlignment="1" applyProtection="1">
      <alignment wrapText="1"/>
    </xf>
    <xf numFmtId="0" fontId="10" fillId="0" borderId="0" xfId="0" applyFont="1" applyBorder="1"/>
    <xf numFmtId="0" fontId="10" fillId="0" borderId="0" xfId="0" applyFont="1" applyBorder="1" applyProtection="1"/>
    <xf numFmtId="168" fontId="10" fillId="0" borderId="0" xfId="0" applyNumberFormat="1" applyFont="1" applyBorder="1" applyAlignment="1">
      <alignment horizontal="center"/>
    </xf>
    <xf numFmtId="0" fontId="10" fillId="0" borderId="0" xfId="0" applyFont="1" applyAlignment="1">
      <alignment horizontal="center"/>
    </xf>
    <xf numFmtId="0" fontId="10" fillId="0" borderId="0" xfId="0" applyFont="1" applyBorder="1" applyAlignment="1">
      <alignment horizontal="center"/>
    </xf>
    <xf numFmtId="18" fontId="23" fillId="0" borderId="0" xfId="0" applyNumberFormat="1" applyFont="1" applyBorder="1" applyAlignment="1">
      <alignment horizontal="center" wrapText="1"/>
    </xf>
    <xf numFmtId="0" fontId="10" fillId="0" borderId="0" xfId="0" applyNumberFormat="1" applyFont="1" applyBorder="1" applyAlignment="1" applyProtection="1">
      <alignment horizontal="left" vertical="center"/>
    </xf>
    <xf numFmtId="169" fontId="10" fillId="0" borderId="0" xfId="0" applyNumberFormat="1" applyFont="1" applyBorder="1" applyAlignment="1" applyProtection="1">
      <alignment horizontal="left" vertical="center"/>
    </xf>
    <xf numFmtId="0" fontId="27" fillId="2" borderId="12" xfId="0" applyFont="1" applyFill="1" applyBorder="1"/>
    <xf numFmtId="0" fontId="27" fillId="2" borderId="10" xfId="0" applyFont="1" applyFill="1" applyBorder="1"/>
    <xf numFmtId="167" fontId="0" fillId="0" borderId="22" xfId="0" applyNumberFormat="1" applyBorder="1" applyProtection="1">
      <protection locked="0"/>
    </xf>
    <xf numFmtId="0" fontId="13" fillId="0" borderId="18" xfId="0" applyFont="1" applyBorder="1" applyProtection="1">
      <protection locked="0"/>
    </xf>
    <xf numFmtId="49" fontId="13" fillId="0" borderId="18" xfId="0" applyNumberFormat="1" applyFont="1" applyBorder="1" applyAlignment="1" applyProtection="1">
      <alignment horizontal="center"/>
      <protection locked="0"/>
    </xf>
    <xf numFmtId="49" fontId="13" fillId="0" borderId="8" xfId="0" applyNumberFormat="1" applyFont="1" applyBorder="1" applyAlignment="1" applyProtection="1">
      <alignment horizontal="center"/>
      <protection locked="0"/>
    </xf>
    <xf numFmtId="0" fontId="13" fillId="0" borderId="2" xfId="0" applyFont="1" applyBorder="1" applyProtection="1">
      <protection locked="0"/>
    </xf>
    <xf numFmtId="1" fontId="13" fillId="0" borderId="4" xfId="0" applyNumberFormat="1" applyFont="1" applyBorder="1" applyProtection="1">
      <protection locked="0"/>
    </xf>
    <xf numFmtId="15" fontId="13" fillId="0" borderId="4" xfId="0" applyNumberFormat="1" applyFont="1" applyBorder="1" applyProtection="1">
      <protection locked="0"/>
    </xf>
    <xf numFmtId="20" fontId="13" fillId="0" borderId="8" xfId="0" applyNumberFormat="1" applyFont="1" applyBorder="1" applyProtection="1">
      <protection locked="0"/>
    </xf>
    <xf numFmtId="0" fontId="28" fillId="0" borderId="0" xfId="0" applyFont="1"/>
    <xf numFmtId="0" fontId="7" fillId="2" borderId="15" xfId="0" applyFont="1" applyFill="1" applyBorder="1" applyAlignment="1">
      <alignment horizontal="center" vertical="center" wrapText="1"/>
    </xf>
    <xf numFmtId="0" fontId="5" fillId="0" borderId="14" xfId="0" applyFont="1" applyBorder="1" applyProtection="1">
      <protection locked="0"/>
    </xf>
    <xf numFmtId="49" fontId="5" fillId="0" borderId="14" xfId="0" applyNumberFormat="1" applyFont="1" applyBorder="1" applyAlignment="1" applyProtection="1">
      <alignment horizontal="center"/>
      <protection locked="0"/>
    </xf>
    <xf numFmtId="49" fontId="5" fillId="0" borderId="4" xfId="0" applyNumberFormat="1" applyFont="1" applyBorder="1" applyAlignment="1" applyProtection="1">
      <alignment horizontal="center"/>
      <protection locked="0"/>
    </xf>
    <xf numFmtId="0" fontId="5" fillId="0" borderId="25" xfId="0" applyFont="1" applyBorder="1" applyProtection="1">
      <protection locked="0"/>
    </xf>
    <xf numFmtId="49" fontId="5" fillId="0" borderId="25" xfId="0" applyNumberFormat="1" applyFont="1" applyBorder="1" applyAlignment="1" applyProtection="1">
      <alignment horizontal="center"/>
      <protection locked="0"/>
    </xf>
    <xf numFmtId="49" fontId="5" fillId="0" borderId="23" xfId="0" applyNumberFormat="1" applyFont="1" applyBorder="1" applyAlignment="1" applyProtection="1">
      <alignment horizontal="center"/>
      <protection locked="0"/>
    </xf>
    <xf numFmtId="0" fontId="10" fillId="0" borderId="0" xfId="0" applyFont="1" applyAlignment="1">
      <alignment horizontal="center"/>
    </xf>
    <xf numFmtId="167" fontId="0" fillId="0" borderId="0" xfId="0" applyNumberFormat="1"/>
    <xf numFmtId="0" fontId="14" fillId="0" borderId="7" xfId="0" applyFont="1" applyBorder="1" applyAlignment="1">
      <alignment horizontal="center" vertical="top" wrapText="1"/>
    </xf>
    <xf numFmtId="2" fontId="0" fillId="0" borderId="0" xfId="0" applyNumberFormat="1"/>
    <xf numFmtId="0" fontId="9" fillId="0" borderId="0" xfId="0" applyNumberFormat="1" applyFont="1" applyBorder="1" applyAlignment="1">
      <alignment horizontal="center" wrapText="1"/>
    </xf>
    <xf numFmtId="0" fontId="9" fillId="0" borderId="0" xfId="0" applyFont="1" applyAlignment="1"/>
    <xf numFmtId="0" fontId="5" fillId="0" borderId="0" xfId="0" applyFont="1"/>
    <xf numFmtId="0" fontId="27" fillId="2" borderId="26" xfId="0" applyFont="1" applyFill="1" applyBorder="1"/>
    <xf numFmtId="0" fontId="0" fillId="2" borderId="28" xfId="0" applyFill="1" applyBorder="1" applyAlignment="1">
      <alignment horizontal="right"/>
    </xf>
    <xf numFmtId="15" fontId="13" fillId="0" borderId="27" xfId="0" applyNumberFormat="1" applyFont="1" applyBorder="1" applyProtection="1">
      <protection locked="0"/>
    </xf>
    <xf numFmtId="0" fontId="5" fillId="2" borderId="29" xfId="0" applyFont="1" applyFill="1" applyBorder="1" applyAlignment="1">
      <alignment horizontal="right"/>
    </xf>
    <xf numFmtId="0" fontId="6" fillId="0" borderId="0" xfId="0" applyFont="1" applyBorder="1" applyAlignment="1" applyProtection="1">
      <alignment vertical="top" wrapText="1"/>
    </xf>
    <xf numFmtId="0" fontId="0" fillId="0" borderId="0" xfId="0" applyAlignment="1"/>
    <xf numFmtId="0" fontId="5" fillId="0" borderId="0" xfId="0" applyFont="1" applyAlignment="1"/>
    <xf numFmtId="0" fontId="5" fillId="0" borderId="0" xfId="0" applyFont="1" applyAlignment="1">
      <alignment wrapText="1"/>
    </xf>
    <xf numFmtId="0" fontId="0" fillId="0" borderId="0" xfId="0" applyProtection="1">
      <protection locked="0"/>
    </xf>
    <xf numFmtId="0" fontId="14" fillId="0" borderId="16" xfId="0" applyFont="1" applyBorder="1" applyAlignment="1" applyProtection="1">
      <alignment horizontal="center" vertical="center" wrapText="1"/>
      <protection locked="0"/>
    </xf>
    <xf numFmtId="0" fontId="7" fillId="0" borderId="16" xfId="0" applyFont="1" applyBorder="1" applyAlignment="1" applyProtection="1">
      <alignment horizontal="center" wrapText="1"/>
      <protection locked="0"/>
    </xf>
    <xf numFmtId="0" fontId="14" fillId="0" borderId="16" xfId="0" applyFont="1" applyBorder="1" applyAlignment="1" applyProtection="1">
      <alignment horizontal="center" vertical="top" wrapText="1"/>
      <protection locked="0"/>
    </xf>
    <xf numFmtId="0" fontId="14" fillId="0" borderId="7" xfId="0" applyFont="1" applyBorder="1" applyAlignment="1" applyProtection="1">
      <alignment horizontal="center" wrapText="1"/>
      <protection locked="0"/>
    </xf>
    <xf numFmtId="0" fontId="7" fillId="0" borderId="7" xfId="0" applyFont="1" applyBorder="1" applyProtection="1">
      <protection locked="0"/>
    </xf>
    <xf numFmtId="0" fontId="14" fillId="0" borderId="7" xfId="0" applyFont="1" applyBorder="1" applyAlignment="1" applyProtection="1">
      <alignment horizontal="center" vertical="center" wrapText="1"/>
      <protection locked="0"/>
    </xf>
    <xf numFmtId="168" fontId="10" fillId="0" borderId="18" xfId="0" applyNumberFormat="1" applyFont="1" applyBorder="1" applyAlignment="1" applyProtection="1">
      <alignment horizontal="center"/>
      <protection locked="0"/>
    </xf>
    <xf numFmtId="0" fontId="0" fillId="0" borderId="19" xfId="0" applyBorder="1" applyProtection="1"/>
    <xf numFmtId="0" fontId="0" fillId="0" borderId="6" xfId="0" applyBorder="1" applyProtection="1"/>
    <xf numFmtId="15" fontId="32" fillId="0" borderId="4" xfId="0" applyNumberFormat="1" applyFont="1" applyBorder="1" applyAlignment="1" applyProtection="1">
      <alignment horizontal="center"/>
      <protection locked="0"/>
    </xf>
    <xf numFmtId="0" fontId="31" fillId="2" borderId="29" xfId="0" applyFont="1" applyFill="1" applyBorder="1" applyAlignment="1">
      <alignment horizontal="right"/>
    </xf>
    <xf numFmtId="15" fontId="31" fillId="2" borderId="2" xfId="0" applyNumberFormat="1" applyFont="1" applyFill="1" applyBorder="1" applyAlignment="1">
      <alignment horizontal="left"/>
    </xf>
    <xf numFmtId="0" fontId="31" fillId="0" borderId="0" xfId="0" applyFont="1" applyAlignment="1"/>
    <xf numFmtId="0" fontId="31" fillId="0" borderId="0" xfId="0" applyFont="1"/>
    <xf numFmtId="0" fontId="31" fillId="0" borderId="0" xfId="0" applyFont="1" applyAlignment="1">
      <alignment wrapText="1"/>
    </xf>
    <xf numFmtId="167" fontId="0" fillId="0" borderId="13" xfId="0" applyNumberFormat="1" applyBorder="1" applyProtection="1"/>
    <xf numFmtId="0" fontId="5" fillId="2" borderId="9" xfId="0" applyFont="1" applyFill="1" applyBorder="1" applyAlignment="1">
      <alignment horizontal="center"/>
    </xf>
    <xf numFmtId="0" fontId="0" fillId="2" borderId="5" xfId="0" applyFill="1" applyBorder="1" applyAlignment="1">
      <alignment horizontal="center"/>
    </xf>
    <xf numFmtId="0" fontId="0" fillId="2" borderId="10" xfId="0" applyFill="1" applyBorder="1" applyAlignment="1">
      <alignment horizontal="center"/>
    </xf>
    <xf numFmtId="0" fontId="31" fillId="0" borderId="0" xfId="0" applyFont="1" applyAlignment="1">
      <alignment horizontal="left" vertical="top" wrapText="1"/>
    </xf>
    <xf numFmtId="0" fontId="30" fillId="0" borderId="0" xfId="0" applyFont="1" applyAlignment="1">
      <alignment horizontal="left"/>
    </xf>
    <xf numFmtId="0" fontId="13" fillId="0" borderId="9" xfId="0" applyFont="1" applyBorder="1" applyAlignment="1" applyProtection="1">
      <alignment horizontal="left"/>
      <protection locked="0"/>
    </xf>
    <xf numFmtId="0" fontId="13" fillId="0" borderId="5"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28" fillId="0" borderId="0" xfId="0" applyFont="1" applyAlignment="1">
      <alignment horizontal="right"/>
    </xf>
    <xf numFmtId="0" fontId="0" fillId="2" borderId="9" xfId="0" applyFill="1" applyBorder="1" applyAlignment="1">
      <alignment horizontal="center"/>
    </xf>
    <xf numFmtId="0" fontId="10" fillId="0" borderId="0" xfId="0" applyFont="1" applyAlignment="1">
      <alignment horizontal="right" vertical="center"/>
    </xf>
    <xf numFmtId="0" fontId="6" fillId="0" borderId="0" xfId="0" applyFont="1" applyBorder="1" applyAlignment="1" applyProtection="1">
      <alignment horizontal="center" wrapText="1"/>
    </xf>
    <xf numFmtId="0" fontId="10" fillId="0" borderId="0" xfId="0" applyFont="1" applyAlignment="1">
      <alignment horizontal="center" vertical="center"/>
    </xf>
    <xf numFmtId="0" fontId="5" fillId="0" borderId="0" xfId="0" applyFont="1" applyBorder="1" applyAlignment="1">
      <alignment horizontal="right" vertical="top"/>
    </xf>
    <xf numFmtId="0" fontId="0" fillId="0" borderId="0" xfId="0" applyBorder="1" applyAlignment="1">
      <alignment horizontal="right" vertical="top"/>
    </xf>
    <xf numFmtId="15" fontId="0" fillId="0" borderId="0" xfId="0" applyNumberFormat="1" applyBorder="1" applyAlignment="1">
      <alignment horizontal="left" vertical="top"/>
    </xf>
    <xf numFmtId="0" fontId="0" fillId="0" borderId="0" xfId="0" applyBorder="1" applyAlignment="1">
      <alignment horizontal="left" vertical="top"/>
    </xf>
    <xf numFmtId="0" fontId="21" fillId="0" borderId="18" xfId="0" applyFont="1" applyBorder="1" applyAlignment="1">
      <alignment horizontal="center" vertical="center"/>
    </xf>
    <xf numFmtId="167" fontId="12" fillId="0" borderId="20" xfId="0" applyNumberFormat="1" applyFont="1" applyBorder="1" applyAlignment="1">
      <alignment horizontal="center" vertical="center"/>
    </xf>
    <xf numFmtId="0" fontId="10" fillId="0" borderId="0" xfId="0" applyFont="1" applyAlignment="1">
      <alignment horizontal="center" vertical="center" wrapText="1"/>
    </xf>
    <xf numFmtId="0" fontId="10" fillId="0" borderId="5" xfId="0" applyFont="1" applyBorder="1" applyAlignment="1" applyProtection="1">
      <alignment horizontal="left"/>
      <protection locked="0"/>
    </xf>
    <xf numFmtId="0" fontId="12" fillId="0" borderId="18" xfId="0" applyFont="1" applyBorder="1" applyAlignment="1" applyProtection="1">
      <alignment horizontal="left"/>
      <protection locked="0"/>
    </xf>
    <xf numFmtId="168" fontId="10" fillId="0" borderId="0" xfId="0" applyNumberFormat="1" applyFont="1" applyBorder="1" applyAlignment="1">
      <alignment horizontal="left" vertical="center"/>
    </xf>
    <xf numFmtId="0" fontId="0" fillId="0" borderId="0" xfId="0" applyAlignment="1">
      <alignment horizontal="left" vertical="top"/>
    </xf>
    <xf numFmtId="0" fontId="10" fillId="0" borderId="18" xfId="0" applyFont="1" applyBorder="1" applyAlignment="1" applyProtection="1">
      <alignment horizontal="left"/>
      <protection locked="0"/>
    </xf>
    <xf numFmtId="0" fontId="5" fillId="0" borderId="22" xfId="0" applyFont="1" applyBorder="1" applyAlignment="1">
      <alignment horizontal="right"/>
    </xf>
    <xf numFmtId="0" fontId="0" fillId="0" borderId="18" xfId="0" applyBorder="1" applyAlignment="1">
      <alignment horizontal="right"/>
    </xf>
    <xf numFmtId="0" fontId="0" fillId="0" borderId="8" xfId="0" applyBorder="1" applyAlignment="1">
      <alignment horizontal="right"/>
    </xf>
    <xf numFmtId="15" fontId="0" fillId="0" borderId="22" xfId="0" applyNumberFormat="1" applyBorder="1" applyAlignment="1">
      <alignment horizontal="left"/>
    </xf>
    <xf numFmtId="0" fontId="0" fillId="0" borderId="18" xfId="0" applyBorder="1" applyAlignment="1">
      <alignment horizontal="left"/>
    </xf>
    <xf numFmtId="0" fontId="0" fillId="0" borderId="8" xfId="0" applyBorder="1" applyAlignment="1">
      <alignment horizontal="left"/>
    </xf>
    <xf numFmtId="0" fontId="10" fillId="0" borderId="18" xfId="0" applyFont="1" applyBorder="1" applyProtection="1">
      <protection locked="0"/>
    </xf>
    <xf numFmtId="168" fontId="10" fillId="0" borderId="18" xfId="0" applyNumberFormat="1" applyFont="1" applyBorder="1" applyAlignment="1" applyProtection="1">
      <alignment horizontal="center"/>
      <protection locked="0"/>
    </xf>
    <xf numFmtId="0" fontId="8" fillId="0" borderId="5" xfId="0" applyFont="1" applyBorder="1" applyAlignment="1" applyProtection="1">
      <alignment horizontal="left"/>
      <protection locked="0"/>
    </xf>
    <xf numFmtId="0" fontId="10" fillId="0" borderId="0" xfId="0" applyFont="1" applyAlignment="1" applyProtection="1">
      <alignment horizontal="right" vertical="center"/>
    </xf>
    <xf numFmtId="0" fontId="6" fillId="0" borderId="20" xfId="0" applyFont="1" applyBorder="1" applyAlignment="1">
      <alignment horizontal="center" vertical="top"/>
    </xf>
    <xf numFmtId="0" fontId="9" fillId="0" borderId="0" xfId="0" applyFont="1" applyAlignment="1">
      <alignment horizontal="center"/>
    </xf>
    <xf numFmtId="18" fontId="23" fillId="0" borderId="18" xfId="0" applyNumberFormat="1" applyFont="1" applyBorder="1" applyAlignment="1">
      <alignment horizontal="center" wrapText="1"/>
    </xf>
    <xf numFmtId="0" fontId="19" fillId="0" borderId="0" xfId="0" applyFont="1" applyAlignment="1">
      <alignment horizontal="center" vertical="top"/>
    </xf>
    <xf numFmtId="0" fontId="19" fillId="0" borderId="0" xfId="0" applyFont="1" applyAlignment="1">
      <alignment horizontal="center"/>
    </xf>
    <xf numFmtId="0" fontId="0" fillId="0" borderId="18" xfId="0" applyBorder="1" applyAlignment="1" applyProtection="1">
      <alignment horizontal="left"/>
      <protection locked="0"/>
    </xf>
    <xf numFmtId="0" fontId="29" fillId="0" borderId="18" xfId="0" applyFont="1" applyBorder="1" applyAlignment="1" applyProtection="1">
      <alignment horizontal="left"/>
      <protection locked="0"/>
    </xf>
    <xf numFmtId="0" fontId="7" fillId="0" borderId="18" xfId="0" applyFont="1" applyFill="1" applyBorder="1" applyAlignment="1" applyProtection="1">
      <alignment horizontal="center" wrapText="1"/>
      <protection locked="0"/>
    </xf>
    <xf numFmtId="168" fontId="10" fillId="0" borderId="18" xfId="0" applyNumberFormat="1" applyFont="1" applyBorder="1" applyAlignment="1" applyProtection="1">
      <alignment horizontal="left"/>
      <protection locked="0"/>
    </xf>
    <xf numFmtId="169" fontId="12" fillId="0" borderId="5" xfId="0" applyNumberFormat="1" applyFont="1" applyBorder="1" applyAlignment="1" applyProtection="1">
      <alignment horizontal="left"/>
      <protection locked="0"/>
    </xf>
    <xf numFmtId="168" fontId="10" fillId="0" borderId="18" xfId="0" applyNumberFormat="1" applyFont="1" applyBorder="1" applyAlignment="1">
      <alignment horizontal="center"/>
    </xf>
    <xf numFmtId="0" fontId="19" fillId="0" borderId="0" xfId="0" applyFont="1" applyBorder="1" applyAlignment="1">
      <alignment horizontal="center"/>
    </xf>
    <xf numFmtId="0" fontId="7" fillId="0" borderId="18" xfId="0" applyFont="1" applyFill="1" applyBorder="1" applyAlignment="1" applyProtection="1">
      <alignment horizontal="left" wrapText="1"/>
      <protection locked="0"/>
    </xf>
  </cellXfs>
  <cellStyles count="356">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Normal" xfId="0" builtinId="0"/>
    <cellStyle name="Normal 2" xfId="282" xr:uid="{00000000-0005-0000-0000-00005E010000}"/>
    <cellStyle name="Normal 3" xfId="283" xr:uid="{00000000-0005-0000-0000-00005F010000}"/>
    <cellStyle name="Normal 3 2" xfId="285" xr:uid="{00000000-0005-0000-0000-000060010000}"/>
    <cellStyle name="Normal 3 2 2" xfId="286" xr:uid="{00000000-0005-0000-0000-000061010000}"/>
    <cellStyle name="Normal 3 2 3" xfId="287" xr:uid="{00000000-0005-0000-0000-000062010000}"/>
    <cellStyle name="Normal 4" xfId="284" xr:uid="{00000000-0005-0000-0000-000063010000}"/>
  </cellStyles>
  <dxfs count="15">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
      <font>
        <color theme="0"/>
      </font>
      <fill>
        <patternFill patternType="none">
          <bgColor auto="1"/>
        </patternFill>
      </fill>
    </dxf>
    <dxf>
      <font>
        <color theme="0"/>
      </font>
      <fill>
        <patternFill patternType="none">
          <bgColor auto="1"/>
        </patternFill>
      </fill>
      <border>
        <left/>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11113477" y="485206"/>
          <a:ext cx="1992923" cy="1566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11099800" y="465993"/>
          <a:ext cx="2006600" cy="15662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7243A14B-4D96-E346-B75C-AEE5C2592045}"/>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660400</xdr:colOff>
      <xdr:row>1</xdr:row>
      <xdr:rowOff>224693</xdr:rowOff>
    </xdr:from>
    <xdr:to>
      <xdr:col>11</xdr:col>
      <xdr:colOff>406400</xdr:colOff>
      <xdr:row>5</xdr:row>
      <xdr:rowOff>275</xdr:rowOff>
    </xdr:to>
    <xdr:pic>
      <xdr:nvPicPr>
        <xdr:cNvPr id="2" name="Picture 1">
          <a:extLst>
            <a:ext uri="{FF2B5EF4-FFF2-40B4-BE49-F238E27FC236}">
              <a16:creationId xmlns:a16="http://schemas.microsoft.com/office/drawing/2014/main" id="{5EEAACE2-AD57-BD48-BB33-9A5E9F368AED}"/>
            </a:ext>
          </a:extLst>
        </xdr:cNvPr>
        <xdr:cNvPicPr>
          <a:picLocks noChangeAspect="1"/>
        </xdr:cNvPicPr>
      </xdr:nvPicPr>
      <xdr:blipFill>
        <a:blip xmlns:r="http://schemas.openxmlformats.org/officeDocument/2006/relationships" r:embed="rId1"/>
        <a:stretch>
          <a:fillRect/>
        </a:stretch>
      </xdr:blipFill>
      <xdr:spPr>
        <a:xfrm>
          <a:off x="11099800" y="491393"/>
          <a:ext cx="2006600" cy="156628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3"/>
  <sheetViews>
    <sheetView showGridLines="0" tabSelected="1" zoomScale="140" zoomScaleNormal="140" zoomScalePageLayoutView="135" workbookViewId="0">
      <selection activeCell="E23" sqref="E23:F23"/>
    </sheetView>
  </sheetViews>
  <sheetFormatPr baseColWidth="10" defaultColWidth="8.83203125" defaultRowHeight="13" x14ac:dyDescent="0.15"/>
  <cols>
    <col min="1" max="1" width="16.5" style="2" customWidth="1"/>
    <col min="2" max="2" width="10.5" bestFit="1" customWidth="1"/>
    <col min="3" max="3" width="8.83203125" style="3" hidden="1" customWidth="1"/>
    <col min="4" max="4" width="8.33203125" customWidth="1"/>
    <col min="5" max="5" width="17" bestFit="1" customWidth="1"/>
    <col min="6" max="6" width="18" bestFit="1" customWidth="1"/>
    <col min="7" max="7" width="23.5" customWidth="1"/>
    <col min="8" max="8" width="25.1640625" bestFit="1" customWidth="1"/>
    <col min="9" max="11" width="31.1640625" customWidth="1"/>
    <col min="12" max="15" width="17.83203125" hidden="1" customWidth="1"/>
  </cols>
  <sheetData>
    <row r="1" spans="1:26" ht="20" customHeight="1" x14ac:dyDescent="0.2">
      <c r="A1" s="117" t="s">
        <v>83</v>
      </c>
      <c r="B1" s="117"/>
      <c r="C1" s="117"/>
      <c r="D1" s="117"/>
      <c r="E1" s="117"/>
      <c r="F1" s="117"/>
      <c r="G1" s="117"/>
      <c r="H1" s="117"/>
      <c r="I1" s="94" t="s">
        <v>85</v>
      </c>
      <c r="Q1" s="116" t="s">
        <v>89</v>
      </c>
      <c r="R1" s="116"/>
      <c r="S1" s="116"/>
      <c r="T1" s="116"/>
      <c r="U1" s="116"/>
      <c r="V1" s="116"/>
      <c r="W1" s="116"/>
      <c r="X1" s="116"/>
      <c r="Y1" s="116"/>
      <c r="Z1" s="116"/>
    </row>
    <row r="2" spans="1:26" ht="13" customHeight="1" thickBot="1" x14ac:dyDescent="0.2">
      <c r="H2" s="95"/>
      <c r="I2" s="95"/>
      <c r="Q2" s="116"/>
      <c r="R2" s="116"/>
      <c r="S2" s="116"/>
      <c r="T2" s="116"/>
      <c r="U2" s="116"/>
      <c r="V2" s="116"/>
      <c r="W2" s="116"/>
      <c r="X2" s="116"/>
      <c r="Y2" s="116"/>
      <c r="Z2" s="116"/>
    </row>
    <row r="3" spans="1:26" s="110" customFormat="1" ht="13" customHeight="1" thickBot="1" x14ac:dyDescent="0.2">
      <c r="A3" s="107" t="s">
        <v>82</v>
      </c>
      <c r="B3" s="108">
        <v>44700</v>
      </c>
      <c r="C3" s="109"/>
      <c r="D3" s="109"/>
      <c r="G3" s="109"/>
      <c r="H3" s="111"/>
      <c r="I3" s="111"/>
      <c r="Q3" s="116"/>
      <c r="R3" s="116"/>
      <c r="S3" s="116"/>
      <c r="T3" s="116"/>
      <c r="U3" s="116"/>
      <c r="V3" s="116"/>
      <c r="W3" s="116"/>
      <c r="X3" s="116"/>
      <c r="Y3" s="116"/>
      <c r="Z3" s="116"/>
    </row>
    <row r="4" spans="1:26" ht="13" customHeight="1" x14ac:dyDescent="0.15">
      <c r="A4" s="91" t="s">
        <v>86</v>
      </c>
      <c r="B4" s="106">
        <v>44711</v>
      </c>
      <c r="C4" s="93"/>
      <c r="D4" s="93"/>
      <c r="G4" s="93"/>
      <c r="H4" s="95"/>
      <c r="I4" s="95"/>
      <c r="Q4" s="116"/>
      <c r="R4" s="116"/>
      <c r="S4" s="116"/>
      <c r="T4" s="116"/>
      <c r="U4" s="116"/>
      <c r="V4" s="116"/>
      <c r="W4" s="116"/>
      <c r="X4" s="116"/>
      <c r="Y4" s="116"/>
      <c r="Z4" s="116"/>
    </row>
    <row r="5" spans="1:26" ht="14" thickBot="1" x14ac:dyDescent="0.2">
      <c r="H5" s="95"/>
      <c r="I5" s="95"/>
      <c r="Q5" s="116"/>
      <c r="R5" s="116"/>
      <c r="S5" s="116"/>
      <c r="T5" s="116"/>
      <c r="U5" s="116"/>
      <c r="V5" s="116"/>
      <c r="W5" s="116"/>
      <c r="X5" s="116"/>
      <c r="Y5" s="116"/>
      <c r="Z5" s="116"/>
    </row>
    <row r="6" spans="1:26" ht="18" x14ac:dyDescent="0.2">
      <c r="A6" s="11" t="s">
        <v>18</v>
      </c>
      <c r="B6" s="69">
        <v>300</v>
      </c>
      <c r="C6">
        <f>IF(Brevet_Length&gt;=1200,Brevet_Length,IF(Brevet_Length&gt;=1000,1000,IF(Brevet_Length&gt;=600,600,IF(Brevet_Length&gt;=400,400,IF(Brevet_Length&gt;=300,300,IF(Brevet_Length&gt;=200,200,100))))))</f>
        <v>300</v>
      </c>
      <c r="J6" s="121" t="s">
        <v>63</v>
      </c>
      <c r="K6" s="121"/>
      <c r="Q6" s="73" t="s">
        <v>64</v>
      </c>
      <c r="R6" s="73"/>
      <c r="S6" s="73"/>
      <c r="T6" s="73"/>
      <c r="U6" s="73"/>
      <c r="V6" s="73"/>
      <c r="W6" s="73"/>
    </row>
    <row r="7" spans="1:26" ht="14" thickBot="1" x14ac:dyDescent="0.2">
      <c r="A7" s="12" t="s">
        <v>19</v>
      </c>
      <c r="B7" s="13">
        <f>IF(brevet=1200,90,IF(brevet=1000,75,IF(brevet=600,40,IF(brevet=400,27,IF(brevet=300,20,IF(brevet=200,13.5,IF(brevet=100,7,0)))))))</f>
        <v>20</v>
      </c>
      <c r="Q7" t="s">
        <v>65</v>
      </c>
    </row>
    <row r="8" spans="1:26" ht="19" thickBot="1" x14ac:dyDescent="0.25">
      <c r="A8" s="12" t="s">
        <v>20</v>
      </c>
      <c r="B8" s="118" t="s">
        <v>97</v>
      </c>
      <c r="C8" s="119"/>
      <c r="D8" s="119"/>
      <c r="E8" s="119"/>
      <c r="F8" s="119"/>
      <c r="G8" s="119"/>
      <c r="H8" s="120"/>
      <c r="I8" s="27"/>
      <c r="J8" s="27"/>
      <c r="K8" s="27"/>
      <c r="O8" s="28"/>
      <c r="P8" s="28"/>
      <c r="Q8" s="73" t="s">
        <v>66</v>
      </c>
    </row>
    <row r="9" spans="1:26" ht="18" x14ac:dyDescent="0.2">
      <c r="A9" s="12" t="s">
        <v>21</v>
      </c>
      <c r="B9" s="70">
        <v>5159</v>
      </c>
      <c r="C9" s="24"/>
      <c r="F9" s="25"/>
      <c r="G9" s="25"/>
      <c r="H9" s="25"/>
      <c r="I9" s="25"/>
      <c r="J9" s="25"/>
      <c r="K9" s="25"/>
      <c r="Q9" s="73" t="s">
        <v>67</v>
      </c>
    </row>
    <row r="10" spans="1:26" ht="18" x14ac:dyDescent="0.2">
      <c r="A10" s="48" t="s">
        <v>48</v>
      </c>
      <c r="B10" s="71">
        <v>44723</v>
      </c>
      <c r="Q10" s="73" t="s">
        <v>68</v>
      </c>
    </row>
    <row r="11" spans="1:26" ht="6" customHeight="1" x14ac:dyDescent="0.15">
      <c r="B11" s="96"/>
    </row>
    <row r="12" spans="1:26" ht="18" customHeight="1" thickBot="1" x14ac:dyDescent="0.25">
      <c r="A12" s="89" t="s">
        <v>22</v>
      </c>
      <c r="B12" s="90">
        <v>44723</v>
      </c>
      <c r="Q12" s="73" t="s">
        <v>76</v>
      </c>
    </row>
    <row r="13" spans="1:26" ht="19" thickBot="1" x14ac:dyDescent="0.25">
      <c r="A13" s="10" t="s">
        <v>23</v>
      </c>
      <c r="B13" s="72">
        <v>0.25</v>
      </c>
      <c r="D13" s="113" t="s">
        <v>81</v>
      </c>
      <c r="E13" s="114"/>
      <c r="F13" s="114"/>
      <c r="G13" s="114"/>
      <c r="H13" s="114"/>
      <c r="I13" s="122" t="s">
        <v>71</v>
      </c>
      <c r="J13" s="114"/>
      <c r="K13" s="115"/>
      <c r="Q13" s="73" t="s">
        <v>75</v>
      </c>
    </row>
    <row r="14" spans="1:26" ht="14" thickBot="1" x14ac:dyDescent="0.2">
      <c r="D14" s="6" t="s">
        <v>24</v>
      </c>
      <c r="E14" s="7" t="s">
        <v>25</v>
      </c>
      <c r="F14" s="63" t="s">
        <v>26</v>
      </c>
      <c r="G14" s="63" t="s">
        <v>27</v>
      </c>
      <c r="H14" s="64" t="s">
        <v>28</v>
      </c>
      <c r="I14" s="7" t="s">
        <v>60</v>
      </c>
      <c r="J14" s="7" t="s">
        <v>61</v>
      </c>
      <c r="K14" s="8" t="s">
        <v>62</v>
      </c>
      <c r="L14" t="s">
        <v>3</v>
      </c>
      <c r="M14" t="s">
        <v>4</v>
      </c>
      <c r="N14" t="s">
        <v>5</v>
      </c>
      <c r="O14" t="s">
        <v>6</v>
      </c>
      <c r="Q14" s="73" t="s">
        <v>69</v>
      </c>
    </row>
    <row r="15" spans="1:26" ht="17" customHeight="1" x14ac:dyDescent="0.15">
      <c r="C15" s="3" t="s">
        <v>7</v>
      </c>
      <c r="D15" s="112">
        <v>0</v>
      </c>
      <c r="E15" s="75" t="s">
        <v>98</v>
      </c>
      <c r="F15" s="76" t="s">
        <v>94</v>
      </c>
      <c r="G15" s="76" t="s">
        <v>99</v>
      </c>
      <c r="H15" s="77" t="s">
        <v>100</v>
      </c>
      <c r="I15" s="76"/>
      <c r="J15" s="76"/>
      <c r="K15" s="77"/>
      <c r="L15" s="4">
        <f>Start_date+Start_time</f>
        <v>44723.25</v>
      </c>
      <c r="M15" s="4">
        <f>L15+"1:00"</f>
        <v>44723.291666666664</v>
      </c>
      <c r="N15" s="5">
        <f>IF(ISBLANK(Distance),"",Open Control_1)</f>
        <v>44723.25</v>
      </c>
      <c r="O15" s="5">
        <f>IF(ISBLANK(Distance),"",Close Control_1)</f>
        <v>44723.291666666664</v>
      </c>
      <c r="Q15" s="73" t="s">
        <v>84</v>
      </c>
    </row>
    <row r="16" spans="1:26" ht="17" customHeight="1" x14ac:dyDescent="0.15">
      <c r="B16" s="82"/>
      <c r="C16" s="3" t="s">
        <v>8</v>
      </c>
      <c r="D16" s="26">
        <v>46.8</v>
      </c>
      <c r="E16" s="75" t="s">
        <v>101</v>
      </c>
      <c r="F16" s="76" t="s">
        <v>93</v>
      </c>
      <c r="G16" s="76" t="s">
        <v>102</v>
      </c>
      <c r="H16" s="77" t="s">
        <v>103</v>
      </c>
      <c r="I16" s="76" t="s">
        <v>111</v>
      </c>
      <c r="J16" s="76" t="s">
        <v>112</v>
      </c>
      <c r="K16" s="77" t="s">
        <v>114</v>
      </c>
      <c r="L16">
        <f>IF(ISBLANK(Distance),"",IF(Distance&gt;1000,(Distance-1000)/26+33.0847,(IF(Distance&gt;600,(Distance-600)/28+18.799,(IF(Distance&gt;400,(Distance-400)/30+12.1324,(IF(Distance&gt;200,(Distance-200)/32+5.8824,Distance/34))))))))</f>
        <v>1.3764705882352941</v>
      </c>
      <c r="M16">
        <f t="shared" ref="M16:M24" si="0">IF(ISBLANK(Distance),"",IF(Distance&gt;=brevet,IF(brevet&gt;1200,(brevet-1200)*75/1000+90,Max_time),IF(Distance&gt;1200,(Distance-1200)*75/1000+90,IF(Distance&gt;1000,(Distance-1000)/(1000/75)+75,IF(Distance&gt;600,(Distance-600)/(400/35)+40,IF(Distance&lt;=60,(Distance/20+1),Distance/15))))))</f>
        <v>3.34</v>
      </c>
      <c r="N16" s="5">
        <f>IF(ISBLANK(Distance),"",Open_time Control_1+(INT(Open)&amp;":"&amp;IF(ROUND(((Open-INT(Open))*60),0)&lt;10,0,"")&amp;ROUND(((Open-INT(Open))*60),0)))</f>
        <v>44723.307638888888</v>
      </c>
      <c r="O16" s="5">
        <f>IF(ISBLANK(Distance),"",Open_time Control_1+(INT(Close)&amp;":"&amp;IF(ROUND(((Close-INT(Close))*60),0)&lt;10,0,"")&amp;ROUND(((Close-INT(Close))*60),0)))</f>
        <v>44723.388888888891</v>
      </c>
      <c r="Q16" s="73" t="s">
        <v>70</v>
      </c>
    </row>
    <row r="17" spans="2:17" ht="17" customHeight="1" x14ac:dyDescent="0.15">
      <c r="B17" s="82"/>
      <c r="C17" s="3" t="s">
        <v>9</v>
      </c>
      <c r="D17" s="26">
        <v>106.5</v>
      </c>
      <c r="E17" s="75" t="s">
        <v>92</v>
      </c>
      <c r="F17" s="76" t="s">
        <v>93</v>
      </c>
      <c r="G17" s="76" t="s">
        <v>104</v>
      </c>
      <c r="H17" s="77" t="s">
        <v>105</v>
      </c>
      <c r="I17" s="76" t="s">
        <v>111</v>
      </c>
      <c r="J17" s="76" t="s">
        <v>113</v>
      </c>
      <c r="K17" s="77" t="s">
        <v>115</v>
      </c>
      <c r="L17">
        <f>IF(ISBLANK(Distance),"",IF(Distance&gt;1000,(Distance-1000)/26+33.0847,(IF(Distance&gt;600,(Distance-600)/28+18.799,(IF(Distance&gt;400,(Distance-400)/30+12.1324,(IF(Distance&gt;200,(Distance-200)/32+5.8824,Distance/34))))))))</f>
        <v>3.1323529411764706</v>
      </c>
      <c r="M17">
        <f t="shared" si="0"/>
        <v>7.1</v>
      </c>
      <c r="N17" s="5">
        <f>IF(ISBLANK(Distance),"",Open_time Control_1+(INT(Open)&amp;":"&amp;IF(ROUND(((Open-INT(Open))*60),0)&lt;10,0,"")&amp;ROUND(((Open-INT(Open))*60),0)))</f>
        <v>44723.380555555559</v>
      </c>
      <c r="O17" s="5">
        <f>IF(ISBLANK(Distance),"",Open_time Control_1+(INT(Close)&amp;":"&amp;IF(ROUND(((Close-INT(Close))*60),0)&lt;10,0,"")&amp;ROUND(((Close-INT(Close))*60),0)))</f>
        <v>44723.54583333333</v>
      </c>
    </row>
    <row r="18" spans="2:17" ht="17" customHeight="1" x14ac:dyDescent="0.15">
      <c r="B18" s="82"/>
      <c r="C18" s="3" t="s">
        <v>10</v>
      </c>
      <c r="D18" s="26">
        <v>172.7</v>
      </c>
      <c r="E18" s="75" t="s">
        <v>96</v>
      </c>
      <c r="F18" s="76" t="s">
        <v>106</v>
      </c>
      <c r="G18" s="76" t="s">
        <v>107</v>
      </c>
      <c r="H18" s="77" t="s">
        <v>108</v>
      </c>
      <c r="I18" s="76"/>
      <c r="J18" s="76"/>
      <c r="K18" s="77"/>
      <c r="L18">
        <f t="shared" ref="L18:L24" si="1">IF(ISBLANK(Distance),"",IF(Distance&gt;1000,(Distance-1000)/26+33.0847,(IF(Distance&gt;600,(Distance-600)/28+18.799,(IF(Distance&gt;400,(Distance-400)/30+12.1324,(IF(Distance&gt;200,(Distance-200)/32+5.8824,Distance/34))))))))</f>
        <v>5.0794117647058821</v>
      </c>
      <c r="M18">
        <f t="shared" si="0"/>
        <v>11.513333333333332</v>
      </c>
      <c r="N18" s="5">
        <f>IF(ISBLANK(Distance),"",Open_time Control_1+(INT(Open)&amp;":"&amp;IF(ROUND(((Open-INT(Open))*60),0)&lt;10,0,"")&amp;ROUND(((Open-INT(Open))*60),0)))</f>
        <v>44723.461805555555</v>
      </c>
      <c r="O18" s="5">
        <f>IF(ISBLANK(Distance),"",Open_time Control_1+(INT(Close)&amp;":"&amp;IF(ROUND(((Close-INT(Close))*60),0)&lt;10,0,"")&amp;ROUND(((Close-INT(Close))*60),0)))</f>
        <v>44723.729861111111</v>
      </c>
    </row>
    <row r="19" spans="2:17" ht="17" customHeight="1" x14ac:dyDescent="0.15">
      <c r="B19" s="82"/>
      <c r="C19" s="3" t="s">
        <v>11</v>
      </c>
      <c r="D19" s="26">
        <v>228.7</v>
      </c>
      <c r="E19" s="75" t="s">
        <v>95</v>
      </c>
      <c r="F19" s="76" t="s">
        <v>106</v>
      </c>
      <c r="G19" s="76" t="s">
        <v>109</v>
      </c>
      <c r="H19" s="77" t="s">
        <v>110</v>
      </c>
      <c r="I19" s="76"/>
      <c r="J19" s="76"/>
      <c r="K19" s="77"/>
      <c r="L19">
        <f t="shared" si="1"/>
        <v>6.7792749999999993</v>
      </c>
      <c r="M19">
        <f t="shared" si="0"/>
        <v>15.246666666666666</v>
      </c>
      <c r="N19" s="5">
        <f>IF(ISBLANK(Distance),"",Open_time Control_1+(INT(Open)&amp;":"&amp;IF(ROUND(((Open-INT(Open))*60),0)&lt;10,0,"")&amp;ROUND(((Open-INT(Open))*60),0)))</f>
        <v>44723.532638888886</v>
      </c>
      <c r="O19" s="5">
        <f>IF(ISBLANK(Distance),"",Open_time Control_1+(INT(Close)&amp;":"&amp;IF(ROUND(((Close-INT(Close))*60),0)&lt;10,0,"")&amp;ROUND(((Close-INT(Close))*60),0)))</f>
        <v>44723.885416666664</v>
      </c>
      <c r="Q19" s="87"/>
    </row>
    <row r="20" spans="2:17" ht="17" customHeight="1" x14ac:dyDescent="0.15">
      <c r="B20" s="82"/>
      <c r="C20" s="3" t="s">
        <v>12</v>
      </c>
      <c r="D20" s="26">
        <v>301.8</v>
      </c>
      <c r="E20" s="75" t="s">
        <v>98</v>
      </c>
      <c r="F20" s="76" t="s">
        <v>106</v>
      </c>
      <c r="G20" s="76" t="s">
        <v>99</v>
      </c>
      <c r="H20" s="77" t="s">
        <v>100</v>
      </c>
      <c r="I20" s="76"/>
      <c r="J20" s="76"/>
      <c r="K20" s="77"/>
      <c r="L20">
        <f t="shared" si="1"/>
        <v>9.0636499999999991</v>
      </c>
      <c r="M20">
        <f t="shared" si="0"/>
        <v>20</v>
      </c>
      <c r="N20" s="5">
        <f>IF(ISBLANK(Distance),"",Open_time Control_1+(INT(Open)&amp;":"&amp;IF(ROUND(((Open-INT(Open))*60),0)&lt;10,0,"")&amp;ROUND(((Open-INT(Open))*60),0)))</f>
        <v>44723.62777777778</v>
      </c>
      <c r="O20" s="5">
        <f>IF(ISBLANK(Distance),"",Open_time Control_1+(INT(Close)&amp;":"&amp;IF(ROUND(((Close-INT(Close))*60),0)&lt;10,0,"")&amp;ROUND(((Close-INT(Close))*60),0)))</f>
        <v>44724.083333333336</v>
      </c>
    </row>
    <row r="21" spans="2:17" ht="17" customHeight="1" x14ac:dyDescent="0.15">
      <c r="B21" s="82"/>
      <c r="C21" s="3" t="s">
        <v>13</v>
      </c>
      <c r="D21" s="26"/>
      <c r="E21" s="75"/>
      <c r="F21" s="76"/>
      <c r="G21" s="76"/>
      <c r="H21" s="77"/>
      <c r="I21" s="76"/>
      <c r="J21" s="76"/>
      <c r="K21" s="77"/>
      <c r="L21" t="str">
        <f t="shared" si="1"/>
        <v/>
      </c>
      <c r="M21" t="str">
        <f t="shared" si="0"/>
        <v/>
      </c>
      <c r="N21" s="5" t="str">
        <f>IF(ISBLANK(Distance),"",Open_time Control_1+(INT(Open)&amp;":"&amp;IF(ROUND(((Open-INT(Open))*60),0)&lt;10,0,"")&amp;ROUND(((Open-INT(Open))*60),0)))</f>
        <v/>
      </c>
      <c r="O21" s="5" t="str">
        <f>IF(ISBLANK(Distance),"",Open_time Control_1+(INT(Close)&amp;":"&amp;IF(ROUND(((Close-INT(Close))*60),0)&lt;10,0,"")&amp;ROUND(((Close-INT(Close))*60),0)))</f>
        <v/>
      </c>
    </row>
    <row r="22" spans="2:17" ht="17" customHeight="1" x14ac:dyDescent="0.15">
      <c r="B22" s="82"/>
      <c r="C22" s="3" t="s">
        <v>14</v>
      </c>
      <c r="D22" s="26"/>
      <c r="E22" s="75" t="s">
        <v>91</v>
      </c>
      <c r="F22" s="76" t="s">
        <v>94</v>
      </c>
      <c r="G22" s="76"/>
      <c r="H22" s="77"/>
      <c r="I22" s="76"/>
      <c r="J22" s="76"/>
      <c r="K22" s="77"/>
      <c r="L22" t="str">
        <f t="shared" si="1"/>
        <v/>
      </c>
      <c r="M22" t="str">
        <f t="shared" si="0"/>
        <v/>
      </c>
      <c r="N22" s="5" t="str">
        <f>IF(ISBLANK(Distance),"",Open_time Control_1+(INT(Open)&amp;":"&amp;IF(ROUND(((Open-INT(Open))*60),0)&lt;10,0,"")&amp;ROUND(((Open-INT(Open))*60),0)))</f>
        <v/>
      </c>
      <c r="O22" s="5" t="str">
        <f>IF(ISBLANK(Distance),"",Open_time Control_1+(INT(Close)&amp;":"&amp;IF(ROUND(((Close-INT(Close))*60),0)&lt;10,0,"")&amp;ROUND(((Close-INT(Close))*60),0)))</f>
        <v/>
      </c>
    </row>
    <row r="23" spans="2:17" ht="17" customHeight="1" x14ac:dyDescent="0.15">
      <c r="B23" s="82"/>
      <c r="C23" s="3" t="s">
        <v>15</v>
      </c>
      <c r="D23" s="26"/>
      <c r="E23" s="75"/>
      <c r="F23" s="76"/>
      <c r="G23" s="76"/>
      <c r="H23" s="77"/>
      <c r="I23" s="76"/>
      <c r="J23" s="76"/>
      <c r="K23" s="77"/>
      <c r="L23" t="str">
        <f t="shared" si="1"/>
        <v/>
      </c>
      <c r="M23" t="str">
        <f t="shared" si="0"/>
        <v/>
      </c>
      <c r="N23" s="5" t="str">
        <f>IF(ISBLANK(Distance),"",Open_time Control_1+(INT(Open)&amp;":"&amp;IF(ROUND(((Open-INT(Open))*60),0)&lt;10,0,"")&amp;ROUND(((Open-INT(Open))*60),0)))</f>
        <v/>
      </c>
      <c r="O23" s="5" t="str">
        <f>IF(ISBLANK(Distance),"",Open_time Control_1+(INT(Close)&amp;":"&amp;IF(ROUND(((Close-INT(Close))*60),0)&lt;10,0,"")&amp;ROUND(((Close-INT(Close))*60),0)))</f>
        <v/>
      </c>
    </row>
    <row r="24" spans="2:17" ht="17" customHeight="1" thickBot="1" x14ac:dyDescent="0.2">
      <c r="B24" s="82"/>
      <c r="C24" s="3" t="s">
        <v>16</v>
      </c>
      <c r="D24" s="52"/>
      <c r="E24" s="78"/>
      <c r="F24" s="79"/>
      <c r="G24" s="79"/>
      <c r="H24" s="80"/>
      <c r="I24" s="79"/>
      <c r="J24" s="79"/>
      <c r="K24" s="80"/>
      <c r="L24" t="str">
        <f t="shared" si="1"/>
        <v/>
      </c>
      <c r="M24" t="str">
        <f t="shared" si="0"/>
        <v/>
      </c>
      <c r="N24" s="5" t="str">
        <f>IF(ISBLANK(Distance),"",Open_time Control_1+(INT(Open)&amp;":"&amp;IF(ROUND(((Open-INT(Open))*60),0)&lt;10,0,"")&amp;ROUND(((Open-INT(Open))*60),0)))</f>
        <v/>
      </c>
      <c r="O24" s="5" t="str">
        <f>IF(ISBLANK(Distance),"",Open_time Control_1+(INT(Close)&amp;":"&amp;IF(ROUND(((Close-INT(Close))*60),0)&lt;10,0,"")&amp;ROUND(((Close-INT(Close))*60),0)))</f>
        <v/>
      </c>
    </row>
    <row r="25" spans="2:17" ht="7" customHeight="1" thickBot="1" x14ac:dyDescent="0.25">
      <c r="D25" s="65"/>
      <c r="E25" s="66"/>
      <c r="F25" s="67"/>
      <c r="G25" s="67"/>
      <c r="H25" s="67"/>
      <c r="I25" s="67"/>
      <c r="J25" s="67"/>
      <c r="K25" s="68"/>
      <c r="N25" s="5"/>
      <c r="O25" s="5"/>
    </row>
    <row r="26" spans="2:17" ht="14" thickBot="1" x14ac:dyDescent="0.2">
      <c r="D26" s="113" t="s">
        <v>77</v>
      </c>
      <c r="E26" s="114"/>
      <c r="F26" s="114"/>
      <c r="G26" s="114"/>
      <c r="H26" s="114"/>
      <c r="I26" s="122" t="s">
        <v>72</v>
      </c>
      <c r="J26" s="114"/>
      <c r="K26" s="115"/>
    </row>
    <row r="27" spans="2:17" ht="14" thickBot="1" x14ac:dyDescent="0.2">
      <c r="D27" s="6" t="s">
        <v>24</v>
      </c>
      <c r="E27" s="7" t="s">
        <v>25</v>
      </c>
      <c r="F27" s="63" t="s">
        <v>26</v>
      </c>
      <c r="G27" s="63" t="s">
        <v>27</v>
      </c>
      <c r="H27" s="64" t="s">
        <v>28</v>
      </c>
      <c r="I27" s="7" t="s">
        <v>60</v>
      </c>
      <c r="J27" s="7" t="s">
        <v>61</v>
      </c>
      <c r="K27" s="8" t="s">
        <v>62</v>
      </c>
      <c r="L27" t="s">
        <v>3</v>
      </c>
      <c r="M27" t="s">
        <v>4</v>
      </c>
      <c r="N27" t="s">
        <v>5</v>
      </c>
      <c r="O27" t="s">
        <v>6</v>
      </c>
    </row>
    <row r="28" spans="2:17" ht="17" customHeight="1" x14ac:dyDescent="0.15">
      <c r="D28" s="26"/>
      <c r="E28" s="75"/>
      <c r="F28" s="76"/>
      <c r="G28" s="76"/>
      <c r="H28" s="77"/>
      <c r="I28" s="76"/>
      <c r="J28" s="76"/>
      <c r="K28" s="77"/>
      <c r="L28" t="str">
        <f>IF(ISBLANK(D28),"",IF(D28&gt;1000,(D28-1000)/26+33.0847,(IF(D28&gt;600,(D28-600)/28+18.799,(IF(D28&gt;400,(D28-400)/30+12.1324,(IF(D28&gt;200,(D28-200)/32+5.8824,D28/34))))))))</f>
        <v/>
      </c>
      <c r="M28" t="str">
        <f t="shared" ref="M28:M37" si="2">IF(ISBLANK(D28),"",IF((D28=0),1,IF(D28&gt;=brevet,IF(brevet&gt;1200,(brevet-1200)*75/1000+90,Max_time),IF(D28&gt;1200,(D28-1200)*75/1000+90,IF(D28&gt;1000,(D28-1000)/(1000/75)+75,IF(D28&gt;600,(D28-600)/(400/35)+40,IF(D28&lt;=60,D28/20+1,D28/15)))))))</f>
        <v/>
      </c>
      <c r="N28" s="5" t="str">
        <f>IF(ISBLANK(D28),"",Open_time Control_1+(INT(L28)&amp;":"&amp;IF(ROUND(((L28-INT(L28))*60),0)&lt;10,0,"")&amp;ROUND(((L28-INT(L28))*60),0)))</f>
        <v/>
      </c>
      <c r="O28" s="5" t="str">
        <f>IF(ISBLANK(D28),"",Open_time Control_1+(INT(M28)&amp;":"&amp;IF(ROUND(((M28-INT(M28))*60),0)&lt;10,0,"")&amp;ROUND(((M28-INT(M28))*60),0)))</f>
        <v/>
      </c>
    </row>
    <row r="29" spans="2:17" ht="17" customHeight="1" x14ac:dyDescent="0.15">
      <c r="D29" s="26"/>
      <c r="E29" s="75"/>
      <c r="F29" s="76"/>
      <c r="G29" s="76"/>
      <c r="H29" s="77"/>
      <c r="I29" s="76"/>
      <c r="J29" s="76"/>
      <c r="K29" s="77"/>
      <c r="L29" t="str">
        <f t="shared" ref="L29:L37" si="3">IF(ISBLANK(D29),"",IF(D29&gt;1000,(D29-1000)/26+33.0847,(IF(D29&gt;600,(D29-600)/28+18.799,(IF(D29&gt;400,(D29-400)/30+12.1324,(IF(D29&gt;200,(D29-200)/32+5.8824,D29/34))))))))</f>
        <v/>
      </c>
      <c r="M29" t="str">
        <f t="shared" si="2"/>
        <v/>
      </c>
      <c r="N29" s="5" t="str">
        <f>IF(ISBLANK(D29),"",Open_time Control_1+(INT(L29)&amp;":"&amp;IF(ROUND(((L29-INT(L29))*60),0)&lt;10,0,"")&amp;ROUND(((L29-INT(L29))*60),0)))</f>
        <v/>
      </c>
      <c r="O29" s="5" t="str">
        <f>IF(ISBLANK(D29),"",Open_time Control_1+(INT(M29)&amp;":"&amp;IF(ROUND(((M29-INT(M29))*60),0)&lt;10,0,"")&amp;ROUND(((M29-INT(M29))*60),0)))</f>
        <v/>
      </c>
    </row>
    <row r="30" spans="2:17" ht="17" customHeight="1" x14ac:dyDescent="0.15">
      <c r="D30" s="26"/>
      <c r="E30" s="75"/>
      <c r="F30" s="76"/>
      <c r="G30" s="76"/>
      <c r="H30" s="77"/>
      <c r="I30" s="76"/>
      <c r="J30" s="76"/>
      <c r="K30" s="77"/>
      <c r="L30" t="str">
        <f t="shared" si="3"/>
        <v/>
      </c>
      <c r="M30" t="str">
        <f t="shared" si="2"/>
        <v/>
      </c>
      <c r="N30" s="5" t="str">
        <f>IF(ISBLANK(D30),"",Open_time Control_1+(INT(L30)&amp;":"&amp;IF(ROUND(((L30-INT(L30))*60),0)&lt;10,0,"")&amp;ROUND(((L30-INT(L30))*60),0)))</f>
        <v/>
      </c>
      <c r="O30" s="5" t="str">
        <f>IF(ISBLANK(D30),"",Open_time Control_1+(INT(M30)&amp;":"&amp;IF(ROUND(((M30-INT(M30))*60),0)&lt;10,0,"")&amp;ROUND(((M30-INT(M30))*60),0)))</f>
        <v/>
      </c>
    </row>
    <row r="31" spans="2:17" ht="17" customHeight="1" x14ac:dyDescent="0.15">
      <c r="D31" s="26"/>
      <c r="E31" s="75"/>
      <c r="F31" s="76"/>
      <c r="G31" s="76"/>
      <c r="H31" s="77"/>
      <c r="I31" s="76"/>
      <c r="J31" s="76"/>
      <c r="K31" s="77"/>
      <c r="L31" t="str">
        <f t="shared" si="3"/>
        <v/>
      </c>
      <c r="M31" t="str">
        <f t="shared" si="2"/>
        <v/>
      </c>
      <c r="N31" s="5" t="str">
        <f>IF(ISBLANK(D31),"",Open_time Control_1+(INT(L31)&amp;":"&amp;IF(ROUND(((L31-INT(L31))*60),0)&lt;10,0,"")&amp;ROUND(((L31-INT(L31))*60),0)))</f>
        <v/>
      </c>
      <c r="O31" s="5" t="str">
        <f>IF(ISBLANK(D31),"",Open_time Control_1+(INT(M31)&amp;":"&amp;IF(ROUND(((M31-INT(M31))*60),0)&lt;10,0,"")&amp;ROUND(((M31-INT(M31))*60),0)))</f>
        <v/>
      </c>
    </row>
    <row r="32" spans="2:17" ht="17" customHeight="1" x14ac:dyDescent="0.15">
      <c r="D32" s="26"/>
      <c r="E32" s="75"/>
      <c r="F32" s="76"/>
      <c r="G32" s="76"/>
      <c r="H32" s="77"/>
      <c r="I32" s="76"/>
      <c r="J32" s="76"/>
      <c r="K32" s="77"/>
      <c r="L32" t="str">
        <f t="shared" si="3"/>
        <v/>
      </c>
      <c r="M32" t="str">
        <f t="shared" si="2"/>
        <v/>
      </c>
      <c r="N32" s="5" t="str">
        <f>IF(ISBLANK(D32),"",Open_time Control_1+(INT(L32)&amp;":"&amp;IF(ROUND(((L32-INT(L32))*60),0)&lt;10,0,"")&amp;ROUND(((L32-INT(L32))*60),0)))</f>
        <v/>
      </c>
      <c r="O32" s="5" t="str">
        <f>IF(ISBLANK(D32),"",Open_time Control_1+(INT(M32)&amp;":"&amp;IF(ROUND(((M32-INT(M32))*60),0)&lt;10,0,"")&amp;ROUND(((M32-INT(M32))*60),0)))</f>
        <v/>
      </c>
    </row>
    <row r="33" spans="4:15" ht="17" customHeight="1" x14ac:dyDescent="0.15">
      <c r="D33" s="26"/>
      <c r="E33" s="75"/>
      <c r="F33" s="76"/>
      <c r="G33" s="76"/>
      <c r="H33" s="77"/>
      <c r="I33" s="76"/>
      <c r="J33" s="76"/>
      <c r="K33" s="77"/>
      <c r="L33" t="str">
        <f t="shared" si="3"/>
        <v/>
      </c>
      <c r="M33" t="str">
        <f t="shared" si="2"/>
        <v/>
      </c>
      <c r="N33" s="5" t="str">
        <f>IF(ISBLANK(D33),"",Open_time Control_1+(INT(L33)&amp;":"&amp;IF(ROUND(((L33-INT(L33))*60),0)&lt;10,0,"")&amp;ROUND(((L33-INT(L33))*60),0)))</f>
        <v/>
      </c>
      <c r="O33" s="5" t="str">
        <f>IF(ISBLANK(D33),"",Open_time Control_1+(INT(M33)&amp;":"&amp;IF(ROUND(((M33-INT(M33))*60),0)&lt;10,0,"")&amp;ROUND(((M33-INT(M33))*60),0)))</f>
        <v/>
      </c>
    </row>
    <row r="34" spans="4:15" ht="17" customHeight="1" x14ac:dyDescent="0.15">
      <c r="D34" s="26"/>
      <c r="E34" s="75"/>
      <c r="F34" s="76"/>
      <c r="G34" s="76"/>
      <c r="H34" s="77"/>
      <c r="I34" s="76"/>
      <c r="J34" s="76"/>
      <c r="K34" s="77"/>
      <c r="L34" t="str">
        <f t="shared" si="3"/>
        <v/>
      </c>
      <c r="M34" t="str">
        <f t="shared" si="2"/>
        <v/>
      </c>
      <c r="N34" s="5" t="str">
        <f>IF(ISBLANK(D34),"",Open_time Control_1+(INT(L34)&amp;":"&amp;IF(ROUND(((L34-INT(L34))*60),0)&lt;10,0,"")&amp;ROUND(((L34-INT(L34))*60),0)))</f>
        <v/>
      </c>
      <c r="O34" s="5" t="str">
        <f>IF(ISBLANK(D34),"",Open_time Control_1+(INT(M34)&amp;":"&amp;IF(ROUND(((M34-INT(M34))*60),0)&lt;10,0,"")&amp;ROUND(((M34-INT(M34))*60),0)))</f>
        <v/>
      </c>
    </row>
    <row r="35" spans="4:15" ht="17" customHeight="1" x14ac:dyDescent="0.15">
      <c r="D35" s="26"/>
      <c r="E35" s="75"/>
      <c r="F35" s="76"/>
      <c r="G35" s="76"/>
      <c r="H35" s="77"/>
      <c r="I35" s="76"/>
      <c r="J35" s="76"/>
      <c r="K35" s="77"/>
      <c r="L35" t="str">
        <f t="shared" si="3"/>
        <v/>
      </c>
      <c r="M35" t="str">
        <f t="shared" si="2"/>
        <v/>
      </c>
      <c r="N35" s="5" t="str">
        <f>IF(ISBLANK(D35),"",Open_time Control_1+(INT(L35)&amp;":"&amp;IF(ROUND(((L35-INT(L35))*60),0)&lt;10,0,"")&amp;ROUND(((L35-INT(L35))*60),0)))</f>
        <v/>
      </c>
      <c r="O35" s="5" t="str">
        <f>IF(ISBLANK(D35),"",Open_time Control_1+(INT(M35)&amp;":"&amp;IF(ROUND(((M35-INT(M35))*60),0)&lt;10,0,"")&amp;ROUND(((M35-INT(M35))*60),0)))</f>
        <v/>
      </c>
    </row>
    <row r="36" spans="4:15" ht="17" customHeight="1" x14ac:dyDescent="0.15">
      <c r="D36" s="26"/>
      <c r="E36" s="75"/>
      <c r="F36" s="76"/>
      <c r="G36" s="76"/>
      <c r="H36" s="77"/>
      <c r="I36" s="76"/>
      <c r="J36" s="76"/>
      <c r="K36" s="77"/>
      <c r="L36" t="str">
        <f t="shared" si="3"/>
        <v/>
      </c>
      <c r="M36" t="str">
        <f t="shared" si="2"/>
        <v/>
      </c>
      <c r="N36" s="5" t="str">
        <f>IF(ISBLANK(D36),"",Open_time Control_1+(INT(L36)&amp;":"&amp;IF(ROUND(((L36-INT(L36))*60),0)&lt;10,0,"")&amp;ROUND(((L36-INT(L36))*60),0)))</f>
        <v/>
      </c>
      <c r="O36" s="5" t="str">
        <f>IF(ISBLANK(D36),"",Open_time Control_1+(INT(M36)&amp;":"&amp;IF(ROUND(((M36-INT(M36))*60),0)&lt;10,0,"")&amp;ROUND(((M36-INT(M36))*60),0)))</f>
        <v/>
      </c>
    </row>
    <row r="37" spans="4:15" ht="17" customHeight="1" thickBot="1" x14ac:dyDescent="0.2">
      <c r="D37" s="52"/>
      <c r="E37" s="78"/>
      <c r="F37" s="79"/>
      <c r="G37" s="79"/>
      <c r="H37" s="80"/>
      <c r="I37" s="79"/>
      <c r="J37" s="79"/>
      <c r="K37" s="80"/>
      <c r="L37" t="str">
        <f t="shared" si="3"/>
        <v/>
      </c>
      <c r="M37" t="str">
        <f t="shared" si="2"/>
        <v/>
      </c>
      <c r="N37" s="5" t="str">
        <f>IF(ISBLANK(D37),"",Open_time Control_1+(INT(L37)&amp;":"&amp;IF(ROUND(((L37-INT(L37))*60),0)&lt;10,0,"")&amp;ROUND(((L37-INT(L37))*60),0)))</f>
        <v/>
      </c>
      <c r="O37" s="5" t="str">
        <f>IF(ISBLANK(D37),"",Open_time Control_1+(INT(M37)&amp;":"&amp;IF(ROUND(((M37-INT(M37))*60),0)&lt;10,0,"")&amp;ROUND(((M37-INT(M37))*60),0)))</f>
        <v/>
      </c>
    </row>
    <row r="38" spans="4:15" ht="7" customHeight="1" thickBot="1" x14ac:dyDescent="0.25">
      <c r="D38" s="65"/>
      <c r="E38" s="66"/>
      <c r="F38" s="67"/>
      <c r="G38" s="67"/>
      <c r="H38" s="67"/>
      <c r="I38" s="67"/>
      <c r="J38" s="67"/>
      <c r="K38" s="68"/>
      <c r="N38" s="5"/>
      <c r="O38" s="5"/>
    </row>
    <row r="39" spans="4:15" ht="14" thickBot="1" x14ac:dyDescent="0.2">
      <c r="D39" s="113" t="s">
        <v>79</v>
      </c>
      <c r="E39" s="114"/>
      <c r="F39" s="114"/>
      <c r="G39" s="114"/>
      <c r="H39" s="114"/>
      <c r="I39" s="113" t="s">
        <v>78</v>
      </c>
      <c r="J39" s="114"/>
      <c r="K39" s="115"/>
    </row>
    <row r="40" spans="4:15" ht="14" thickBot="1" x14ac:dyDescent="0.2">
      <c r="D40" s="6" t="s">
        <v>24</v>
      </c>
      <c r="E40" s="7" t="s">
        <v>25</v>
      </c>
      <c r="F40" s="63" t="s">
        <v>26</v>
      </c>
      <c r="G40" s="63" t="s">
        <v>27</v>
      </c>
      <c r="H40" s="88" t="s">
        <v>28</v>
      </c>
      <c r="I40" s="7" t="s">
        <v>60</v>
      </c>
      <c r="J40" s="7" t="s">
        <v>61</v>
      </c>
      <c r="K40" s="8" t="s">
        <v>62</v>
      </c>
      <c r="L40" t="s">
        <v>3</v>
      </c>
      <c r="M40" t="s">
        <v>4</v>
      </c>
      <c r="N40" t="s">
        <v>5</v>
      </c>
      <c r="O40" t="s">
        <v>6</v>
      </c>
    </row>
    <row r="41" spans="4:15" ht="17" customHeight="1" x14ac:dyDescent="0.15">
      <c r="D41" s="26"/>
      <c r="E41" s="75"/>
      <c r="F41" s="76"/>
      <c r="G41" s="76"/>
      <c r="H41" s="77"/>
      <c r="I41" s="76"/>
      <c r="J41" s="76"/>
      <c r="K41" s="77"/>
      <c r="L41" t="str">
        <f>IF(ISBLANK(D41),"",IF(D41&gt;1000,(D41-1000)/26+33.0847,(IF(D41&gt;600,(D41-600)/28+18.799,(IF(D41&gt;400,(D41-400)/30+12.1324,(IF(D41&gt;200,(D41-200)/32+5.8824,D41/34))))))))</f>
        <v/>
      </c>
      <c r="M41" t="str">
        <f t="shared" ref="M41:M50" si="4">IF(ISBLANK(D41),"",IF((D41=0),1,IF(D41&gt;=brevet,IF(brevet&gt;1200,(brevet-1200)*75/1000+90,Max_time),IF(D41&gt;1200,(D41-1200)*75/1000+90,IF(D41&gt;1000,(D41-1000)/(1000/75)+75,IF(D41&gt;600,(D41-600)/(400/35)+40,IF(D41&lt;=60,D41/20+1,D41/15)))))))</f>
        <v/>
      </c>
      <c r="N41" s="5" t="str">
        <f>IF(ISBLANK(D41),"",Open_time Control_1+(INT(L41)&amp;":"&amp;IF(ROUND(((L41-INT(L41))*60),0)&lt;10,0,"")&amp;ROUND(((L41-INT(L41))*60),0)))</f>
        <v/>
      </c>
      <c r="O41" s="5" t="str">
        <f>IF(ISBLANK(D41),"",Open_time Control_1+(INT(M41)&amp;":"&amp;IF(ROUND(((M41-INT(M41))*60),0)&lt;10,0,"")&amp;ROUND(((M41-INT(M41))*60),0)))</f>
        <v/>
      </c>
    </row>
    <row r="42" spans="4:15" ht="17" customHeight="1" x14ac:dyDescent="0.15">
      <c r="D42" s="26"/>
      <c r="E42" s="75"/>
      <c r="F42" s="76"/>
      <c r="G42" s="76"/>
      <c r="H42" s="77"/>
      <c r="I42" s="76"/>
      <c r="J42" s="76"/>
      <c r="K42" s="77"/>
      <c r="L42" t="str">
        <f t="shared" ref="L42:L50" si="5">IF(ISBLANK(D42),"",IF(D42&gt;1000,(D42-1000)/26+33.0847,(IF(D42&gt;600,(D42-600)/28+18.799,(IF(D42&gt;400,(D42-400)/30+12.1324,(IF(D42&gt;200,(D42-200)/32+5.8824,D42/34))))))))</f>
        <v/>
      </c>
      <c r="M42" t="str">
        <f t="shared" si="4"/>
        <v/>
      </c>
      <c r="N42" s="5" t="str">
        <f>IF(ISBLANK(D42),"",Open_time Control_1+(INT(L42)&amp;":"&amp;IF(ROUND(((L42-INT(L42))*60),0)&lt;10,0,"")&amp;ROUND(((L42-INT(L42))*60),0)))</f>
        <v/>
      </c>
      <c r="O42" s="5" t="str">
        <f>IF(ISBLANK(D42),"",Open_time Control_1+(INT(M42)&amp;":"&amp;IF(ROUND(((M42-INT(M42))*60),0)&lt;10,0,"")&amp;ROUND(((M42-INT(M42))*60),0)))</f>
        <v/>
      </c>
    </row>
    <row r="43" spans="4:15" ht="17" customHeight="1" x14ac:dyDescent="0.15">
      <c r="D43" s="26"/>
      <c r="E43" s="75"/>
      <c r="F43" s="76"/>
      <c r="G43" s="76"/>
      <c r="H43" s="77"/>
      <c r="I43" s="76"/>
      <c r="J43" s="76"/>
      <c r="K43" s="77"/>
      <c r="L43" t="str">
        <f t="shared" si="5"/>
        <v/>
      </c>
      <c r="M43" t="str">
        <f t="shared" si="4"/>
        <v/>
      </c>
      <c r="N43" s="5" t="str">
        <f>IF(ISBLANK(D43),"",Open_time Control_1+(INT(L43)&amp;":"&amp;IF(ROUND(((L43-INT(L43))*60),0)&lt;10,0,"")&amp;ROUND(((L43-INT(L43))*60),0)))</f>
        <v/>
      </c>
      <c r="O43" s="5" t="str">
        <f>IF(ISBLANK(D43),"",Open_time Control_1+(INT(M43)&amp;":"&amp;IF(ROUND(((M43-INT(M43))*60),0)&lt;10,0,"")&amp;ROUND(((M43-INT(M43))*60),0)))</f>
        <v/>
      </c>
    </row>
    <row r="44" spans="4:15" ht="17" customHeight="1" x14ac:dyDescent="0.15">
      <c r="D44" s="26"/>
      <c r="E44" s="75"/>
      <c r="F44" s="76"/>
      <c r="G44" s="76"/>
      <c r="H44" s="77"/>
      <c r="I44" s="76"/>
      <c r="J44" s="76"/>
      <c r="K44" s="77"/>
      <c r="L44" t="str">
        <f t="shared" si="5"/>
        <v/>
      </c>
      <c r="M44" t="str">
        <f t="shared" si="4"/>
        <v/>
      </c>
      <c r="N44" s="5" t="str">
        <f>IF(ISBLANK(D44),"",Open_time Control_1+(INT(L44)&amp;":"&amp;IF(ROUND(((L44-INT(L44))*60),0)&lt;10,0,"")&amp;ROUND(((L44-INT(L44))*60),0)))</f>
        <v/>
      </c>
      <c r="O44" s="5" t="str">
        <f>IF(ISBLANK(D44),"",Open_time Control_1+(INT(M44)&amp;":"&amp;IF(ROUND(((M44-INT(M44))*60),0)&lt;10,0,"")&amp;ROUND(((M44-INT(M44))*60),0)))</f>
        <v/>
      </c>
    </row>
    <row r="45" spans="4:15" ht="17" customHeight="1" x14ac:dyDescent="0.15">
      <c r="D45" s="26"/>
      <c r="E45" s="75"/>
      <c r="F45" s="76"/>
      <c r="G45" s="76"/>
      <c r="H45" s="77"/>
      <c r="I45" s="76"/>
      <c r="J45" s="76"/>
      <c r="K45" s="77"/>
      <c r="L45" t="str">
        <f t="shared" si="5"/>
        <v/>
      </c>
      <c r="M45" t="str">
        <f t="shared" si="4"/>
        <v/>
      </c>
      <c r="N45" s="5" t="str">
        <f>IF(ISBLANK(D45),"",Open_time Control_1+(INT(L45)&amp;":"&amp;IF(ROUND(((L45-INT(L45))*60),0)&lt;10,0,"")&amp;ROUND(((L45-INT(L45))*60),0)))</f>
        <v/>
      </c>
      <c r="O45" s="5" t="str">
        <f>IF(ISBLANK(D45),"",Open_time Control_1+(INT(M45)&amp;":"&amp;IF(ROUND(((M45-INT(M45))*60),0)&lt;10,0,"")&amp;ROUND(((M45-INT(M45))*60),0)))</f>
        <v/>
      </c>
    </row>
    <row r="46" spans="4:15" ht="17" customHeight="1" x14ac:dyDescent="0.15">
      <c r="D46" s="26"/>
      <c r="E46" s="75"/>
      <c r="F46" s="76"/>
      <c r="G46" s="76"/>
      <c r="H46" s="77"/>
      <c r="I46" s="76"/>
      <c r="J46" s="76"/>
      <c r="K46" s="77"/>
      <c r="L46" t="str">
        <f t="shared" si="5"/>
        <v/>
      </c>
      <c r="M46" t="str">
        <f t="shared" si="4"/>
        <v/>
      </c>
      <c r="N46" s="5" t="str">
        <f>IF(ISBLANK(D46),"",Open_time Control_1+(INT(L46)&amp;":"&amp;IF(ROUND(((L46-INT(L46))*60),0)&lt;10,0,"")&amp;ROUND(((L46-INT(L46))*60),0)))</f>
        <v/>
      </c>
      <c r="O46" s="5" t="str">
        <f>IF(ISBLANK(D46),"",Open_time Control_1+(INT(M46)&amp;":"&amp;IF(ROUND(((M46-INT(M46))*60),0)&lt;10,0,"")&amp;ROUND(((M46-INT(M46))*60),0)))</f>
        <v/>
      </c>
    </row>
    <row r="47" spans="4:15" ht="17" customHeight="1" x14ac:dyDescent="0.15">
      <c r="D47" s="26"/>
      <c r="E47" s="75"/>
      <c r="F47" s="76"/>
      <c r="G47" s="76"/>
      <c r="H47" s="77"/>
      <c r="I47" s="76"/>
      <c r="J47" s="76"/>
      <c r="K47" s="77"/>
      <c r="L47" t="str">
        <f t="shared" si="5"/>
        <v/>
      </c>
      <c r="M47" t="str">
        <f t="shared" si="4"/>
        <v/>
      </c>
      <c r="N47" s="5" t="str">
        <f>IF(ISBLANK(D47),"",Open_time Control_1+(INT(L47)&amp;":"&amp;IF(ROUND(((L47-INT(L47))*60),0)&lt;10,0,"")&amp;ROUND(((L47-INT(L47))*60),0)))</f>
        <v/>
      </c>
      <c r="O47" s="5" t="str">
        <f>IF(ISBLANK(D47),"",Open_time Control_1+(INT(M47)&amp;":"&amp;IF(ROUND(((M47-INT(M47))*60),0)&lt;10,0,"")&amp;ROUND(((M47-INT(M47))*60),0)))</f>
        <v/>
      </c>
    </row>
    <row r="48" spans="4:15" ht="17" customHeight="1" x14ac:dyDescent="0.15">
      <c r="D48" s="26"/>
      <c r="E48" s="75"/>
      <c r="F48" s="76"/>
      <c r="G48" s="76"/>
      <c r="H48" s="77"/>
      <c r="I48" s="76"/>
      <c r="J48" s="76"/>
      <c r="K48" s="77"/>
      <c r="L48" t="str">
        <f t="shared" si="5"/>
        <v/>
      </c>
      <c r="M48" t="str">
        <f t="shared" si="4"/>
        <v/>
      </c>
      <c r="N48" s="5" t="str">
        <f>IF(ISBLANK(D48),"",Open_time Control_1+(INT(L48)&amp;":"&amp;IF(ROUND(((L48-INT(L48))*60),0)&lt;10,0,"")&amp;ROUND(((L48-INT(L48))*60),0)))</f>
        <v/>
      </c>
      <c r="O48" s="5" t="str">
        <f>IF(ISBLANK(D48),"",Open_time Control_1+(INT(M48)&amp;":"&amp;IF(ROUND(((M48-INT(M48))*60),0)&lt;10,0,"")&amp;ROUND(((M48-INT(M48))*60),0)))</f>
        <v/>
      </c>
    </row>
    <row r="49" spans="4:15" ht="17" customHeight="1" x14ac:dyDescent="0.15">
      <c r="D49" s="26"/>
      <c r="E49" s="75"/>
      <c r="F49" s="76"/>
      <c r="G49" s="76"/>
      <c r="H49" s="77"/>
      <c r="I49" s="76"/>
      <c r="J49" s="76"/>
      <c r="K49" s="77"/>
      <c r="L49" t="str">
        <f t="shared" si="5"/>
        <v/>
      </c>
      <c r="M49" t="str">
        <f t="shared" si="4"/>
        <v/>
      </c>
      <c r="N49" s="5" t="str">
        <f>IF(ISBLANK(D49),"",Open_time Control_1+(INT(L49)&amp;":"&amp;IF(ROUND(((L49-INT(L49))*60),0)&lt;10,0,"")&amp;ROUND(((L49-INT(L49))*60),0)))</f>
        <v/>
      </c>
      <c r="O49" s="5" t="str">
        <f>IF(ISBLANK(D49),"",Open_time Control_1+(INT(M49)&amp;":"&amp;IF(ROUND(((M49-INT(M49))*60),0)&lt;10,0,"")&amp;ROUND(((M49-INT(M49))*60),0)))</f>
        <v/>
      </c>
    </row>
    <row r="50" spans="4:15" ht="17" customHeight="1" thickBot="1" x14ac:dyDescent="0.2">
      <c r="D50" s="52"/>
      <c r="E50" s="78"/>
      <c r="F50" s="79"/>
      <c r="G50" s="79"/>
      <c r="H50" s="80"/>
      <c r="I50" s="79"/>
      <c r="J50" s="79"/>
      <c r="K50" s="80"/>
      <c r="L50" t="str">
        <f t="shared" si="5"/>
        <v/>
      </c>
      <c r="M50" t="str">
        <f t="shared" si="4"/>
        <v/>
      </c>
      <c r="N50" s="5" t="str">
        <f>IF(ISBLANK(D50),"",Open_time Control_1+(INT(L50)&amp;":"&amp;IF(ROUND(((L50-INT(L50))*60),0)&lt;10,0,"")&amp;ROUND(((L50-INT(L50))*60),0)))</f>
        <v/>
      </c>
      <c r="O50" s="5" t="str">
        <f>IF(ISBLANK(D50),"",Open_time Control_1+(INT(M50)&amp;":"&amp;IF(ROUND(((M50-INT(M50))*60),0)&lt;10,0,"")&amp;ROUND(((M50-INT(M50))*60),0)))</f>
        <v/>
      </c>
    </row>
    <row r="51" spans="4:15" ht="7" customHeight="1" thickBot="1" x14ac:dyDescent="0.25">
      <c r="D51" s="65"/>
      <c r="E51" s="66"/>
      <c r="F51" s="67"/>
      <c r="G51" s="67"/>
      <c r="H51" s="67"/>
      <c r="I51" s="67"/>
      <c r="J51" s="67"/>
      <c r="K51" s="68"/>
      <c r="N51" s="5"/>
      <c r="O51" s="5"/>
    </row>
    <row r="52" spans="4:15" ht="14" thickBot="1" x14ac:dyDescent="0.2">
      <c r="D52" s="113" t="s">
        <v>87</v>
      </c>
      <c r="E52" s="114"/>
      <c r="F52" s="114"/>
      <c r="G52" s="114"/>
      <c r="H52" s="114"/>
      <c r="I52" s="113" t="s">
        <v>88</v>
      </c>
      <c r="J52" s="114"/>
      <c r="K52" s="115"/>
    </row>
    <row r="53" spans="4:15" ht="14" thickBot="1" x14ac:dyDescent="0.2">
      <c r="D53" s="6" t="s">
        <v>24</v>
      </c>
      <c r="E53" s="7" t="s">
        <v>25</v>
      </c>
      <c r="F53" s="63" t="s">
        <v>26</v>
      </c>
      <c r="G53" s="63" t="s">
        <v>27</v>
      </c>
      <c r="H53" s="88" t="s">
        <v>28</v>
      </c>
      <c r="I53" s="7" t="s">
        <v>60</v>
      </c>
      <c r="J53" s="7" t="s">
        <v>61</v>
      </c>
      <c r="K53" s="8" t="s">
        <v>62</v>
      </c>
      <c r="L53" t="s">
        <v>3</v>
      </c>
      <c r="M53" t="s">
        <v>4</v>
      </c>
      <c r="N53" t="s">
        <v>5</v>
      </c>
      <c r="O53" t="s">
        <v>6</v>
      </c>
    </row>
    <row r="54" spans="4:15" ht="17" customHeight="1" x14ac:dyDescent="0.15">
      <c r="D54" s="26"/>
      <c r="E54" s="75"/>
      <c r="F54" s="76"/>
      <c r="G54" s="76"/>
      <c r="H54" s="77"/>
      <c r="I54" s="76"/>
      <c r="J54" s="76"/>
      <c r="K54" s="77"/>
      <c r="L54" t="str">
        <f>IF(ISBLANK(D54),"",IF(D54&gt;1000,(D54-1000)/26+33.0847,(IF(D54&gt;600,(D54-600)/28+18.799,(IF(D54&gt;400,(D54-400)/30+12.1324,(IF(D54&gt;200,(D54-200)/32+5.8824,D54/34))))))))</f>
        <v/>
      </c>
      <c r="M54" t="str">
        <f t="shared" ref="M54:M63" si="6">IF(ISBLANK(D54),"",IF((D54=0),1,IF(D54&gt;=brevet,IF(brevet&gt;1200,(brevet-1200)*75/1000+90,Max_time),IF(D54&gt;1200,(D54-1200)*75/1000+90,IF(D54&gt;1000,(D54-1000)/(1000/75)+75,IF(D54&gt;600,(D54-600)/(400/35)+40,IF(D54&lt;=60,D54/20+1,D54/15)))))))</f>
        <v/>
      </c>
      <c r="N54" s="5" t="str">
        <f>IF(ISBLANK(D54),"",Open_time Control_1+(INT(L54)&amp;":"&amp;IF(ROUND(((L54-INT(L54))*60),0)&lt;10,0,"")&amp;ROUND(((L54-INT(L54))*60),0)))</f>
        <v/>
      </c>
      <c r="O54" s="5" t="str">
        <f>IF(ISBLANK(D54),"",Open_time Control_1+(INT(M54)&amp;":"&amp;IF(ROUND(((M54-INT(M54))*60),0)&lt;10,0,"")&amp;ROUND(((M54-INT(M54))*60),0)))</f>
        <v/>
      </c>
    </row>
    <row r="55" spans="4:15" ht="17" customHeight="1" x14ac:dyDescent="0.15">
      <c r="D55" s="26"/>
      <c r="E55" s="75"/>
      <c r="F55" s="76"/>
      <c r="G55" s="76"/>
      <c r="H55" s="77"/>
      <c r="I55" s="76"/>
      <c r="J55" s="76"/>
      <c r="K55" s="77"/>
      <c r="L55" t="str">
        <f t="shared" ref="L55:L63" si="7">IF(ISBLANK(D55),"",IF(D55&gt;1000,(D55-1000)/26+33.0847,(IF(D55&gt;600,(D55-600)/28+18.799,(IF(D55&gt;400,(D55-400)/30+12.1324,(IF(D55&gt;200,(D55-200)/32+5.8824,D55/34))))))))</f>
        <v/>
      </c>
      <c r="M55" t="str">
        <f t="shared" si="6"/>
        <v/>
      </c>
      <c r="N55" s="5" t="str">
        <f>IF(ISBLANK(D55),"",Open_time Control_1+(INT(L55)&amp;":"&amp;IF(ROUND(((L55-INT(L55))*60),0)&lt;10,0,"")&amp;ROUND(((L55-INT(L55))*60),0)))</f>
        <v/>
      </c>
      <c r="O55" s="5" t="str">
        <f>IF(ISBLANK(D55),"",Open_time Control_1+(INT(M55)&amp;":"&amp;IF(ROUND(((M55-INT(M55))*60),0)&lt;10,0,"")&amp;ROUND(((M55-INT(M55))*60),0)))</f>
        <v/>
      </c>
    </row>
    <row r="56" spans="4:15" ht="17" customHeight="1" x14ac:dyDescent="0.15">
      <c r="D56" s="26"/>
      <c r="E56" s="75"/>
      <c r="F56" s="76"/>
      <c r="G56" s="76"/>
      <c r="H56" s="77"/>
      <c r="I56" s="76"/>
      <c r="J56" s="76"/>
      <c r="K56" s="77"/>
      <c r="L56" t="str">
        <f t="shared" si="7"/>
        <v/>
      </c>
      <c r="M56" t="str">
        <f t="shared" si="6"/>
        <v/>
      </c>
      <c r="N56" s="5" t="str">
        <f>IF(ISBLANK(D56),"",Open_time Control_1+(INT(L56)&amp;":"&amp;IF(ROUND(((L56-INT(L56))*60),0)&lt;10,0,"")&amp;ROUND(((L56-INT(L56))*60),0)))</f>
        <v/>
      </c>
      <c r="O56" s="5" t="str">
        <f>IF(ISBLANK(D56),"",Open_time Control_1+(INT(M56)&amp;":"&amp;IF(ROUND(((M56-INT(M56))*60),0)&lt;10,0,"")&amp;ROUND(((M56-INT(M56))*60),0)))</f>
        <v/>
      </c>
    </row>
    <row r="57" spans="4:15" ht="17" customHeight="1" x14ac:dyDescent="0.15">
      <c r="D57" s="26"/>
      <c r="E57" s="75"/>
      <c r="F57" s="76"/>
      <c r="G57" s="76"/>
      <c r="H57" s="77"/>
      <c r="I57" s="76"/>
      <c r="J57" s="76"/>
      <c r="K57" s="77"/>
      <c r="L57" t="str">
        <f t="shared" si="7"/>
        <v/>
      </c>
      <c r="M57" t="str">
        <f t="shared" si="6"/>
        <v/>
      </c>
      <c r="N57" s="5" t="str">
        <f>IF(ISBLANK(D57),"",Open_time Control_1+(INT(L57)&amp;":"&amp;IF(ROUND(((L57-INT(L57))*60),0)&lt;10,0,"")&amp;ROUND(((L57-INT(L57))*60),0)))</f>
        <v/>
      </c>
      <c r="O57" s="5" t="str">
        <f>IF(ISBLANK(D57),"",Open_time Control_1+(INT(M57)&amp;":"&amp;IF(ROUND(((M57-INT(M57))*60),0)&lt;10,0,"")&amp;ROUND(((M57-INT(M57))*60),0)))</f>
        <v/>
      </c>
    </row>
    <row r="58" spans="4:15" ht="17" customHeight="1" x14ac:dyDescent="0.15">
      <c r="D58" s="26"/>
      <c r="E58" s="75"/>
      <c r="F58" s="76"/>
      <c r="G58" s="76"/>
      <c r="H58" s="77"/>
      <c r="I58" s="76"/>
      <c r="J58" s="76"/>
      <c r="K58" s="77"/>
      <c r="L58" t="str">
        <f t="shared" si="7"/>
        <v/>
      </c>
      <c r="M58" t="str">
        <f t="shared" si="6"/>
        <v/>
      </c>
      <c r="N58" s="5" t="str">
        <f>IF(ISBLANK(D58),"",Open_time Control_1+(INT(L58)&amp;":"&amp;IF(ROUND(((L58-INT(L58))*60),0)&lt;10,0,"")&amp;ROUND(((L58-INT(L58))*60),0)))</f>
        <v/>
      </c>
      <c r="O58" s="5" t="str">
        <f>IF(ISBLANK(D58),"",Open_time Control_1+(INT(M58)&amp;":"&amp;IF(ROUND(((M58-INT(M58))*60),0)&lt;10,0,"")&amp;ROUND(((M58-INT(M58))*60),0)))</f>
        <v/>
      </c>
    </row>
    <row r="59" spans="4:15" ht="17" customHeight="1" x14ac:dyDescent="0.15">
      <c r="D59" s="26"/>
      <c r="E59" s="75"/>
      <c r="F59" s="76"/>
      <c r="G59" s="76"/>
      <c r="H59" s="77"/>
      <c r="I59" s="76"/>
      <c r="J59" s="76"/>
      <c r="K59" s="77"/>
      <c r="L59" t="str">
        <f t="shared" si="7"/>
        <v/>
      </c>
      <c r="M59" t="str">
        <f t="shared" si="6"/>
        <v/>
      </c>
      <c r="N59" s="5" t="str">
        <f>IF(ISBLANK(D59),"",Open_time Control_1+(INT(L59)&amp;":"&amp;IF(ROUND(((L59-INT(L59))*60),0)&lt;10,0,"")&amp;ROUND(((L59-INT(L59))*60),0)))</f>
        <v/>
      </c>
      <c r="O59" s="5" t="str">
        <f>IF(ISBLANK(D59),"",Open_time Control_1+(INT(M59)&amp;":"&amp;IF(ROUND(((M59-INT(M59))*60),0)&lt;10,0,"")&amp;ROUND(((M59-INT(M59))*60),0)))</f>
        <v/>
      </c>
    </row>
    <row r="60" spans="4:15" ht="17" customHeight="1" x14ac:dyDescent="0.15">
      <c r="D60" s="26"/>
      <c r="E60" s="75"/>
      <c r="F60" s="76"/>
      <c r="G60" s="76"/>
      <c r="H60" s="77"/>
      <c r="I60" s="76"/>
      <c r="J60" s="76"/>
      <c r="K60" s="77"/>
      <c r="L60" t="str">
        <f t="shared" si="7"/>
        <v/>
      </c>
      <c r="M60" t="str">
        <f t="shared" si="6"/>
        <v/>
      </c>
      <c r="N60" s="5" t="str">
        <f>IF(ISBLANK(D60),"",Open_time Control_1+(INT(L60)&amp;":"&amp;IF(ROUND(((L60-INT(L60))*60),0)&lt;10,0,"")&amp;ROUND(((L60-INT(L60))*60),0)))</f>
        <v/>
      </c>
      <c r="O60" s="5" t="str">
        <f>IF(ISBLANK(D60),"",Open_time Control_1+(INT(M60)&amp;":"&amp;IF(ROUND(((M60-INT(M60))*60),0)&lt;10,0,"")&amp;ROUND(((M60-INT(M60))*60),0)))</f>
        <v/>
      </c>
    </row>
    <row r="61" spans="4:15" ht="17" customHeight="1" x14ac:dyDescent="0.15">
      <c r="D61" s="26"/>
      <c r="E61" s="75"/>
      <c r="F61" s="76"/>
      <c r="G61" s="76"/>
      <c r="H61" s="77"/>
      <c r="I61" s="76"/>
      <c r="J61" s="76"/>
      <c r="K61" s="77"/>
      <c r="L61" t="str">
        <f t="shared" si="7"/>
        <v/>
      </c>
      <c r="M61" t="str">
        <f t="shared" si="6"/>
        <v/>
      </c>
      <c r="N61" s="5" t="str">
        <f>IF(ISBLANK(D61),"",Open_time Control_1+(INT(L61)&amp;":"&amp;IF(ROUND(((L61-INT(L61))*60),0)&lt;10,0,"")&amp;ROUND(((L61-INT(L61))*60),0)))</f>
        <v/>
      </c>
      <c r="O61" s="5" t="str">
        <f>IF(ISBLANK(D61),"",Open_time Control_1+(INT(M61)&amp;":"&amp;IF(ROUND(((M61-INT(M61))*60),0)&lt;10,0,"")&amp;ROUND(((M61-INT(M61))*60),0)))</f>
        <v/>
      </c>
    </row>
    <row r="62" spans="4:15" ht="17" customHeight="1" x14ac:dyDescent="0.15">
      <c r="D62" s="26"/>
      <c r="E62" s="75"/>
      <c r="F62" s="76"/>
      <c r="G62" s="76"/>
      <c r="H62" s="77"/>
      <c r="I62" s="76"/>
      <c r="J62" s="76"/>
      <c r="K62" s="77"/>
      <c r="L62" t="str">
        <f t="shared" si="7"/>
        <v/>
      </c>
      <c r="M62" t="str">
        <f t="shared" si="6"/>
        <v/>
      </c>
      <c r="N62" s="5" t="str">
        <f>IF(ISBLANK(D62),"",Open_time Control_1+(INT(L62)&amp;":"&amp;IF(ROUND(((L62-INT(L62))*60),0)&lt;10,0,"")&amp;ROUND(((L62-INT(L62))*60),0)))</f>
        <v/>
      </c>
      <c r="O62" s="5" t="str">
        <f>IF(ISBLANK(D62),"",Open_time Control_1+(INT(M62)&amp;":"&amp;IF(ROUND(((M62-INT(M62))*60),0)&lt;10,0,"")&amp;ROUND(((M62-INT(M62))*60),0)))</f>
        <v/>
      </c>
    </row>
    <row r="63" spans="4:15" ht="17" customHeight="1" thickBot="1" x14ac:dyDescent="0.2">
      <c r="D63" s="52"/>
      <c r="E63" s="78"/>
      <c r="F63" s="79"/>
      <c r="G63" s="79"/>
      <c r="H63" s="80"/>
      <c r="I63" s="79"/>
      <c r="J63" s="79"/>
      <c r="K63" s="80"/>
      <c r="L63" t="str">
        <f t="shared" si="7"/>
        <v/>
      </c>
      <c r="M63" t="str">
        <f t="shared" si="6"/>
        <v/>
      </c>
      <c r="N63" s="5" t="str">
        <f>IF(ISBLANK(D63),"",Open_time Control_1+(INT(L63)&amp;":"&amp;IF(ROUND(((L63-INT(L63))*60),0)&lt;10,0,"")&amp;ROUND(((L63-INT(L63))*60),0)))</f>
        <v/>
      </c>
      <c r="O63" s="5" t="str">
        <f>IF(ISBLANK(D63),"",Open_time Control_1+(INT(M63)&amp;":"&amp;IF(ROUND(((M63-INT(M63))*60),0)&lt;10,0,"")&amp;ROUND(((M63-INT(M63))*60),0)))</f>
        <v/>
      </c>
    </row>
  </sheetData>
  <sheetProtection algorithmName="SHA-512" hashValue="sz3elNu4T2SGt0gr11IEu+otL/qDj0+cRQOg5grO+EMS3cvX9jEYQhKlOsnmaW3CfXHAQH4v3+PlV9k/s7BEdw==" saltValue="kLgQi0wha9upuDMg+a1WEA==" spinCount="100000" sheet="1" objects="1" scenarios="1" formatCells="0" selectLockedCells="1"/>
  <mergeCells count="12">
    <mergeCell ref="D52:H52"/>
    <mergeCell ref="I52:K52"/>
    <mergeCell ref="Q1:Z5"/>
    <mergeCell ref="A1:H1"/>
    <mergeCell ref="B8:H8"/>
    <mergeCell ref="D39:H39"/>
    <mergeCell ref="I39:K39"/>
    <mergeCell ref="J6:K6"/>
    <mergeCell ref="D13:H13"/>
    <mergeCell ref="D26:H26"/>
    <mergeCell ref="I13:K13"/>
    <mergeCell ref="I26:K26"/>
  </mergeCells>
  <phoneticPr fontId="16" type="noConversion"/>
  <pageMargins left="0.75" right="0.75" top="1" bottom="1" header="0.5" footer="0.5"/>
  <pageSetup orientation="portrait" horizontalDpi="4294967292" verticalDpi="4294967292"/>
  <headerFooter>
    <oddHeader>&amp;A</oddHeader>
    <oddFooter>Page &amp;P</oddFooter>
  </headerFooter>
  <legacy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0"/>
  <sheetViews>
    <sheetView showGridLines="0" zoomScaleNormal="100" zoomScalePageLayoutView="92" workbookViewId="0">
      <selection activeCell="F10" sqref="F10"/>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0" t="s">
        <v>80</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f>Control_1 Open_time</f>
        <v>44723.25</v>
      </c>
      <c r="C3" s="30">
        <f>Control_1 Close_time</f>
        <v>44723.291666666664</v>
      </c>
      <c r="D3" s="31"/>
      <c r="E3" s="32" t="str">
        <f>IF(ISBLANK(Control_1 Establishment_1),"",Control_1 Establishment_1)</f>
        <v>STAFFED</v>
      </c>
      <c r="F3" s="97" t="str">
        <f>IF(ISBLANK('Control Entry'!I15),"",'Control Entry'!I15)</f>
        <v/>
      </c>
      <c r="G3" s="98"/>
      <c r="H3" s="27" t="s">
        <v>29</v>
      </c>
      <c r="K3" s="14"/>
      <c r="O3" s="149" t="s">
        <v>33</v>
      </c>
      <c r="P3" s="149"/>
      <c r="Q3" s="149"/>
      <c r="R3" s="149"/>
      <c r="S3" s="85" t="str">
        <f>IF('Control Entry'!D28=0,"","#1")</f>
        <v/>
      </c>
      <c r="U3" s="42"/>
    </row>
    <row r="4" spans="1:22" ht="36" customHeight="1" x14ac:dyDescent="0.2">
      <c r="A4" s="38">
        <f>IF(ISBLANK(Distance Control_1),"",Control_1 Distance)</f>
        <v>0</v>
      </c>
      <c r="B4" s="39">
        <f>Control_1 Open_time</f>
        <v>44723.25</v>
      </c>
      <c r="C4" s="39">
        <f>Control_1 Close_time</f>
        <v>44723.291666666664</v>
      </c>
      <c r="D4" s="40" t="str">
        <f>IF(ISBLANK(Locale Control_1),"",Locale Control_1)</f>
        <v>PARKSVILLE</v>
      </c>
      <c r="E4" s="32" t="str">
        <f>IF(ISBLANK(Control_1 Establishment_2),"",Control_1 Establishment_2)</f>
        <v>Shell Gas</v>
      </c>
      <c r="F4" s="97" t="str">
        <f>IF(ISBLANK('Control Entry'!J15),"",'Control Entry'!J15)</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f>Control_1 Open_time</f>
        <v>44723.25</v>
      </c>
      <c r="C5" s="34">
        <f>Control_1 Close_time</f>
        <v>44723.291666666664</v>
      </c>
      <c r="D5" s="35"/>
      <c r="E5" s="36" t="str">
        <f>IF(ISBLANK(Control_1 Establishment_3),"",Control_1 Establishment_3)</f>
        <v>370 Island Hwy E</v>
      </c>
      <c r="F5" s="102" t="str">
        <f>IF(ISBLANK('Control Entry'!K15),"",'Control Entry'!K15)</f>
        <v/>
      </c>
      <c r="G5" s="101"/>
      <c r="H5" s="27" t="s">
        <v>29</v>
      </c>
      <c r="K5" s="14"/>
      <c r="M5" s="15"/>
      <c r="N5" s="147" t="s">
        <v>47</v>
      </c>
      <c r="O5" s="147"/>
      <c r="P5" s="61">
        <f>IF(ISBLANK(Brevet_Number),"",Brevet_Number)</f>
        <v>5159</v>
      </c>
      <c r="Q5" s="62"/>
      <c r="R5" s="135">
        <f>IF(ISBLANK('Control Entry'!$B10),"",'Control Entry'!$B10)</f>
        <v>44723</v>
      </c>
      <c r="S5" s="135"/>
      <c r="T5" s="135"/>
      <c r="U5" s="135"/>
      <c r="V5" s="44"/>
    </row>
    <row r="6" spans="1:22" ht="36" customHeight="1" x14ac:dyDescent="0.2">
      <c r="A6" s="29"/>
      <c r="B6" s="30">
        <f>Control_2 Open_time</f>
        <v>44723.307638888888</v>
      </c>
      <c r="C6" s="30">
        <f>Control_2 Close_time</f>
        <v>44723.388888888891</v>
      </c>
      <c r="D6" s="37"/>
      <c r="E6" s="32" t="str">
        <f>IF(ISBLANK(Control_2 Establishment_1),"",Control_2 Establishment_1)</f>
        <v>INFORMATION</v>
      </c>
      <c r="F6" s="97" t="str">
        <f>IF(ISBLANK('Control Entry'!I16),"",'Control Entry'!I16)</f>
        <v>Sign post at end of road</v>
      </c>
      <c r="G6" s="98"/>
      <c r="H6" s="27" t="s">
        <v>29</v>
      </c>
      <c r="K6" s="14"/>
      <c r="L6" s="152" t="str">
        <f>IF(ISBLANK(Brevet_Description),"",Brevet_Description)</f>
        <v>Parks and Rivers</v>
      </c>
      <c r="M6" s="152"/>
      <c r="N6" s="152"/>
      <c r="O6" s="152"/>
      <c r="P6" s="152"/>
      <c r="Q6" s="152"/>
      <c r="R6" s="152"/>
      <c r="S6" s="152"/>
      <c r="T6" s="152"/>
      <c r="U6" s="152"/>
    </row>
    <row r="7" spans="1:22" ht="36" customHeight="1" x14ac:dyDescent="0.2">
      <c r="A7" s="38">
        <f>IF(ISBLANK(Distance Control_2),"",Control_2 Distance)</f>
        <v>46.8</v>
      </c>
      <c r="B7" s="39">
        <f>Control_2 Open_time</f>
        <v>44723.307638888888</v>
      </c>
      <c r="C7" s="39">
        <f>Control_2 Close_time</f>
        <v>44723.388888888891</v>
      </c>
      <c r="D7" s="40" t="str">
        <f>IF(ISBLANK(Locale Control_2),"",Locale Control_2)</f>
        <v>DEEP BAY</v>
      </c>
      <c r="E7" s="53" t="str">
        <f>IF(ISBLANK(Control_2 Establishment_2),"",Control_2 Establishment_2)</f>
        <v>Mapleguard Point</v>
      </c>
      <c r="F7" s="99" t="str">
        <f>IF(ISBLANK('Control Entry'!J16),"",'Control Entry'!J16)</f>
        <v>Where is no fires sign?</v>
      </c>
      <c r="G7" s="98"/>
      <c r="H7" s="27" t="s">
        <v>29</v>
      </c>
      <c r="J7" s="84"/>
      <c r="L7" s="84"/>
    </row>
    <row r="8" spans="1:22" ht="36" customHeight="1" thickBot="1" x14ac:dyDescent="0.25">
      <c r="A8" s="33"/>
      <c r="B8" s="34">
        <f>Control_2 Open_time</f>
        <v>44723.307638888888</v>
      </c>
      <c r="C8" s="34">
        <f>Control_2 Close_time</f>
        <v>44723.388888888891</v>
      </c>
      <c r="D8" s="35"/>
      <c r="E8" s="83" t="str">
        <f>IF(ISBLANK(Control_2 Establishment_3),"",Control_2 Establishment_3)</f>
        <v>5550 Deep Bay Dr</v>
      </c>
      <c r="F8" s="100" t="str">
        <f>IF(ISBLANK('Control Entry'!K16),"",'Control Entry'!K16)</f>
        <v>TOP                   BOTTOM</v>
      </c>
      <c r="G8" s="101"/>
      <c r="H8" s="27" t="s">
        <v>29</v>
      </c>
      <c r="J8" s="15" t="s">
        <v>34</v>
      </c>
      <c r="L8" s="137"/>
      <c r="M8" s="137"/>
      <c r="N8" s="137"/>
      <c r="O8" s="137"/>
      <c r="P8" s="137"/>
      <c r="Q8" s="137"/>
      <c r="R8" s="28"/>
      <c r="S8" s="45" t="s">
        <v>46</v>
      </c>
      <c r="T8" s="144"/>
      <c r="U8" s="144"/>
    </row>
    <row r="9" spans="1:22" ht="36" customHeight="1" thickBot="1" x14ac:dyDescent="0.3">
      <c r="A9" s="29"/>
      <c r="B9" s="30">
        <f>Control_3 Open_time</f>
        <v>44723.380555555559</v>
      </c>
      <c r="C9" s="30">
        <f>Control_3 Close_time</f>
        <v>44723.54583333333</v>
      </c>
      <c r="D9" s="37"/>
      <c r="E9" s="32" t="str">
        <f>IF(ISBLANK(Control_3 Establishment_1),"",Control_3 Establishment_1)</f>
        <v>INFORMATION</v>
      </c>
      <c r="F9" s="97" t="str">
        <f>IF(ISBLANK('Control Entry'!I17),"",'Control Entry'!I17)</f>
        <v>Sign post at end of road</v>
      </c>
      <c r="G9" s="98"/>
      <c r="H9" s="27" t="s">
        <v>29</v>
      </c>
      <c r="J9" s="15" t="s">
        <v>35</v>
      </c>
      <c r="K9" s="15"/>
      <c r="L9" s="154" t="s">
        <v>54</v>
      </c>
      <c r="M9" s="154"/>
      <c r="N9" s="154"/>
      <c r="O9" s="154"/>
      <c r="P9" s="154"/>
      <c r="Q9" s="154"/>
      <c r="R9" s="154"/>
      <c r="S9" s="154"/>
      <c r="T9" s="154"/>
      <c r="U9" s="154"/>
    </row>
    <row r="10" spans="1:22" ht="36" customHeight="1" thickBot="1" x14ac:dyDescent="0.3">
      <c r="A10" s="38">
        <f>IF(ISBLANK(Distance Control_3),"",Control_3 Distance)</f>
        <v>106.5</v>
      </c>
      <c r="B10" s="39">
        <f>Control_3 Open_time</f>
        <v>44723.380555555559</v>
      </c>
      <c r="C10" s="39">
        <f>Control_3 Close_time</f>
        <v>44723.54583333333</v>
      </c>
      <c r="D10" s="40" t="str">
        <f>IF(ISBLANK(Locale Control_3),"",Locale Control_3)</f>
        <v>LITTLE RIVER</v>
      </c>
      <c r="E10" s="32" t="str">
        <f>IF(ISBLANK(Control_3 Establishment_2),"",Control_3 Establishment_2)</f>
        <v>Beach Access</v>
      </c>
      <c r="F10" s="99" t="str">
        <f>IF(ISBLANK('Control Entry'!J17),"",'Control Entry'!J17)</f>
        <v>Where is post? (facing water)</v>
      </c>
      <c r="G10" s="98"/>
      <c r="H10" s="27" t="s">
        <v>29</v>
      </c>
      <c r="J10" s="15"/>
      <c r="K10" s="15"/>
      <c r="L10" s="146"/>
      <c r="M10" s="146"/>
      <c r="N10" s="146"/>
      <c r="O10" s="146"/>
      <c r="P10" s="146"/>
      <c r="Q10" s="146"/>
      <c r="R10" s="146"/>
      <c r="S10" s="146"/>
      <c r="T10" s="146"/>
      <c r="U10" s="146"/>
    </row>
    <row r="11" spans="1:22" ht="36" customHeight="1" thickBot="1" x14ac:dyDescent="0.3">
      <c r="A11" s="33"/>
      <c r="B11" s="34">
        <f>Control_3 Open_time</f>
        <v>44723.380555555559</v>
      </c>
      <c r="C11" s="34">
        <f>Control_3 Close_time</f>
        <v>44723.54583333333</v>
      </c>
      <c r="D11" s="35"/>
      <c r="E11" s="36" t="str">
        <f>IF(ISBLANK(Control_3 Establishment_3),"",Control_3 Establishment_3)</f>
        <v>2200 Singing Sands Rd</v>
      </c>
      <c r="F11" s="102" t="str">
        <f>IF(ISBLANK('Control Entry'!K17),"",'Control Entry'!K17)</f>
        <v>LEFT       BOTH        RIGHT</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f>Control_4 Open_time</f>
        <v>44723.461805555555</v>
      </c>
      <c r="C12" s="30">
        <f>Control_4 Close_time</f>
        <v>44723.729861111111</v>
      </c>
      <c r="D12" s="37"/>
      <c r="E12" s="32" t="str">
        <f>IF(ISBLANK(Control_4 Establishment_1),"",Control_4 Establishment_1)</f>
        <v>BUSINESS</v>
      </c>
      <c r="F12" s="97" t="str">
        <f>IF(ISBLANK('Control Entry'!I18),"",'Control Entry'!I18)</f>
        <v/>
      </c>
      <c r="G12" s="98"/>
      <c r="H12" s="27" t="s">
        <v>29</v>
      </c>
      <c r="J12" s="15" t="s">
        <v>38</v>
      </c>
      <c r="K12" s="15"/>
      <c r="L12" s="146"/>
      <c r="M12" s="146"/>
      <c r="N12" s="146"/>
      <c r="O12" s="18"/>
      <c r="P12" s="18" t="s">
        <v>39</v>
      </c>
      <c r="Q12" s="18"/>
      <c r="R12" s="18"/>
      <c r="S12" s="133"/>
      <c r="T12" s="133"/>
      <c r="U12" s="133"/>
    </row>
    <row r="13" spans="1:22" ht="36" customHeight="1" thickBot="1" x14ac:dyDescent="0.3">
      <c r="A13" s="38">
        <f>IF(ISBLANK(Distance Control_4),"",Control_4 Distance)</f>
        <v>172.7</v>
      </c>
      <c r="B13" s="39">
        <f>Control_4 Open_time</f>
        <v>44723.461805555555</v>
      </c>
      <c r="C13" s="39">
        <f>Control_4 Close_time</f>
        <v>44723.729861111111</v>
      </c>
      <c r="D13" s="40" t="str">
        <f>IF(ISBLANK(Locale Control_4),"",Locale Control_4)</f>
        <v>CAMPBELL RIVER</v>
      </c>
      <c r="E13" s="32" t="str">
        <f>IF(ISBLANK(Control_4 Establishment_2),"",Control_4 Establishment_2)</f>
        <v>Your choice</v>
      </c>
      <c r="F13" s="97" t="str">
        <f>IF(ISBLANK('Control Entry'!J18),"",'Control Entry'!J18)</f>
        <v/>
      </c>
      <c r="G13" s="98"/>
      <c r="H13" s="27" t="s">
        <v>29</v>
      </c>
      <c r="J13" s="15" t="s">
        <v>40</v>
      </c>
      <c r="L13" s="157"/>
      <c r="M13" s="157"/>
      <c r="N13" s="157"/>
      <c r="O13" s="19"/>
      <c r="P13" s="18" t="s">
        <v>41</v>
      </c>
      <c r="Q13" s="18"/>
      <c r="R13" s="134"/>
      <c r="S13" s="134"/>
      <c r="T13" s="134"/>
      <c r="U13" s="134"/>
    </row>
    <row r="14" spans="1:22" ht="36" customHeight="1" thickBot="1" x14ac:dyDescent="0.25">
      <c r="A14" s="33"/>
      <c r="B14" s="34">
        <f>Control_4 Open_time</f>
        <v>44723.461805555555</v>
      </c>
      <c r="C14" s="34">
        <f>Control_4 Close_time</f>
        <v>44723.729861111111</v>
      </c>
      <c r="D14" s="35"/>
      <c r="E14" s="36" t="str">
        <f>IF(ISBLANK(Control_4 Establishment_3),"",Control_4 Establishment_3)</f>
        <v>Discovery Harbour Centre</v>
      </c>
      <c r="F14" s="102" t="str">
        <f>IF(ISBLANK('Control Entry'!K18),"",'Control Entry'!K18)</f>
        <v/>
      </c>
      <c r="G14" s="101"/>
      <c r="H14" s="27" t="s">
        <v>29</v>
      </c>
    </row>
    <row r="15" spans="1:22" ht="36" customHeight="1" x14ac:dyDescent="0.2">
      <c r="A15" s="29"/>
      <c r="B15" s="30">
        <f>Control_5 Open_time</f>
        <v>44723.532638888886</v>
      </c>
      <c r="C15" s="30">
        <f>Control_5 Close_time</f>
        <v>44723.885416666664</v>
      </c>
      <c r="D15" s="37"/>
      <c r="E15" s="32" t="str">
        <f>IF(ISBLANK(Control_5 Establishment_1),"",Control_5 Establishment_1)</f>
        <v>BUSINESS</v>
      </c>
      <c r="F15" s="97" t="str">
        <f>IF(ISBLANK('Control Entry'!I19),"",'Control Entry'!I19)</f>
        <v/>
      </c>
      <c r="G15" s="98"/>
      <c r="H15" s="27" t="s">
        <v>29</v>
      </c>
      <c r="J15" s="15"/>
      <c r="L15" s="151" t="s">
        <v>58</v>
      </c>
      <c r="M15" s="151"/>
      <c r="N15" s="151"/>
      <c r="O15" s="151"/>
      <c r="P15" s="151"/>
      <c r="Q15" s="151"/>
      <c r="R15" s="151"/>
      <c r="S15" s="151"/>
      <c r="T15" s="151"/>
      <c r="U15" s="151"/>
    </row>
    <row r="16" spans="1:22" ht="36" customHeight="1" thickBot="1" x14ac:dyDescent="0.25">
      <c r="A16" s="38">
        <f>IF(ISBLANK(Distance Control_5),"",Control_5 Distance)</f>
        <v>228.7</v>
      </c>
      <c r="B16" s="39">
        <f>Control_5 Open_time</f>
        <v>44723.532638888886</v>
      </c>
      <c r="C16" s="39">
        <f>Control_5 Close_time</f>
        <v>44723.885416666664</v>
      </c>
      <c r="D16" s="40" t="str">
        <f>IF(ISBLANK(Locale Control_5),"",Locale Control_5)</f>
        <v>CUMBERLAND</v>
      </c>
      <c r="E16" s="32" t="str">
        <f>IF(ISBLANK(Control_5 Establishment_2),"",Control_5 Establishment_2)</f>
        <v>GasNGo</v>
      </c>
      <c r="F16" s="97" t="str">
        <f>IF(ISBLANK('Control Entry'!J19),"",'Control Entry'!J19)</f>
        <v/>
      </c>
      <c r="G16" s="98"/>
      <c r="H16" s="27" t="s">
        <v>29</v>
      </c>
      <c r="L16" s="155"/>
      <c r="M16" s="155"/>
      <c r="N16" s="155"/>
      <c r="O16" s="155"/>
      <c r="P16" s="155"/>
      <c r="Q16" s="155"/>
      <c r="R16" s="155"/>
      <c r="S16" s="155"/>
      <c r="T16" s="155"/>
      <c r="U16" s="155"/>
    </row>
    <row r="17" spans="1:22" ht="36" customHeight="1" thickBot="1" x14ac:dyDescent="0.25">
      <c r="A17" s="33"/>
      <c r="B17" s="34">
        <f>Control_5 Open_time</f>
        <v>44723.532638888886</v>
      </c>
      <c r="C17" s="34">
        <f>Control_5 Close_time</f>
        <v>44723.885416666664</v>
      </c>
      <c r="D17" s="35"/>
      <c r="E17" s="36" t="str">
        <f>IF(ISBLANK(Control_5 Establishment_3),"",Control_5 Establishment_3)</f>
        <v>4690 Cumberland Rd</v>
      </c>
      <c r="F17" s="102" t="str">
        <f>IF(ISBLANK('Control Entry'!K19),"",'Control Entry'!K19)</f>
        <v/>
      </c>
      <c r="G17" s="101"/>
      <c r="H17" s="27" t="s">
        <v>29</v>
      </c>
    </row>
    <row r="18" spans="1:22" ht="36" customHeight="1" x14ac:dyDescent="0.2">
      <c r="A18" s="29"/>
      <c r="B18" s="30">
        <f>Control_6 Open_time</f>
        <v>44723.62777777778</v>
      </c>
      <c r="C18" s="30">
        <f>Control_6 Close_time</f>
        <v>44724.083333333336</v>
      </c>
      <c r="D18" s="37"/>
      <c r="E18" s="32" t="str">
        <f>IF(ISBLANK(Control_6 Establishment_1),"",Control_6 Establishment_1)</f>
        <v>BUSINESS</v>
      </c>
      <c r="F18" s="97" t="str">
        <f>IF(ISBLANK('Control Entry'!I20),"",'Control Entry'!I20)</f>
        <v/>
      </c>
      <c r="G18" s="98"/>
      <c r="H18" s="27" t="s">
        <v>29</v>
      </c>
    </row>
    <row r="19" spans="1:22" ht="36" customHeight="1" x14ac:dyDescent="0.2">
      <c r="A19" s="38">
        <f>IF(ISBLANK(Distance Control_6),"",Control_6 Distance)</f>
        <v>301.8</v>
      </c>
      <c r="B19" s="39">
        <f>Control_6 Open_time</f>
        <v>44723.62777777778</v>
      </c>
      <c r="C19" s="39">
        <f>Control_6 Close_time</f>
        <v>44724.083333333336</v>
      </c>
      <c r="D19" s="40" t="str">
        <f>IF(ISBLANK(Locale Control_6),"",Locale Control_6)</f>
        <v>PARKSVILLE</v>
      </c>
      <c r="E19" s="32" t="str">
        <f>IF(ISBLANK(Control_6 Establishment_2),"",Control_6 Establishment_2)</f>
        <v>Shell Gas</v>
      </c>
      <c r="F19" s="97" t="str">
        <f>IF(ISBLANK('Control Entry'!J20),"",'Control Entry'!J20)</f>
        <v/>
      </c>
      <c r="G19" s="98"/>
      <c r="H19" s="27" t="s">
        <v>29</v>
      </c>
    </row>
    <row r="20" spans="1:22" ht="36" customHeight="1" thickBot="1" x14ac:dyDescent="0.25">
      <c r="A20" s="33"/>
      <c r="B20" s="34">
        <f>Control_6 Open_time</f>
        <v>44723.62777777778</v>
      </c>
      <c r="C20" s="34">
        <f>Control_6 Close_time</f>
        <v>44724.083333333336</v>
      </c>
      <c r="D20" s="35"/>
      <c r="E20" s="36" t="str">
        <f>IF(ISBLANK(Control_6 Establishment_3),"",Control_6 Establishment_3)</f>
        <v>370 Island Hwy E</v>
      </c>
      <c r="F20" s="102" t="str">
        <f>IF(ISBLANK('Control Entry'!K20),"",'Control Entry'!K20)</f>
        <v/>
      </c>
      <c r="G20" s="101"/>
      <c r="H20" s="27" t="s">
        <v>29</v>
      </c>
      <c r="J20" s="59" t="s">
        <v>44</v>
      </c>
      <c r="K20" s="59"/>
      <c r="L20" s="145">
        <f>IF(ISBLANK('Control Entry'!B12),"",'Control Entry'!B12)</f>
        <v>44723</v>
      </c>
      <c r="M20" s="145"/>
      <c r="N20" s="145"/>
      <c r="P20" s="18" t="s">
        <v>0</v>
      </c>
      <c r="Q20" s="18"/>
      <c r="S20" s="150">
        <f>IF(ISBLANK('Control Entry'!B13),"",'Control Entry'!B13)</f>
        <v>0.25</v>
      </c>
      <c r="T20" s="150"/>
      <c r="U20" s="150"/>
    </row>
    <row r="21" spans="1:22" ht="36" customHeight="1" x14ac:dyDescent="0.2">
      <c r="A21" s="29"/>
      <c r="B21" s="30" t="str">
        <f>Control_7 Open_time</f>
        <v/>
      </c>
      <c r="C21" s="30" t="str">
        <f>Control_7 Close_time</f>
        <v/>
      </c>
      <c r="D21" s="37"/>
      <c r="E21" s="32" t="str">
        <f>IF(ISBLANK(Control_7 Establishment_1),"",Control_7 Establishment_1)</f>
        <v/>
      </c>
      <c r="F21" s="97" t="str">
        <f>IF(ISBLANK('Control Entry'!I21),"",'Control Entry'!I21)</f>
        <v/>
      </c>
      <c r="G21" s="98"/>
      <c r="H21" s="27" t="s">
        <v>29</v>
      </c>
      <c r="J21" s="59"/>
      <c r="K21" s="59"/>
      <c r="L21" s="57"/>
      <c r="M21" s="57"/>
      <c r="N21" s="57"/>
      <c r="P21" s="18"/>
      <c r="Q21" s="18"/>
      <c r="R21" s="22"/>
      <c r="S21" s="60"/>
      <c r="T21" s="60"/>
      <c r="U21" s="60"/>
      <c r="V21" s="28"/>
    </row>
    <row r="22" spans="1:22" ht="36" customHeight="1" thickBot="1" x14ac:dyDescent="0.25">
      <c r="A22" s="38" t="str">
        <f>IF(ISBLANK(Distance Control_7),"",Control_7 Distance)</f>
        <v/>
      </c>
      <c r="B22" s="39" t="str">
        <f>Control_7 Open_time</f>
        <v/>
      </c>
      <c r="C22" s="39" t="str">
        <f>Control_7 Close_time</f>
        <v/>
      </c>
      <c r="D22" s="40" t="str">
        <f>IF(ISBLANK(Locale Control_7),"",Locale Control_7)</f>
        <v/>
      </c>
      <c r="E22" s="32" t="str">
        <f>IF(ISBLANK(Control_7 Establishment_2),"",Control_7 Establishment_2)</f>
        <v/>
      </c>
      <c r="F22" s="97" t="str">
        <f>IF(ISBLANK('Control Entry'!J21),"",'Control Entry'!J21)</f>
        <v/>
      </c>
      <c r="G22" s="98"/>
      <c r="H22" s="27" t="s">
        <v>29</v>
      </c>
      <c r="J22" s="58" t="s">
        <v>45</v>
      </c>
      <c r="K22" s="58"/>
      <c r="L22" s="156"/>
      <c r="M22" s="156"/>
      <c r="N22" s="156"/>
      <c r="O22" s="19"/>
      <c r="P22" s="18" t="s">
        <v>1</v>
      </c>
      <c r="Q22" s="18"/>
      <c r="R22" s="19"/>
      <c r="S22" s="153"/>
      <c r="T22" s="153"/>
      <c r="U22" s="153"/>
    </row>
    <row r="23" spans="1:22" ht="36" customHeight="1" thickBot="1" x14ac:dyDescent="0.25">
      <c r="A23" s="33"/>
      <c r="B23" s="34" t="str">
        <f>Control_7 Open_time</f>
        <v/>
      </c>
      <c r="C23" s="34" t="str">
        <f>Control_7 Close_time</f>
        <v/>
      </c>
      <c r="D23" s="35"/>
      <c r="E23" s="36" t="str">
        <f>IF(ISBLANK(Control_7 Establishment_3),"",Control_7 Establishment_3)</f>
        <v/>
      </c>
      <c r="F23" s="102" t="str">
        <f>IF(ISBLANK('Control Entry'!K21),"",'Control Entry'!K21)</f>
        <v/>
      </c>
      <c r="G23" s="101"/>
      <c r="H23" s="27" t="s">
        <v>29</v>
      </c>
      <c r="J23" s="58"/>
      <c r="K23" s="58"/>
      <c r="L23" s="57"/>
      <c r="M23" s="57"/>
      <c r="N23" s="57"/>
      <c r="O23" s="22"/>
      <c r="P23" s="56"/>
      <c r="Q23" s="56"/>
      <c r="R23" s="22"/>
      <c r="S23" s="22"/>
      <c r="T23" s="22"/>
      <c r="U23" s="22"/>
      <c r="V23" s="28"/>
    </row>
    <row r="24" spans="1:22" ht="36" customHeight="1" thickBot="1" x14ac:dyDescent="0.25">
      <c r="A24" s="29"/>
      <c r="B24" s="30" t="str">
        <f>Control_8 Open_time</f>
        <v/>
      </c>
      <c r="C24" s="30" t="str">
        <f>Control_8 Close_time</f>
        <v/>
      </c>
      <c r="D24" s="37"/>
      <c r="E24" s="32" t="str">
        <f>IF(ISBLANK(Control_8 Establishment_1),"",Control_8 Establishment_1)</f>
        <v>STAFFED</v>
      </c>
      <c r="F24" s="97" t="str">
        <f>IF(ISBLANK('Control Entry'!I22),"",'Control Entry'!I22)</f>
        <v/>
      </c>
      <c r="G24" s="98"/>
      <c r="H24" s="27" t="s">
        <v>29</v>
      </c>
      <c r="J24" s="153"/>
      <c r="K24" s="153"/>
      <c r="L24" s="153"/>
      <c r="M24" s="153"/>
      <c r="N24" s="153"/>
      <c r="O24" s="19"/>
      <c r="P24" s="18" t="s">
        <v>2</v>
      </c>
      <c r="Q24" s="18"/>
      <c r="R24" s="19"/>
      <c r="S24" s="153"/>
      <c r="T24" s="153"/>
      <c r="U24" s="153"/>
    </row>
    <row r="25" spans="1:22" ht="36" customHeight="1" x14ac:dyDescent="0.2">
      <c r="A25" s="38" t="str">
        <f>IF(ISBLANK(Distance Control_8),"",Control_8 Distance)</f>
        <v/>
      </c>
      <c r="B25" s="39" t="str">
        <f>Control_8 Open_time</f>
        <v/>
      </c>
      <c r="C25" s="39" t="str">
        <f>Control_8 Close_time</f>
        <v/>
      </c>
      <c r="D25" s="40" t="str">
        <f>IF(ISBLANK(Locale Control_8),"",Locale Control_8)</f>
        <v>Secret</v>
      </c>
      <c r="E25" s="32" t="str">
        <f>IF(ISBLANK(Control_8 Establishment_2),"",Control_8 Establishment_2)</f>
        <v/>
      </c>
      <c r="F25" s="97" t="str">
        <f>IF(ISBLANK('Control Entry'!J22),"",'Control Entry'!J22)</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Control_8 Open_time</f>
        <v/>
      </c>
      <c r="C26" s="34" t="str">
        <f>Control_8 Close_time</f>
        <v/>
      </c>
      <c r="D26" s="35"/>
      <c r="E26" s="36" t="str">
        <f>IF(ISBLANK(Control_8 Establishment_3),"",Control_8 Establishment_3)</f>
        <v/>
      </c>
      <c r="F26" s="102" t="str">
        <f>IF(ISBLANK('Control Entry'!K22),"",'Control Entry'!K22)</f>
        <v/>
      </c>
      <c r="G26" s="101"/>
      <c r="H26" s="27" t="s">
        <v>29</v>
      </c>
    </row>
    <row r="27" spans="1:22" ht="36" customHeight="1" x14ac:dyDescent="0.2">
      <c r="A27" s="29"/>
      <c r="B27" s="30" t="str">
        <f>Control_9 Open_time</f>
        <v/>
      </c>
      <c r="C27" s="30" t="str">
        <f>Control_9 Close_time</f>
        <v/>
      </c>
      <c r="D27" s="37"/>
      <c r="E27" s="32" t="str">
        <f>IF(ISBLANK(Control_9 Establishment_1),"",Control_9 Establishment_1)</f>
        <v/>
      </c>
      <c r="F27" s="97" t="str">
        <f>IF(ISBLANK('Control Entry'!I23),"",'Control Entry'!I23)</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IF(ISBLANK(Distance Control_9),"",Control_9 Distance)</f>
        <v/>
      </c>
      <c r="B28" s="39" t="str">
        <f>Control_9 Open_time</f>
        <v/>
      </c>
      <c r="C28" s="39" t="str">
        <f>Control_9 Close_time</f>
        <v/>
      </c>
      <c r="D28" s="40" t="str">
        <f>IF(ISBLANK(Locale Control_9),"",Locale Control_9)</f>
        <v/>
      </c>
      <c r="E28" s="32" t="str">
        <f>IF(ISBLANK(Control_9 Establishment_2),"",Control_9 Establishment_2)</f>
        <v/>
      </c>
      <c r="F28" s="97" t="str">
        <f>IF(ISBLANK('Control Entry'!J23),"",'Control Entry'!J23)</f>
        <v/>
      </c>
      <c r="G28" s="98"/>
      <c r="H28" s="27" t="s">
        <v>29</v>
      </c>
    </row>
    <row r="29" spans="1:22" ht="36" customHeight="1" thickBot="1" x14ac:dyDescent="0.25">
      <c r="A29" s="33"/>
      <c r="B29" s="34" t="str">
        <f>Control_9 Open_time</f>
        <v/>
      </c>
      <c r="C29" s="34" t="str">
        <f>Control_9 Close_time</f>
        <v/>
      </c>
      <c r="D29" s="35"/>
      <c r="E29" s="36" t="str">
        <f>IF(ISBLANK(Control_9 Establishment_3),"",Control_9 Establishment_3)</f>
        <v/>
      </c>
      <c r="F29" s="102" t="str">
        <f>IF(ISBLANK('Control Entry'!K23),"",'Control Entry'!K23)</f>
        <v/>
      </c>
      <c r="G29" s="101"/>
      <c r="H29" s="27" t="s">
        <v>29</v>
      </c>
      <c r="M29" s="124" t="s">
        <v>42</v>
      </c>
      <c r="N29" s="124"/>
      <c r="O29" s="124"/>
      <c r="P29" s="124"/>
      <c r="Q29" s="124"/>
      <c r="R29" s="124"/>
      <c r="S29" s="124"/>
      <c r="T29" s="124"/>
      <c r="U29" s="54"/>
    </row>
    <row r="30" spans="1:22" ht="36" customHeight="1" x14ac:dyDescent="0.2">
      <c r="A30" s="29"/>
      <c r="B30" s="30" t="str">
        <f>Control_10 Open_time</f>
        <v/>
      </c>
      <c r="C30" s="30" t="str">
        <f>Control_10 Close_time</f>
        <v/>
      </c>
      <c r="D30" s="37"/>
      <c r="E30" s="32" t="str">
        <f>IF(ISBLANK(Control_10 Establishment_1),"",Control_10 Establishment_1)</f>
        <v/>
      </c>
      <c r="F30" s="97" t="str">
        <f>IF(ISBLANK('Control Entry'!I24),"",'Control Entry'!I24)</f>
        <v/>
      </c>
      <c r="G30" s="98"/>
      <c r="H30" s="27" t="s">
        <v>29</v>
      </c>
      <c r="M30" s="16"/>
      <c r="N30" s="20"/>
      <c r="O30" s="20"/>
      <c r="P30" s="21"/>
      <c r="Q30" s="104"/>
      <c r="R30" s="20"/>
      <c r="S30" s="20"/>
      <c r="T30" s="21"/>
      <c r="U30" s="22"/>
    </row>
    <row r="31" spans="1:22" ht="36" customHeight="1" x14ac:dyDescent="0.2">
      <c r="A31" s="38" t="str">
        <f>IF(ISBLANK(Distance Control_10),"",Control_10 Distance)</f>
        <v/>
      </c>
      <c r="B31" s="39" t="str">
        <f>Control_10 Open_time</f>
        <v/>
      </c>
      <c r="C31" s="39" t="str">
        <f>Control_10 Close_time</f>
        <v/>
      </c>
      <c r="D31" s="40" t="str">
        <f>IF(ISBLANK(Locale Control_10),"",Locale Control_10)</f>
        <v/>
      </c>
      <c r="E31" s="32" t="str">
        <f>IF(ISBLANK(Control_10 Establishment_2),"",Control_10 Establishment_2)</f>
        <v/>
      </c>
      <c r="F31" s="97" t="str">
        <f>IF(ISBLANK('Control Entry'!J24),"",'Control Entry'!J24)</f>
        <v/>
      </c>
      <c r="G31" s="98"/>
      <c r="H31" s="27" t="s">
        <v>29</v>
      </c>
      <c r="M31" s="17"/>
      <c r="N31" s="22"/>
      <c r="O31" s="22"/>
      <c r="P31" s="23"/>
      <c r="Q31" s="105"/>
      <c r="R31" s="22"/>
      <c r="S31" s="22"/>
      <c r="T31" s="23"/>
      <c r="U31" s="22"/>
    </row>
    <row r="32" spans="1:22" ht="36" customHeight="1" thickBot="1" x14ac:dyDescent="0.25">
      <c r="A32" s="33"/>
      <c r="B32" s="34" t="str">
        <f>Control_10 Open_time</f>
        <v/>
      </c>
      <c r="C32" s="34" t="str">
        <f>Control_10 Close_time</f>
        <v/>
      </c>
      <c r="D32" s="35"/>
      <c r="E32" s="36" t="str">
        <f>IF(ISBLANK(Control_10 Establishment_3),"",Control_10 Establishment_3)</f>
        <v/>
      </c>
      <c r="F32" s="102" t="str">
        <f>IF(ISBLANK('Control Entry'!K24),"",'Control Entry'!K24)</f>
        <v/>
      </c>
      <c r="G32" s="101"/>
      <c r="H32" s="27" t="s">
        <v>29</v>
      </c>
      <c r="M32" s="138" t="s">
        <v>82</v>
      </c>
      <c r="N32" s="139"/>
      <c r="O32" s="139"/>
      <c r="P32" s="140"/>
      <c r="Q32" s="141">
        <f>'Control Entry'!B3</f>
        <v>44700</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44711</v>
      </c>
      <c r="R33" s="129"/>
      <c r="S33" s="129"/>
      <c r="T33" s="129"/>
      <c r="U33" s="93"/>
      <c r="V33" s="49"/>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iDQb38Z5WZp87lXMQAT4xTXeXKPICpVt+wSBVo/dofQxJAYMrgvpXFZDzKlfo5JR1/olCdCIytlMSqpHKz79Wg==" saltValue="3TGUHDVIfOEKM0XlLUm4zg==" spinCount="100000" sheet="1" objects="1" scenarios="1" formatCells="0" selectLockedCells="1"/>
  <mergeCells count="41">
    <mergeCell ref="N5:O5"/>
    <mergeCell ref="K27:L27"/>
    <mergeCell ref="J25:N25"/>
    <mergeCell ref="O3:R3"/>
    <mergeCell ref="S20:U20"/>
    <mergeCell ref="L15:U15"/>
    <mergeCell ref="L6:U6"/>
    <mergeCell ref="S24:U24"/>
    <mergeCell ref="J24:N24"/>
    <mergeCell ref="L9:U9"/>
    <mergeCell ref="L10:U10"/>
    <mergeCell ref="L16:U16"/>
    <mergeCell ref="L22:N22"/>
    <mergeCell ref="S22:U22"/>
    <mergeCell ref="L13:N13"/>
    <mergeCell ref="S11:U11"/>
    <mergeCell ref="A1:G1"/>
    <mergeCell ref="A33:G33"/>
    <mergeCell ref="M4:T4"/>
    <mergeCell ref="P25:Q25"/>
    <mergeCell ref="S25:T25"/>
    <mergeCell ref="S12:U12"/>
    <mergeCell ref="R13:U13"/>
    <mergeCell ref="R5:U5"/>
    <mergeCell ref="K2:U2"/>
    <mergeCell ref="L8:Q8"/>
    <mergeCell ref="M32:P32"/>
    <mergeCell ref="Q32:T32"/>
    <mergeCell ref="T8:U8"/>
    <mergeCell ref="L20:N20"/>
    <mergeCell ref="L11:N11"/>
    <mergeCell ref="L12:N12"/>
    <mergeCell ref="U25:V25"/>
    <mergeCell ref="N35:U35"/>
    <mergeCell ref="M29:T29"/>
    <mergeCell ref="N27:O27"/>
    <mergeCell ref="P27:Q27"/>
    <mergeCell ref="S27:T27"/>
    <mergeCell ref="U27:V27"/>
    <mergeCell ref="M33:P33"/>
    <mergeCell ref="Q33:T33"/>
  </mergeCells>
  <phoneticPr fontId="16" type="noConversion"/>
  <pageMargins left="0.2" right="0.2" top="0.2" bottom="0.2" header="0.51" footer="0.51"/>
  <pageSetup scale="45" orientation="landscape" horizontalDpi="4294967292" verticalDpi="4294967292"/>
  <ignoredErrors>
    <ignoredError sqref="L20" unlockedFormula="1"/>
  </ignoredErrors>
  <drawing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0"/>
  <sheetViews>
    <sheetView showGridLines="0" topLeftCell="A15"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Entry'!N28</f>
        <v/>
      </c>
      <c r="C3" s="30" t="str">
        <f>'Control Entry'!O28</f>
        <v/>
      </c>
      <c r="D3" s="31"/>
      <c r="E3" s="32" t="str">
        <f>IF(ISBLANK('Control Entry'!F28),"",'Control Entry'!F28)</f>
        <v/>
      </c>
      <c r="F3" s="97" t="str">
        <f>IF(ISBLANK('Control Entry'!I28),"",'Control Entry'!I28)</f>
        <v/>
      </c>
      <c r="G3" s="98"/>
      <c r="H3" s="27" t="s">
        <v>29</v>
      </c>
      <c r="K3" s="14"/>
      <c r="O3" s="149" t="s">
        <v>73</v>
      </c>
      <c r="P3" s="149"/>
      <c r="Q3" s="149"/>
      <c r="R3" s="149"/>
      <c r="S3" s="85" t="str">
        <f>IF('Control Entry'!D28=0,"","#2")</f>
        <v/>
      </c>
      <c r="U3" s="42"/>
    </row>
    <row r="4" spans="1:22" ht="36" customHeight="1" x14ac:dyDescent="0.2">
      <c r="A4" s="38" t="str">
        <f>IF(ISBLANK('Control Entry'!D28),"",'Control Entry'!D28)</f>
        <v/>
      </c>
      <c r="B4" s="39" t="str">
        <f>'Control Entry'!N28</f>
        <v/>
      </c>
      <c r="C4" s="39" t="str">
        <f>'Control Entry'!O28</f>
        <v/>
      </c>
      <c r="D4" s="40" t="str">
        <f>IF(ISBLANK('Control Entry'!E28),"",'Control Entry'!E28)</f>
        <v/>
      </c>
      <c r="E4" s="32" t="str">
        <f>IF(ISBLANK('Control Entry'!G28),"",'Control Entry'!G28)</f>
        <v/>
      </c>
      <c r="F4" s="97" t="str">
        <f>IF(ISBLANK('Control Entry'!J28),"",'Control Entry'!J28)</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Entry'!N28</f>
        <v/>
      </c>
      <c r="C5" s="34" t="str">
        <f>'Control Entry'!O28</f>
        <v/>
      </c>
      <c r="D5" s="35"/>
      <c r="E5" s="36" t="str">
        <f>IF(ISBLANK('Control Entry'!H28),"",'Control Entry'!H28)</f>
        <v/>
      </c>
      <c r="F5" s="102" t="str">
        <f>IF(ISBLANK('Control Entry'!K28),"",'Control Entry'!K28)</f>
        <v/>
      </c>
      <c r="G5" s="101"/>
      <c r="H5" s="27" t="s">
        <v>29</v>
      </c>
      <c r="K5" s="14"/>
      <c r="M5" s="15"/>
      <c r="N5" s="147" t="s">
        <v>47</v>
      </c>
      <c r="O5" s="147"/>
      <c r="P5" s="61">
        <f>IF(ISBLANK(Brevet_Number),"",Brevet_Number)</f>
        <v>5159</v>
      </c>
      <c r="Q5" s="62"/>
      <c r="R5" s="135">
        <f>IF(ISBLANK('Control Entry'!$B10),"",'Control Entry'!$B10)</f>
        <v>44723</v>
      </c>
      <c r="S5" s="135"/>
      <c r="T5" s="135"/>
      <c r="U5" s="135"/>
      <c r="V5" s="44"/>
    </row>
    <row r="6" spans="1:22" ht="36" customHeight="1" x14ac:dyDescent="0.2">
      <c r="A6" s="29"/>
      <c r="B6" s="30" t="str">
        <f>'Control Entry'!N29</f>
        <v/>
      </c>
      <c r="C6" s="30" t="str">
        <f>'Control Entry'!O29</f>
        <v/>
      </c>
      <c r="D6" s="37"/>
      <c r="E6" s="32" t="str">
        <f>IF(ISBLANK('Control Entry'!F29),"",'Control Entry'!F29)</f>
        <v/>
      </c>
      <c r="F6" s="97" t="str">
        <f>IF(ISBLANK('Control Entry'!I29),"",'Control Entry'!I29)</f>
        <v/>
      </c>
      <c r="G6" s="98"/>
      <c r="H6" s="27" t="s">
        <v>29</v>
      </c>
      <c r="K6" s="14"/>
      <c r="L6" s="152" t="str">
        <f>IF(ISBLANK(Brevet_Description),"",Brevet_Description)</f>
        <v>Parks and Rivers</v>
      </c>
      <c r="M6" s="152"/>
      <c r="N6" s="152"/>
      <c r="O6" s="152"/>
      <c r="P6" s="152"/>
      <c r="Q6" s="152"/>
      <c r="R6" s="152"/>
      <c r="S6" s="152"/>
      <c r="T6" s="152"/>
      <c r="U6" s="152"/>
    </row>
    <row r="7" spans="1:22" ht="36" customHeight="1" x14ac:dyDescent="0.2">
      <c r="A7" s="38" t="str">
        <f>IF(ISBLANK('Control Entry'!D29),"",'Control Entry'!D29)</f>
        <v/>
      </c>
      <c r="B7" s="39" t="str">
        <f>'Control Entry'!N29</f>
        <v/>
      </c>
      <c r="C7" s="39" t="str">
        <f>'Control Entry'!O29</f>
        <v/>
      </c>
      <c r="D7" s="40" t="str">
        <f>IF(ISBLANK('Control Entry'!E29),"",'Control Entry'!E29)</f>
        <v/>
      </c>
      <c r="E7" s="32" t="str">
        <f>IF(ISBLANK('Control Entry'!G29),"",'Control Entry'!G29)</f>
        <v/>
      </c>
      <c r="F7" s="97" t="str">
        <f>IF(ISBLANK('Control Entry'!J29),"",'Control Entry'!J29)</f>
        <v/>
      </c>
      <c r="G7" s="98"/>
      <c r="H7" s="27" t="s">
        <v>29</v>
      </c>
    </row>
    <row r="8" spans="1:22" ht="36" customHeight="1" thickBot="1" x14ac:dyDescent="0.25">
      <c r="A8" s="33"/>
      <c r="B8" s="34" t="str">
        <f>'Control Entry'!N29</f>
        <v/>
      </c>
      <c r="C8" s="34" t="str">
        <f>'Control Entry'!O29</f>
        <v/>
      </c>
      <c r="D8" s="35"/>
      <c r="E8" s="36" t="str">
        <f>IF(ISBLANK('Control Entry'!H29),"",'Control Entry'!H29)</f>
        <v/>
      </c>
      <c r="F8" s="102" t="str">
        <f>IF(ISBLANK('Control Entry'!K29),"",'Control Entry'!K29)</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Entry'!N30</f>
        <v/>
      </c>
      <c r="C9" s="30" t="str">
        <f>'Control Entry'!O30</f>
        <v/>
      </c>
      <c r="D9" s="37"/>
      <c r="E9" s="32" t="str">
        <f>IF(ISBLANK('Control Entry'!F30),"",'Control Entry'!F30)</f>
        <v/>
      </c>
      <c r="F9" s="97" t="str">
        <f>IF(ISBLANK('Control Entry'!I30),"",'Control Entry'!I30)</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Entry'!D30),"",'Control Entry'!D30)</f>
        <v/>
      </c>
      <c r="B10" s="39" t="str">
        <f>'Control Entry'!N30</f>
        <v/>
      </c>
      <c r="C10" s="39" t="str">
        <f>'Control Entry'!O30</f>
        <v/>
      </c>
      <c r="D10" s="40" t="str">
        <f>IF(ISBLANK('Control Entry'!E30),"",'Control Entry'!E30)</f>
        <v/>
      </c>
      <c r="E10" s="53" t="str">
        <f>IF(ISBLANK('Control Entry'!G30),"",'Control Entry'!G30)</f>
        <v/>
      </c>
      <c r="F10" s="97" t="str">
        <f>IF(ISBLANK('Control Entry'!J30),"",'Control Entry'!J30)</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Entry'!N30</f>
        <v/>
      </c>
      <c r="C11" s="34" t="str">
        <f>'Control Entry'!O30</f>
        <v/>
      </c>
      <c r="D11" s="35"/>
      <c r="E11" s="36" t="str">
        <f>IF(ISBLANK('Control Entry'!H30),"",'Control Entry'!H30)</f>
        <v/>
      </c>
      <c r="F11" s="102" t="str">
        <f>IF(ISBLANK('Control Entry'!K30),"",'Control Entry'!K30)</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Entry'!N31</f>
        <v/>
      </c>
      <c r="C12" s="30" t="str">
        <f>'Control Entry'!O31</f>
        <v/>
      </c>
      <c r="D12" s="37"/>
      <c r="E12" s="32" t="str">
        <f>IF(ISBLANK('Control Entry'!F31),"",'Control Entry'!F31)</f>
        <v/>
      </c>
      <c r="F12" s="97" t="str">
        <f>IF(ISBLANK('Control Entry'!I31),"",'Control Entry'!I31)</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Entry'!D31),"",'Control Entry'!D31)</f>
        <v/>
      </c>
      <c r="B13" s="39" t="str">
        <f>'Control Entry'!N31</f>
        <v/>
      </c>
      <c r="C13" s="39" t="str">
        <f>'Control Entry'!O31</f>
        <v/>
      </c>
      <c r="D13" s="40" t="str">
        <f>IF(ISBLANK('Control Entry'!E31),"",'Control Entry'!E31)</f>
        <v/>
      </c>
      <c r="E13" s="32" t="str">
        <f>IF(ISBLANK('Control Entry'!G31),"",'Control Entry'!G31)</f>
        <v/>
      </c>
      <c r="F13" s="97" t="str">
        <f>IF(ISBLANK('Control Entry'!J31),"",'Control Entry'!J31)</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Entry'!N31</f>
        <v/>
      </c>
      <c r="C14" s="34" t="str">
        <f>'Control Entry'!O31</f>
        <v/>
      </c>
      <c r="D14" s="35"/>
      <c r="E14" s="36" t="str">
        <f>IF(ISBLANK('Control Entry'!H31),"",'Control Entry'!H31)</f>
        <v/>
      </c>
      <c r="F14" s="102" t="str">
        <f>IF(ISBLANK('Control Entry'!K31),"",'Control Entry'!K31)</f>
        <v/>
      </c>
      <c r="G14" s="101"/>
      <c r="H14" s="27" t="s">
        <v>29</v>
      </c>
    </row>
    <row r="15" spans="1:22" ht="36" customHeight="1" x14ac:dyDescent="0.2">
      <c r="A15" s="29"/>
      <c r="B15" s="30" t="str">
        <f>'Control Entry'!N32</f>
        <v/>
      </c>
      <c r="C15" s="30" t="str">
        <f>'Control Entry'!O32</f>
        <v/>
      </c>
      <c r="D15" s="37"/>
      <c r="E15" s="32" t="str">
        <f>IF(ISBLANK('Control Entry'!F32),"",'Control Entry'!F32)</f>
        <v/>
      </c>
      <c r="F15" s="97" t="str">
        <f>IF(ISBLANK('Control Entry'!I32),"",'Control Entry'!I32)</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Entry'!D32),"",'Control Entry'!D32)</f>
        <v/>
      </c>
      <c r="B16" s="39" t="str">
        <f>'Control Entry'!N32</f>
        <v/>
      </c>
      <c r="C16" s="39" t="str">
        <f>'Control Entry'!O32</f>
        <v/>
      </c>
      <c r="D16" s="40" t="str">
        <f>IF(ISBLANK('Control Entry'!E32),"",'Control Entry'!E32)</f>
        <v/>
      </c>
      <c r="E16" s="32" t="str">
        <f>IF(ISBLANK('Control Entry'!G32),"",'Control Entry'!G32)</f>
        <v/>
      </c>
      <c r="F16" s="97" t="str">
        <f>IF(ISBLANK('Control Entry'!J32),"",'Control Entry'!J32)</f>
        <v/>
      </c>
      <c r="G16" s="98"/>
      <c r="H16" s="27" t="s">
        <v>29</v>
      </c>
      <c r="L16" s="155"/>
      <c r="M16" s="155"/>
      <c r="N16" s="155"/>
      <c r="O16" s="155"/>
      <c r="P16" s="155"/>
      <c r="Q16" s="155"/>
      <c r="R16" s="155"/>
      <c r="S16" s="155"/>
      <c r="T16" s="155"/>
      <c r="U16" s="155"/>
    </row>
    <row r="17" spans="1:22" ht="36" customHeight="1" thickBot="1" x14ac:dyDescent="0.25">
      <c r="A17" s="33"/>
      <c r="B17" s="34" t="str">
        <f>'Control Entry'!N32</f>
        <v/>
      </c>
      <c r="C17" s="34" t="str">
        <f>'Control Entry'!O32</f>
        <v/>
      </c>
      <c r="D17" s="35"/>
      <c r="E17" s="36" t="str">
        <f>IF(ISBLANK('Control Entry'!H32),"",'Control Entry'!H32)</f>
        <v/>
      </c>
      <c r="F17" s="102" t="str">
        <f>IF(ISBLANK('Control Entry'!K32),"",'Control Entry'!K32)</f>
        <v/>
      </c>
      <c r="G17" s="101"/>
      <c r="H17" s="27" t="s">
        <v>29</v>
      </c>
    </row>
    <row r="18" spans="1:22" ht="36" customHeight="1" x14ac:dyDescent="0.2">
      <c r="A18" s="29"/>
      <c r="B18" s="30" t="str">
        <f>'Control Entry'!N33</f>
        <v/>
      </c>
      <c r="C18" s="30" t="str">
        <f>'Control Entry'!O33</f>
        <v/>
      </c>
      <c r="D18" s="37"/>
      <c r="E18" s="32" t="str">
        <f>IF(ISBLANK('Control Entry'!F33),"",'Control Entry'!F33)</f>
        <v/>
      </c>
      <c r="F18" s="97" t="str">
        <f>IF(ISBLANK('Control Entry'!I33),"",'Control Entry'!I33)</f>
        <v/>
      </c>
      <c r="G18" s="98"/>
      <c r="H18" s="27" t="s">
        <v>29</v>
      </c>
    </row>
    <row r="19" spans="1:22" ht="36" customHeight="1" x14ac:dyDescent="0.2">
      <c r="A19" s="38" t="str">
        <f>IF(ISBLANK('Control Entry'!D33),"",'Control Entry'!D33)</f>
        <v/>
      </c>
      <c r="B19" s="39" t="str">
        <f>'Control Entry'!N33</f>
        <v/>
      </c>
      <c r="C19" s="39" t="str">
        <f>'Control Entry'!O33</f>
        <v/>
      </c>
      <c r="D19" s="40" t="str">
        <f>IF(ISBLANK('Control Entry'!E33),"",'Control Entry'!E33)</f>
        <v/>
      </c>
      <c r="E19" s="32" t="str">
        <f>IF(ISBLANK('Control Entry'!G33),"",'Control Entry'!G33)</f>
        <v/>
      </c>
      <c r="F19" s="97" t="str">
        <f>IF(ISBLANK('Control Entry'!J33),"",'Control Entry'!J33)</f>
        <v/>
      </c>
      <c r="G19" s="98"/>
      <c r="H19" s="27" t="s">
        <v>29</v>
      </c>
    </row>
    <row r="20" spans="1:22" ht="36" customHeight="1" thickBot="1" x14ac:dyDescent="0.25">
      <c r="A20" s="33"/>
      <c r="B20" s="34" t="str">
        <f>'Control Entry'!N33</f>
        <v/>
      </c>
      <c r="C20" s="34" t="str">
        <f>'Control Entry'!O33</f>
        <v/>
      </c>
      <c r="D20" s="35"/>
      <c r="E20" s="36" t="str">
        <f>IF(ISBLANK('Control Entry'!H33),"",'Control Entry'!H33)</f>
        <v/>
      </c>
      <c r="F20" s="102" t="str">
        <f>IF(ISBLANK('Control Entry'!K33),"",'Control Entry'!K33)</f>
        <v/>
      </c>
      <c r="G20" s="101"/>
      <c r="H20" s="27" t="s">
        <v>29</v>
      </c>
      <c r="J20" s="59" t="s">
        <v>44</v>
      </c>
      <c r="K20" s="59"/>
      <c r="L20" s="158">
        <f>IF(ISBLANK('Control Entry'!B12),"",'Control Entry'!B12)</f>
        <v>44723</v>
      </c>
      <c r="M20" s="158"/>
      <c r="N20" s="158"/>
      <c r="P20" s="18" t="s">
        <v>0</v>
      </c>
      <c r="Q20" s="18"/>
      <c r="S20" s="150">
        <f>IF(ISBLANK('Control Entry'!B13),"",'Control Entry'!B13)</f>
        <v>0.25</v>
      </c>
      <c r="T20" s="150"/>
      <c r="U20" s="150"/>
    </row>
    <row r="21" spans="1:22" ht="36" customHeight="1" x14ac:dyDescent="0.2">
      <c r="A21" s="29"/>
      <c r="B21" s="30" t="str">
        <f>'Control Entry'!N34</f>
        <v/>
      </c>
      <c r="C21" s="30" t="str">
        <f>'Control Entry'!O34</f>
        <v/>
      </c>
      <c r="D21" s="37"/>
      <c r="E21" s="32" t="str">
        <f>IF(ISBLANK('Control Entry'!F34),"",'Control Entry'!F34)</f>
        <v/>
      </c>
      <c r="F21" s="97" t="str">
        <f>IF(ISBLANK('Control Entry'!I34),"",'Control Entry'!I34)</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Entry'!D34),"",'Control Entry'!D34)</f>
        <v/>
      </c>
      <c r="B22" s="39" t="str">
        <f>'Control Entry'!N34</f>
        <v/>
      </c>
      <c r="C22" s="39" t="str">
        <f>'Control Entry'!O34</f>
        <v/>
      </c>
      <c r="D22" s="40" t="str">
        <f>IF(ISBLANK('Control Entry'!E34),"",'Control Entry'!E34)</f>
        <v/>
      </c>
      <c r="E22" s="32" t="str">
        <f>IF(ISBLANK('Control Entry'!G34),"",'Control Entry'!G34)</f>
        <v/>
      </c>
      <c r="F22" s="97" t="str">
        <f>IF(ISBLANK('Control Entry'!J34),"",'Control Entry'!J34)</f>
        <v/>
      </c>
      <c r="G22" s="98"/>
      <c r="H22" s="27" t="s">
        <v>29</v>
      </c>
      <c r="J22" s="81" t="s">
        <v>45</v>
      </c>
      <c r="K22" s="81"/>
      <c r="L22" s="156"/>
      <c r="M22" s="156"/>
      <c r="N22" s="156"/>
      <c r="O22" s="19"/>
      <c r="P22" s="18" t="s">
        <v>1</v>
      </c>
      <c r="Q22" s="18"/>
      <c r="R22" s="19"/>
      <c r="S22" s="153"/>
      <c r="T22" s="153"/>
      <c r="U22" s="153"/>
    </row>
    <row r="23" spans="1:22" ht="36" customHeight="1" thickBot="1" x14ac:dyDescent="0.25">
      <c r="A23" s="33"/>
      <c r="B23" s="34" t="str">
        <f>'Control Entry'!N34</f>
        <v/>
      </c>
      <c r="C23" s="34" t="str">
        <f>'Control Entry'!O34</f>
        <v/>
      </c>
      <c r="D23" s="35"/>
      <c r="E23" s="36" t="str">
        <f>IF(ISBLANK('Control Entry'!H34),"",'Control Entry'!H34)</f>
        <v/>
      </c>
      <c r="F23" s="102" t="str">
        <f>IF(ISBLANK('Control Entry'!K34),"",'Control Entry'!K34)</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Entry'!N35</f>
        <v/>
      </c>
      <c r="C24" s="30" t="str">
        <f>'Control Entry'!O35</f>
        <v/>
      </c>
      <c r="D24" s="37"/>
      <c r="E24" s="32" t="str">
        <f>IF(ISBLANK('Control Entry'!F35),"",'Control Entry'!F35)</f>
        <v/>
      </c>
      <c r="F24" s="97" t="str">
        <f>IF(ISBLANK('Control Entry'!I35),"",'Control Entry'!I35)</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Entry'!D35),"",'Control Entry'!D35)</f>
        <v/>
      </c>
      <c r="B25" s="39" t="str">
        <f>'Control Entry'!N35</f>
        <v/>
      </c>
      <c r="C25" s="39" t="str">
        <f>'Control Entry'!O35</f>
        <v/>
      </c>
      <c r="D25" s="40" t="str">
        <f>IF(ISBLANK('Control Entry'!E35),"",'Control Entry'!E35)</f>
        <v/>
      </c>
      <c r="E25" s="32" t="str">
        <f>IF(ISBLANK('Control Entry'!G35),"",'Control Entry'!G35)</f>
        <v/>
      </c>
      <c r="F25" s="97" t="str">
        <f>IF(ISBLANK('Control Entry'!J35),"",'Control Entry'!J35)</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Entry'!N35</f>
        <v/>
      </c>
      <c r="C26" s="34" t="str">
        <f>'Control Entry'!O35</f>
        <v/>
      </c>
      <c r="D26" s="35"/>
      <c r="E26" s="36" t="str">
        <f>IF(ISBLANK('Control Entry'!H35),"",'Control Entry'!H35)</f>
        <v/>
      </c>
      <c r="F26" s="102" t="str">
        <f>IF(ISBLANK('Control Entry'!K35),"",'Control Entry'!K35)</f>
        <v/>
      </c>
      <c r="G26" s="101"/>
      <c r="H26" s="27" t="s">
        <v>29</v>
      </c>
    </row>
    <row r="27" spans="1:22" ht="36" customHeight="1" x14ac:dyDescent="0.2">
      <c r="A27" s="29"/>
      <c r="B27" s="30" t="str">
        <f>'Control Entry'!N36</f>
        <v/>
      </c>
      <c r="C27" s="30" t="str">
        <f>'Control Entry'!O36</f>
        <v/>
      </c>
      <c r="D27" s="37"/>
      <c r="E27" s="32" t="str">
        <f>IF(ISBLANK('Control Entry'!F36),"",'Control Entry'!F36)</f>
        <v/>
      </c>
      <c r="F27" s="97" t="str">
        <f>IF(ISBLANK('Control Entry'!I36),"",'Control Entry'!I36)</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Entry'!D36),"",'Control Entry'!D36)</f>
        <v/>
      </c>
      <c r="B28" s="39" t="str">
        <f>'Control Entry'!N36</f>
        <v/>
      </c>
      <c r="C28" s="39" t="str">
        <f>'Control Entry'!O36</f>
        <v/>
      </c>
      <c r="D28" s="40" t="str">
        <f>IF(ISBLANK('Control Entry'!E36),"",'Control Entry'!E36)</f>
        <v/>
      </c>
      <c r="E28" s="32" t="str">
        <f>IF(ISBLANK('Control Entry'!G36),"",'Control Entry'!G36)</f>
        <v/>
      </c>
      <c r="F28" s="97" t="str">
        <f>IF(ISBLANK('Control Entry'!J36),"",'Control Entry'!J36)</f>
        <v/>
      </c>
      <c r="G28" s="98"/>
      <c r="H28" s="27" t="s">
        <v>29</v>
      </c>
    </row>
    <row r="29" spans="1:22" ht="36" customHeight="1" thickBot="1" x14ac:dyDescent="0.25">
      <c r="A29" s="33"/>
      <c r="B29" s="34" t="str">
        <f>'Control Entry'!N36</f>
        <v/>
      </c>
      <c r="C29" s="34" t="str">
        <f>'Control Entry'!O36</f>
        <v/>
      </c>
      <c r="D29" s="35"/>
      <c r="E29" s="36" t="str">
        <f>IF(ISBLANK('Control Entry'!H36),"",'Control Entry'!H36)</f>
        <v/>
      </c>
      <c r="F29" s="102" t="str">
        <f>IF(ISBLANK('Control Entry'!K36),"",'Control Entry'!K36)</f>
        <v/>
      </c>
      <c r="G29" s="101"/>
      <c r="H29" s="27" t="s">
        <v>29</v>
      </c>
      <c r="M29" s="124" t="s">
        <v>42</v>
      </c>
      <c r="N29" s="124"/>
      <c r="O29" s="124"/>
      <c r="P29" s="124"/>
      <c r="Q29" s="124"/>
      <c r="R29" s="124"/>
      <c r="S29" s="124"/>
      <c r="T29" s="124"/>
      <c r="U29" s="54"/>
    </row>
    <row r="30" spans="1:22" ht="36" customHeight="1" x14ac:dyDescent="0.2">
      <c r="A30" s="29"/>
      <c r="B30" s="30" t="str">
        <f>'Control Entry'!N37</f>
        <v/>
      </c>
      <c r="C30" s="30" t="str">
        <f>'Control Entry'!O37</f>
        <v/>
      </c>
      <c r="D30" s="37"/>
      <c r="E30" s="32" t="str">
        <f>IF(ISBLANK('Control Entry'!F37),"",'Control Entry'!F37)</f>
        <v/>
      </c>
      <c r="F30" s="97" t="str">
        <f>IF(ISBLANK('Control Entry'!I37),"",'Control Entry'!I37)</f>
        <v/>
      </c>
      <c r="G30" s="98"/>
      <c r="H30" s="27" t="s">
        <v>29</v>
      </c>
      <c r="M30" s="16"/>
      <c r="N30" s="20"/>
      <c r="O30" s="20"/>
      <c r="P30" s="21"/>
      <c r="Q30" s="104"/>
      <c r="R30" s="20"/>
      <c r="S30" s="20"/>
      <c r="T30" s="21"/>
      <c r="U30" s="22"/>
    </row>
    <row r="31" spans="1:22" ht="36" customHeight="1" x14ac:dyDescent="0.2">
      <c r="A31" s="38" t="str">
        <f>IF(ISBLANK('Control Entry'!D37),"",'Control Entry'!D37)</f>
        <v/>
      </c>
      <c r="B31" s="39" t="str">
        <f>'Control Entry'!N37</f>
        <v/>
      </c>
      <c r="C31" s="39" t="str">
        <f>'Control Entry'!O37</f>
        <v/>
      </c>
      <c r="D31" s="40" t="str">
        <f>IF(ISBLANK('Control Entry'!E37),"",'Control Entry'!E37)</f>
        <v/>
      </c>
      <c r="E31" s="32" t="str">
        <f>IF(ISBLANK('Control Entry'!G37),"",'Control Entry'!G37)</f>
        <v/>
      </c>
      <c r="F31" s="97" t="str">
        <f>IF(ISBLANK('Control Entry'!J37),"",'Control Entry'!J37)</f>
        <v/>
      </c>
      <c r="G31" s="98"/>
      <c r="H31" s="27" t="s">
        <v>29</v>
      </c>
      <c r="M31" s="17"/>
      <c r="N31" s="22"/>
      <c r="O31" s="22"/>
      <c r="P31" s="23"/>
      <c r="Q31" s="105"/>
      <c r="R31" s="22"/>
      <c r="S31" s="22"/>
      <c r="T31" s="23"/>
      <c r="U31" s="22"/>
    </row>
    <row r="32" spans="1:22" ht="36" customHeight="1" thickBot="1" x14ac:dyDescent="0.25">
      <c r="A32" s="33"/>
      <c r="B32" s="34" t="str">
        <f>'Control Entry'!N37</f>
        <v/>
      </c>
      <c r="C32" s="34" t="str">
        <f>'Control Entry'!O37</f>
        <v/>
      </c>
      <c r="D32" s="35"/>
      <c r="E32" s="36" t="str">
        <f>IF(ISBLANK('Control Entry'!H37),"",'Control Entry'!H37)</f>
        <v/>
      </c>
      <c r="F32" s="102" t="str">
        <f>IF(ISBLANK('Control Entry'!K37),"",'Control Entry'!K37)</f>
        <v/>
      </c>
      <c r="G32" s="101"/>
      <c r="H32" s="27" t="s">
        <v>29</v>
      </c>
      <c r="M32" s="138" t="s">
        <v>82</v>
      </c>
      <c r="N32" s="139"/>
      <c r="O32" s="139"/>
      <c r="P32" s="140"/>
      <c r="Q32" s="141">
        <f>'Control Entry'!B3</f>
        <v>44700</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44711</v>
      </c>
      <c r="R33" s="129"/>
      <c r="S33" s="129"/>
      <c r="T33" s="129"/>
      <c r="U33" s="93"/>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DiqJ+JOYBhoyZ1m99XU4D8NDihYKDATVeEm7KPe0KaI0+RIl/s0HliAQDBep4bratR5dvcZSaZLG/PV3ddwAYA==" saltValue="BtrAYkICphSvoTgltO5kCQ==" spinCount="100000" sheet="1" objects="1" scenarios="1" formatCells="0" selectLockedCells="1"/>
  <mergeCells count="42">
    <mergeCell ref="L16:U16"/>
    <mergeCell ref="L22:N22"/>
    <mergeCell ref="S22:U22"/>
    <mergeCell ref="L11:N11"/>
    <mergeCell ref="S11:U11"/>
    <mergeCell ref="L12:N12"/>
    <mergeCell ref="S12:U12"/>
    <mergeCell ref="L13:N13"/>
    <mergeCell ref="R13:U13"/>
    <mergeCell ref="J21:U21"/>
    <mergeCell ref="U27:V27"/>
    <mergeCell ref="M33:P33"/>
    <mergeCell ref="J24:N24"/>
    <mergeCell ref="A1:G1"/>
    <mergeCell ref="K2:U2"/>
    <mergeCell ref="M4:T4"/>
    <mergeCell ref="N5:O5"/>
    <mergeCell ref="R5:U5"/>
    <mergeCell ref="O3:R3"/>
    <mergeCell ref="S24:U24"/>
    <mergeCell ref="Q33:T33"/>
    <mergeCell ref="L20:N20"/>
    <mergeCell ref="L6:U6"/>
    <mergeCell ref="T8:U8"/>
    <mergeCell ref="L9:U9"/>
    <mergeCell ref="L10:U10"/>
    <mergeCell ref="M32:P32"/>
    <mergeCell ref="Q32:T32"/>
    <mergeCell ref="A33:G33"/>
    <mergeCell ref="N35:U35"/>
    <mergeCell ref="L8:Q8"/>
    <mergeCell ref="M29:T29"/>
    <mergeCell ref="L15:U15"/>
    <mergeCell ref="S20:U20"/>
    <mergeCell ref="J25:N25"/>
    <mergeCell ref="P25:Q25"/>
    <mergeCell ref="S25:T25"/>
    <mergeCell ref="U25:V25"/>
    <mergeCell ref="K27:L27"/>
    <mergeCell ref="N27:O27"/>
    <mergeCell ref="P27:Q27"/>
    <mergeCell ref="S27:T27"/>
  </mergeCells>
  <phoneticPr fontId="16" type="noConversion"/>
  <conditionalFormatting sqref="P22:U24">
    <cfRule type="expression" dxfId="14" priority="4">
      <formula>$S$3="#2"</formula>
    </cfRule>
  </conditionalFormatting>
  <conditionalFormatting sqref="K27:V27">
    <cfRule type="expression" dxfId="13" priority="3">
      <formula>$S$3="#2"</formula>
    </cfRule>
  </conditionalFormatting>
  <conditionalFormatting sqref="J22:N22">
    <cfRule type="expression" dxfId="12" priority="2">
      <formula>$S$3="#2"</formula>
    </cfRule>
  </conditionalFormatting>
  <conditionalFormatting sqref="J21:U21">
    <cfRule type="expression" dxfId="11" priority="1">
      <formula>$S$3&lt;&gt;"#2"</formula>
    </cfRule>
  </conditionalFormatting>
  <printOptions horizontalCentered="1" verticalCentered="1"/>
  <pageMargins left="0.2" right="0.2" top="0.2" bottom="0.2" header="0.51" footer="0.51"/>
  <pageSetup scale="45" orientation="landscape" horizontalDpi="4294967292" verticalDpi="4294967292"/>
  <drawing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4409A-CD2B-D847-B15D-2D9B75969139}">
  <sheetPr>
    <pageSetUpPr fitToPage="1"/>
  </sheetPr>
  <dimension ref="A1:V40"/>
  <sheetViews>
    <sheetView showGridLines="0" zoomScale="92" zoomScaleNormal="92" zoomScalePageLayoutView="92" workbookViewId="0">
      <selection activeCell="F15" sqref="F15"/>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Entry'!N41</f>
        <v/>
      </c>
      <c r="C3" s="30" t="str">
        <f>'Control Entry'!O41</f>
        <v/>
      </c>
      <c r="D3" s="31"/>
      <c r="E3" s="32" t="str">
        <f>IF(ISBLANK('Control Entry'!F41),"",'Control Entry'!F41)</f>
        <v/>
      </c>
      <c r="F3" s="97" t="str">
        <f>IF(ISBLANK('Control Entry'!I41),"",'Control Entry'!I41)</f>
        <v/>
      </c>
      <c r="G3" s="98"/>
      <c r="H3" s="27" t="s">
        <v>29</v>
      </c>
      <c r="K3" s="14"/>
      <c r="O3" s="149" t="s">
        <v>73</v>
      </c>
      <c r="P3" s="149"/>
      <c r="Q3" s="149"/>
      <c r="R3" s="149"/>
      <c r="S3" s="85" t="str">
        <f>IF('Control Entry'!D41&lt;&gt;0,"#3",IF(AND('Control Entry'!D41=0,'Control Entry'!D54&lt;&gt;0),"#1",""))</f>
        <v/>
      </c>
      <c r="T3" s="86"/>
      <c r="U3" s="42"/>
    </row>
    <row r="4" spans="1:22" ht="36" customHeight="1" x14ac:dyDescent="0.2">
      <c r="A4" s="38" t="str">
        <f>IF(ISBLANK('Control Entry'!D41),"",'Control Entry'!D41)</f>
        <v/>
      </c>
      <c r="B4" s="39" t="str">
        <f>'Control Entry'!N41</f>
        <v/>
      </c>
      <c r="C4" s="39" t="str">
        <f>'Control Entry'!O41</f>
        <v/>
      </c>
      <c r="D4" s="40" t="str">
        <f>IF(ISBLANK('Control Entry'!E41),"",'Control Entry'!E41)</f>
        <v/>
      </c>
      <c r="E4" s="32" t="str">
        <f>IF(ISBLANK('Control Entry'!G41),"",'Control Entry'!G41)</f>
        <v/>
      </c>
      <c r="F4" s="97" t="str">
        <f>IF(ISBLANK('Control Entry'!J41),"",'Control Entry'!J41)</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Entry'!N41</f>
        <v/>
      </c>
      <c r="C5" s="34" t="str">
        <f>'Control Entry'!O41</f>
        <v/>
      </c>
      <c r="D5" s="35"/>
      <c r="E5" s="36" t="str">
        <f>IF(ISBLANK('Control Entry'!H41),"",'Control Entry'!H41)</f>
        <v/>
      </c>
      <c r="F5" s="102" t="str">
        <f>IF(ISBLANK('Control Entry'!K41),"",'Control Entry'!K41)</f>
        <v/>
      </c>
      <c r="G5" s="101"/>
      <c r="H5" s="27" t="s">
        <v>29</v>
      </c>
      <c r="K5" s="14"/>
      <c r="M5" s="15"/>
      <c r="N5" s="147" t="s">
        <v>47</v>
      </c>
      <c r="O5" s="147"/>
      <c r="P5" s="61">
        <f>IF(ISBLANK(Brevet_Number),"",Brevet_Number)</f>
        <v>5159</v>
      </c>
      <c r="Q5" s="62"/>
      <c r="R5" s="135">
        <f>IF(ISBLANK('Control Entry'!$B10),"",'Control Entry'!$B10)</f>
        <v>44723</v>
      </c>
      <c r="S5" s="135"/>
      <c r="T5" s="135"/>
      <c r="U5" s="135"/>
      <c r="V5" s="44"/>
    </row>
    <row r="6" spans="1:22" ht="36" customHeight="1" x14ac:dyDescent="0.2">
      <c r="A6" s="29"/>
      <c r="B6" s="30" t="str">
        <f>'Control Entry'!N42</f>
        <v/>
      </c>
      <c r="C6" s="30" t="str">
        <f>'Control Entry'!O42</f>
        <v/>
      </c>
      <c r="D6" s="37"/>
      <c r="E6" s="32" t="str">
        <f>IF(ISBLANK('Control Entry'!F42),"",'Control Entry'!F42)</f>
        <v/>
      </c>
      <c r="F6" s="97" t="str">
        <f>IF(ISBLANK('Control Entry'!I42),"",'Control Entry'!I42)</f>
        <v/>
      </c>
      <c r="G6" s="98"/>
      <c r="H6" s="27" t="s">
        <v>29</v>
      </c>
      <c r="K6" s="14"/>
      <c r="L6" s="152" t="str">
        <f>IF(ISBLANK(Brevet_Description),"",Brevet_Description)</f>
        <v>Parks and Rivers</v>
      </c>
      <c r="M6" s="152"/>
      <c r="N6" s="152"/>
      <c r="O6" s="152"/>
      <c r="P6" s="152"/>
      <c r="Q6" s="152"/>
      <c r="R6" s="152"/>
      <c r="S6" s="152"/>
      <c r="T6" s="152"/>
      <c r="U6" s="152"/>
    </row>
    <row r="7" spans="1:22" ht="36" customHeight="1" x14ac:dyDescent="0.2">
      <c r="A7" s="38" t="str">
        <f>IF(ISBLANK('Control Entry'!D42),"",'Control Entry'!D42)</f>
        <v/>
      </c>
      <c r="B7" s="39" t="str">
        <f>'Control Entry'!N42</f>
        <v/>
      </c>
      <c r="C7" s="39" t="str">
        <f>'Control Entry'!O42</f>
        <v/>
      </c>
      <c r="D7" s="40" t="str">
        <f>IF(ISBLANK('Control Entry'!E42),"",'Control Entry'!E42)</f>
        <v/>
      </c>
      <c r="E7" s="32" t="str">
        <f>IF(ISBLANK('Control Entry'!G42),"",'Control Entry'!G42)</f>
        <v/>
      </c>
      <c r="F7" s="97" t="str">
        <f>IF(ISBLANK('Control Entry'!J42),"",'Control Entry'!J42)</f>
        <v/>
      </c>
      <c r="G7" s="98"/>
      <c r="H7" s="27" t="s">
        <v>29</v>
      </c>
    </row>
    <row r="8" spans="1:22" ht="36" customHeight="1" thickBot="1" x14ac:dyDescent="0.25">
      <c r="A8" s="33"/>
      <c r="B8" s="34" t="str">
        <f>'Control Entry'!N42</f>
        <v/>
      </c>
      <c r="C8" s="34" t="str">
        <f>'Control Entry'!O42</f>
        <v/>
      </c>
      <c r="D8" s="35"/>
      <c r="E8" s="36" t="str">
        <f>IF(ISBLANK('Control Entry'!H42),"",'Control Entry'!H42)</f>
        <v/>
      </c>
      <c r="F8" s="102" t="str">
        <f>IF(ISBLANK('Control Entry'!K42),"",'Control Entry'!K42)</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Entry'!N43</f>
        <v/>
      </c>
      <c r="C9" s="30" t="str">
        <f>'Control Entry'!O43</f>
        <v/>
      </c>
      <c r="D9" s="37"/>
      <c r="E9" s="32" t="str">
        <f>IF(ISBLANK('Control Entry'!F43),"",'Control Entry'!F43)</f>
        <v/>
      </c>
      <c r="F9" s="97" t="str">
        <f>IF(ISBLANK('Control Entry'!I43),"",'Control Entry'!I43)</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Entry'!D43),"",'Control Entry'!D43)</f>
        <v/>
      </c>
      <c r="B10" s="39" t="str">
        <f>'Control Entry'!N43</f>
        <v/>
      </c>
      <c r="C10" s="39" t="str">
        <f>'Control Entry'!O43</f>
        <v/>
      </c>
      <c r="D10" s="40" t="str">
        <f>IF(ISBLANK('Control Entry'!E43),"",'Control Entry'!E43)</f>
        <v/>
      </c>
      <c r="E10" s="32" t="str">
        <f>IF(ISBLANK('Control Entry'!G43),"",'Control Entry'!G43)</f>
        <v/>
      </c>
      <c r="F10" s="97" t="str">
        <f>IF(ISBLANK('Control Entry'!J43),"",'Control Entry'!J43)</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Entry'!N43</f>
        <v/>
      </c>
      <c r="C11" s="34" t="str">
        <f>'Control Entry'!O43</f>
        <v/>
      </c>
      <c r="D11" s="35"/>
      <c r="E11" s="36" t="str">
        <f>IF(ISBLANK('Control Entry'!H43),"",'Control Entry'!H43)</f>
        <v/>
      </c>
      <c r="F11" s="102" t="str">
        <f>IF(ISBLANK('Control Entry'!K43),"",'Control Entry'!K43)</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Entry'!N44</f>
        <v/>
      </c>
      <c r="C12" s="30" t="str">
        <f>'Control Entry'!O44</f>
        <v/>
      </c>
      <c r="D12" s="37"/>
      <c r="E12" s="32" t="str">
        <f>IF(ISBLANK('Control Entry'!F44),"",'Control Entry'!F44)</f>
        <v/>
      </c>
      <c r="F12" s="97" t="str">
        <f>IF(ISBLANK('Control Entry'!I44),"",'Control Entry'!I44)</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Entry'!D44),"",'Control Entry'!D44)</f>
        <v/>
      </c>
      <c r="B13" s="39" t="str">
        <f>'Control Entry'!N44</f>
        <v/>
      </c>
      <c r="C13" s="39" t="str">
        <f>'Control Entry'!O44</f>
        <v/>
      </c>
      <c r="D13" s="40" t="str">
        <f>IF(ISBLANK('Control Entry'!E44),"",'Control Entry'!E44)</f>
        <v/>
      </c>
      <c r="E13" s="32" t="str">
        <f>IF(ISBLANK('Control Entry'!G44),"",'Control Entry'!G44)</f>
        <v/>
      </c>
      <c r="F13" s="97" t="str">
        <f>IF(ISBLANK('Control Entry'!J44),"",'Control Entry'!J44)</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Entry'!N44</f>
        <v/>
      </c>
      <c r="C14" s="34" t="str">
        <f>'Control Entry'!O44</f>
        <v/>
      </c>
      <c r="D14" s="35"/>
      <c r="E14" s="36" t="str">
        <f>IF(ISBLANK('Control Entry'!H44),"",'Control Entry'!H44)</f>
        <v/>
      </c>
      <c r="F14" s="102" t="str">
        <f>IF(ISBLANK('Control Entry'!K44),"",'Control Entry'!K44)</f>
        <v/>
      </c>
      <c r="G14" s="101"/>
      <c r="H14" s="27" t="s">
        <v>29</v>
      </c>
    </row>
    <row r="15" spans="1:22" ht="36" customHeight="1" x14ac:dyDescent="0.2">
      <c r="A15" s="29"/>
      <c r="B15" s="30" t="str">
        <f>'Control Entry'!N45</f>
        <v/>
      </c>
      <c r="C15" s="30" t="str">
        <f>'Control Entry'!O45</f>
        <v/>
      </c>
      <c r="D15" s="37"/>
      <c r="E15" s="32" t="str">
        <f>IF(ISBLANK('Control Entry'!F45),"",'Control Entry'!F45)</f>
        <v/>
      </c>
      <c r="F15" s="97" t="str">
        <f>IF(ISBLANK('Control Entry'!I45),"",'Control Entry'!I45)</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Entry'!D45),"",'Control Entry'!D45)</f>
        <v/>
      </c>
      <c r="B16" s="39" t="str">
        <f>'Control Entry'!N45</f>
        <v/>
      </c>
      <c r="C16" s="39" t="str">
        <f>'Control Entry'!O45</f>
        <v/>
      </c>
      <c r="D16" s="40" t="str">
        <f>IF(ISBLANK('Control Entry'!E45),"",'Control Entry'!E45)</f>
        <v/>
      </c>
      <c r="E16" s="32" t="str">
        <f>IF(ISBLANK('Control Entry'!G45),"",'Control Entry'!G45)</f>
        <v/>
      </c>
      <c r="F16" s="97" t="str">
        <f>IF(ISBLANK('Control Entry'!J45),"",'Control Entry'!J45)</f>
        <v/>
      </c>
      <c r="G16" s="98"/>
      <c r="H16" s="27" t="s">
        <v>29</v>
      </c>
      <c r="L16" s="160"/>
      <c r="M16" s="160"/>
      <c r="N16" s="160"/>
      <c r="O16" s="160"/>
      <c r="P16" s="160"/>
      <c r="Q16" s="160"/>
      <c r="R16" s="160"/>
      <c r="S16" s="160"/>
      <c r="T16" s="160"/>
      <c r="U16" s="160"/>
    </row>
    <row r="17" spans="1:22" ht="36" customHeight="1" thickBot="1" x14ac:dyDescent="0.25">
      <c r="A17" s="33"/>
      <c r="B17" s="34" t="str">
        <f>'Control Entry'!N45</f>
        <v/>
      </c>
      <c r="C17" s="34" t="str">
        <f>'Control Entry'!O45</f>
        <v/>
      </c>
      <c r="D17" s="35"/>
      <c r="E17" s="36" t="str">
        <f>IF(ISBLANK('Control Entry'!H45),"",'Control Entry'!H45)</f>
        <v/>
      </c>
      <c r="F17" s="102" t="str">
        <f>IF(ISBLANK('Control Entry'!K45),"",'Control Entry'!K45)</f>
        <v/>
      </c>
      <c r="G17" s="101"/>
      <c r="H17" s="27" t="s">
        <v>29</v>
      </c>
    </row>
    <row r="18" spans="1:22" ht="36" customHeight="1" x14ac:dyDescent="0.2">
      <c r="A18" s="29"/>
      <c r="B18" s="30" t="str">
        <f>'Control Entry'!N46</f>
        <v/>
      </c>
      <c r="C18" s="30" t="str">
        <f>'Control Entry'!O46</f>
        <v/>
      </c>
      <c r="D18" s="37"/>
      <c r="E18" s="32" t="str">
        <f>IF(ISBLANK('Control Entry'!F46),"",'Control Entry'!F46)</f>
        <v/>
      </c>
      <c r="F18" s="97" t="str">
        <f>IF(ISBLANK('Control Entry'!I46),"",'Control Entry'!I46)</f>
        <v/>
      </c>
      <c r="G18" s="98"/>
      <c r="H18" s="27" t="s">
        <v>29</v>
      </c>
    </row>
    <row r="19" spans="1:22" ht="36" customHeight="1" x14ac:dyDescent="0.2">
      <c r="A19" s="38" t="str">
        <f>IF(ISBLANK('Control Entry'!D46),"",'Control Entry'!D46)</f>
        <v/>
      </c>
      <c r="B19" s="39" t="str">
        <f>'Control Entry'!N46</f>
        <v/>
      </c>
      <c r="C19" s="39" t="str">
        <f>'Control Entry'!O46</f>
        <v/>
      </c>
      <c r="D19" s="40" t="str">
        <f>IF(ISBLANK('Control Entry'!E46),"",'Control Entry'!E46)</f>
        <v/>
      </c>
      <c r="E19" s="32" t="str">
        <f>IF(ISBLANK('Control Entry'!G46),"",'Control Entry'!G46)</f>
        <v/>
      </c>
      <c r="F19" s="97" t="str">
        <f>IF(ISBLANK('Control Entry'!J46),"",'Control Entry'!J46)</f>
        <v/>
      </c>
      <c r="G19" s="98"/>
      <c r="H19" s="27" t="s">
        <v>29</v>
      </c>
    </row>
    <row r="20" spans="1:22" ht="36" customHeight="1" thickBot="1" x14ac:dyDescent="0.25">
      <c r="A20" s="33"/>
      <c r="B20" s="34" t="str">
        <f>'Control Entry'!N46</f>
        <v/>
      </c>
      <c r="C20" s="34" t="str">
        <f>'Control Entry'!O46</f>
        <v/>
      </c>
      <c r="D20" s="35"/>
      <c r="E20" s="36" t="str">
        <f>IF(ISBLANK('Control Entry'!H46),"",'Control Entry'!H46)</f>
        <v/>
      </c>
      <c r="F20" s="102" t="str">
        <f>IF(ISBLANK('Control Entry'!K46),"",'Control Entry'!K46)</f>
        <v/>
      </c>
      <c r="G20" s="101"/>
      <c r="H20" s="27" t="s">
        <v>29</v>
      </c>
      <c r="J20" s="59" t="s">
        <v>44</v>
      </c>
      <c r="K20" s="59"/>
      <c r="L20" s="145">
        <f>IF(ISBLANK('Control Entry'!B12),"",'Control Entry'!B12)</f>
        <v>44723</v>
      </c>
      <c r="M20" s="145"/>
      <c r="N20" s="145"/>
      <c r="P20" s="18" t="s">
        <v>0</v>
      </c>
      <c r="Q20" s="18"/>
      <c r="S20" s="150">
        <f>IF(ISBLANK('Control Entry'!B13),"",'Control Entry'!B13)</f>
        <v>0.25</v>
      </c>
      <c r="T20" s="150"/>
      <c r="U20" s="150"/>
    </row>
    <row r="21" spans="1:22" ht="36" customHeight="1" x14ac:dyDescent="0.2">
      <c r="A21" s="29"/>
      <c r="B21" s="30" t="str">
        <f>'Control Entry'!N47</f>
        <v/>
      </c>
      <c r="C21" s="30" t="str">
        <f>'Control Entry'!O47</f>
        <v/>
      </c>
      <c r="D21" s="37"/>
      <c r="E21" s="32" t="str">
        <f>IF(ISBLANK('Control Entry'!F47),"",'Control Entry'!F47)</f>
        <v/>
      </c>
      <c r="F21" s="97" t="str">
        <f>IF(ISBLANK('Control Entry'!I47),"",'Control Entry'!I47)</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Entry'!D47),"",'Control Entry'!D47)</f>
        <v/>
      </c>
      <c r="B22" s="39" t="str">
        <f>'Control Entry'!N47</f>
        <v/>
      </c>
      <c r="C22" s="39" t="str">
        <f>'Control Entry'!O47</f>
        <v/>
      </c>
      <c r="D22" s="40" t="str">
        <f>IF(ISBLANK('Control Entry'!E47),"",'Control Entry'!E47)</f>
        <v/>
      </c>
      <c r="E22" s="32" t="str">
        <f>IF(ISBLANK('Control Entry'!G47),"",'Control Entry'!G47)</f>
        <v/>
      </c>
      <c r="F22" s="97" t="str">
        <f>IF(ISBLANK('Control Entry'!J47),"",'Control Entry'!J47)</f>
        <v/>
      </c>
      <c r="G22" s="98"/>
      <c r="H22" s="27" t="s">
        <v>29</v>
      </c>
      <c r="J22" s="81" t="s">
        <v>45</v>
      </c>
      <c r="K22" s="81"/>
      <c r="L22" s="103"/>
      <c r="M22" s="103"/>
      <c r="N22" s="103"/>
      <c r="O22" s="19"/>
      <c r="P22" s="18" t="s">
        <v>1</v>
      </c>
      <c r="Q22" s="18"/>
      <c r="R22" s="19"/>
      <c r="S22" s="153"/>
      <c r="T22" s="153"/>
      <c r="U22" s="153"/>
    </row>
    <row r="23" spans="1:22" ht="36" customHeight="1" thickBot="1" x14ac:dyDescent="0.25">
      <c r="A23" s="33"/>
      <c r="B23" s="34" t="str">
        <f>'Control Entry'!N47</f>
        <v/>
      </c>
      <c r="C23" s="34" t="str">
        <f>'Control Entry'!O47</f>
        <v/>
      </c>
      <c r="D23" s="35"/>
      <c r="E23" s="36" t="str">
        <f>IF(ISBLANK('Control Entry'!H47),"",'Control Entry'!H47)</f>
        <v/>
      </c>
      <c r="F23" s="102" t="str">
        <f>IF(ISBLANK('Control Entry'!K47),"",'Control Entry'!K47)</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Entry'!N48</f>
        <v/>
      </c>
      <c r="C24" s="30" t="str">
        <f>'Control Entry'!O48</f>
        <v/>
      </c>
      <c r="D24" s="37"/>
      <c r="E24" s="32" t="str">
        <f>IF(ISBLANK('Control Entry'!F48),"",'Control Entry'!F48)</f>
        <v/>
      </c>
      <c r="F24" s="97" t="str">
        <f>IF(ISBLANK('Control Entry'!I48),"",'Control Entry'!I48)</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Entry'!D48),"",'Control Entry'!D48)</f>
        <v/>
      </c>
      <c r="B25" s="39" t="str">
        <f>'Control Entry'!N48</f>
        <v/>
      </c>
      <c r="C25" s="39" t="str">
        <f>'Control Entry'!O48</f>
        <v/>
      </c>
      <c r="D25" s="40" t="str">
        <f>IF(ISBLANK('Control Entry'!E48),"",'Control Entry'!E48)</f>
        <v/>
      </c>
      <c r="E25" s="32" t="str">
        <f>IF(ISBLANK('Control Entry'!G48),"",'Control Entry'!G48)</f>
        <v/>
      </c>
      <c r="F25" s="97" t="str">
        <f>IF(ISBLANK('Control Entry'!J48),"",'Control Entry'!J48)</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Entry'!N48</f>
        <v/>
      </c>
      <c r="C26" s="34" t="str">
        <f>'Control Entry'!O48</f>
        <v/>
      </c>
      <c r="D26" s="35"/>
      <c r="E26" s="36" t="str">
        <f>IF(ISBLANK('Control Entry'!H48),"",'Control Entry'!H48)</f>
        <v/>
      </c>
      <c r="F26" s="102" t="str">
        <f>IF(ISBLANK('Control Entry'!K48),"",'Control Entry'!K48)</f>
        <v/>
      </c>
      <c r="G26" s="101"/>
      <c r="H26" s="27" t="s">
        <v>29</v>
      </c>
    </row>
    <row r="27" spans="1:22" ht="36" customHeight="1" x14ac:dyDescent="0.2">
      <c r="A27" s="29"/>
      <c r="B27" s="30" t="str">
        <f>'Control Entry'!N49</f>
        <v/>
      </c>
      <c r="C27" s="30" t="str">
        <f>'Control Entry'!O49</f>
        <v/>
      </c>
      <c r="D27" s="37"/>
      <c r="E27" s="32" t="str">
        <f>IF(ISBLANK('Control Entry'!F49),"",'Control Entry'!F49)</f>
        <v/>
      </c>
      <c r="F27" s="97" t="str">
        <f>IF(ISBLANK('Control Entry'!I49),"",'Control Entry'!I49)</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Entry'!D49),"",'Control Entry'!D49)</f>
        <v/>
      </c>
      <c r="B28" s="39" t="str">
        <f>'Control Entry'!N49</f>
        <v/>
      </c>
      <c r="C28" s="39" t="str">
        <f>'Control Entry'!O49</f>
        <v/>
      </c>
      <c r="D28" s="40" t="str">
        <f>IF(ISBLANK('Control Entry'!E49),"",'Control Entry'!E49)</f>
        <v/>
      </c>
      <c r="E28" s="32" t="str">
        <f>IF(ISBLANK('Control Entry'!G49),"",'Control Entry'!G49)</f>
        <v/>
      </c>
      <c r="F28" s="97" t="str">
        <f>IF(ISBLANK('Control Entry'!J49),"",'Control Entry'!J49)</f>
        <v/>
      </c>
      <c r="G28" s="98"/>
      <c r="H28" s="27" t="s">
        <v>29</v>
      </c>
    </row>
    <row r="29" spans="1:22" ht="36" customHeight="1" thickBot="1" x14ac:dyDescent="0.25">
      <c r="A29" s="33"/>
      <c r="B29" s="34" t="str">
        <f>'Control Entry'!N49</f>
        <v/>
      </c>
      <c r="C29" s="34" t="str">
        <f>'Control Entry'!O49</f>
        <v/>
      </c>
      <c r="D29" s="35"/>
      <c r="E29" s="36" t="str">
        <f>IF(ISBLANK('Control Entry'!H49),"",'Control Entry'!H49)</f>
        <v/>
      </c>
      <c r="F29" s="102" t="str">
        <f>IF(ISBLANK('Control Entry'!K49),"",'Control Entry'!K49)</f>
        <v/>
      </c>
      <c r="G29" s="101"/>
      <c r="H29" s="27" t="s">
        <v>29</v>
      </c>
      <c r="M29" s="124" t="s">
        <v>42</v>
      </c>
      <c r="N29" s="124"/>
      <c r="O29" s="124"/>
      <c r="P29" s="124"/>
      <c r="Q29" s="124"/>
      <c r="R29" s="124"/>
      <c r="S29" s="124"/>
      <c r="T29" s="124"/>
      <c r="U29" s="54"/>
    </row>
    <row r="30" spans="1:22" ht="36" customHeight="1" x14ac:dyDescent="0.2">
      <c r="A30" s="29"/>
      <c r="B30" s="30" t="str">
        <f>'Control Entry'!N50</f>
        <v/>
      </c>
      <c r="C30" s="30" t="str">
        <f>'Control Entry'!O50</f>
        <v/>
      </c>
      <c r="D30" s="37"/>
      <c r="E30" s="32" t="str">
        <f>IF(ISBLANK('Control Entry'!F50),"",'Control Entry'!F50)</f>
        <v/>
      </c>
      <c r="F30" s="97" t="str">
        <f>IF(ISBLANK('Control Entry'!I50),"",'Control Entry'!I50)</f>
        <v/>
      </c>
      <c r="G30" s="98"/>
      <c r="H30" s="27" t="s">
        <v>29</v>
      </c>
      <c r="M30" s="16"/>
      <c r="N30" s="20"/>
      <c r="O30" s="20"/>
      <c r="P30" s="21"/>
      <c r="Q30" s="104"/>
      <c r="R30" s="20"/>
      <c r="S30" s="20"/>
      <c r="T30" s="21"/>
      <c r="U30" s="22"/>
    </row>
    <row r="31" spans="1:22" ht="36" customHeight="1" x14ac:dyDescent="0.2">
      <c r="A31" s="38" t="str">
        <f>IF(ISBLANK('Control Entry'!D50),"",'Control Entry'!D50)</f>
        <v/>
      </c>
      <c r="B31" s="39" t="str">
        <f>'Control Entry'!N50</f>
        <v/>
      </c>
      <c r="C31" s="39" t="str">
        <f>'Control Entry'!O50</f>
        <v/>
      </c>
      <c r="D31" s="40" t="str">
        <f>IF(ISBLANK('Control Entry'!E50),"",'Control Entry'!E50)</f>
        <v/>
      </c>
      <c r="E31" s="32" t="str">
        <f>IF(ISBLANK('Control Entry'!G50),"",'Control Entry'!G50)</f>
        <v/>
      </c>
      <c r="F31" s="97" t="str">
        <f>IF(ISBLANK('Control Entry'!J50),"",'Control Entry'!J50)</f>
        <v/>
      </c>
      <c r="G31" s="98"/>
      <c r="H31" s="27" t="s">
        <v>29</v>
      </c>
      <c r="M31" s="17"/>
      <c r="N31" s="22"/>
      <c r="O31" s="22"/>
      <c r="P31" s="23"/>
      <c r="Q31" s="105"/>
      <c r="R31" s="22"/>
      <c r="S31" s="22"/>
      <c r="T31" s="23"/>
      <c r="U31" s="22"/>
    </row>
    <row r="32" spans="1:22" ht="36" customHeight="1" thickBot="1" x14ac:dyDescent="0.25">
      <c r="A32" s="33"/>
      <c r="B32" s="34" t="str">
        <f>'Control Entry'!N50</f>
        <v/>
      </c>
      <c r="C32" s="34" t="str">
        <f>'Control Entry'!O50</f>
        <v/>
      </c>
      <c r="D32" s="35"/>
      <c r="E32" s="36" t="str">
        <f>IF(ISBLANK('Control Entry'!H50),"",'Control Entry'!H50)</f>
        <v/>
      </c>
      <c r="F32" s="102" t="str">
        <f>IF(ISBLANK('Control Entry'!K50),"",'Control Entry'!K50)</f>
        <v/>
      </c>
      <c r="G32" s="101"/>
      <c r="H32" s="27" t="s">
        <v>29</v>
      </c>
      <c r="M32" s="138" t="s">
        <v>82</v>
      </c>
      <c r="N32" s="139"/>
      <c r="O32" s="139"/>
      <c r="P32" s="140"/>
      <c r="Q32" s="141">
        <f>'Control Entry'!B3</f>
        <v>44700</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44711</v>
      </c>
      <c r="R33" s="129"/>
      <c r="S33" s="129"/>
      <c r="T33" s="129"/>
      <c r="U33" s="92"/>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n04OlOPypxKiXZHfTF7SZ14P8gX/OWk/qktZJUCZqh+6Nv8BjLLr9UXJBNwuWtsY5jnC73Xiuu+JFtcLWZMoiA==" saltValue="FabpdyB7wrMR7nA5d9noMA==" spinCount="100000" sheet="1" objects="1" scenarios="1" formatCells="0" selectLockedCells="1"/>
  <mergeCells count="41">
    <mergeCell ref="S22:U22"/>
    <mergeCell ref="J24:N24"/>
    <mergeCell ref="S24:U24"/>
    <mergeCell ref="S11:U11"/>
    <mergeCell ref="L12:N12"/>
    <mergeCell ref="S12:U12"/>
    <mergeCell ref="L13:N13"/>
    <mergeCell ref="R13:U13"/>
    <mergeCell ref="J21:U21"/>
    <mergeCell ref="M33:P33"/>
    <mergeCell ref="Q33:T33"/>
    <mergeCell ref="L20:N20"/>
    <mergeCell ref="A33:G33"/>
    <mergeCell ref="N35:U35"/>
    <mergeCell ref="U27:V27"/>
    <mergeCell ref="M29:T29"/>
    <mergeCell ref="K27:L27"/>
    <mergeCell ref="N27:O27"/>
    <mergeCell ref="P27:Q27"/>
    <mergeCell ref="S27:T27"/>
    <mergeCell ref="J25:N25"/>
    <mergeCell ref="P25:Q25"/>
    <mergeCell ref="S25:T25"/>
    <mergeCell ref="U25:V25"/>
    <mergeCell ref="M32:P32"/>
    <mergeCell ref="Q32:T32"/>
    <mergeCell ref="A1:G1"/>
    <mergeCell ref="K2:U2"/>
    <mergeCell ref="M4:T4"/>
    <mergeCell ref="N5:O5"/>
    <mergeCell ref="R5:U5"/>
    <mergeCell ref="O3:R3"/>
    <mergeCell ref="L6:U6"/>
    <mergeCell ref="L8:Q8"/>
    <mergeCell ref="T8:U8"/>
    <mergeCell ref="L15:U15"/>
    <mergeCell ref="S20:U20"/>
    <mergeCell ref="L9:U9"/>
    <mergeCell ref="L10:U10"/>
    <mergeCell ref="L11:N11"/>
    <mergeCell ref="L16:U16"/>
  </mergeCells>
  <conditionalFormatting sqref="P22:U24">
    <cfRule type="expression" dxfId="10" priority="4">
      <formula>$S$3="#3"</formula>
    </cfRule>
  </conditionalFormatting>
  <conditionalFormatting sqref="J22:N22">
    <cfRule type="expression" dxfId="9" priority="3">
      <formula>$S$3="#3"</formula>
    </cfRule>
  </conditionalFormatting>
  <conditionalFormatting sqref="K27:V27">
    <cfRule type="expression" dxfId="8" priority="2">
      <formula>$S$3="#3"</formula>
    </cfRule>
  </conditionalFormatting>
  <conditionalFormatting sqref="J21:U21">
    <cfRule type="expression" dxfId="7" priority="1">
      <formula>$S$3&lt;&gt;"#3"</formula>
    </cfRule>
  </conditionalFormatting>
  <printOptions horizontalCentered="1" verticalCentered="1"/>
  <pageMargins left="0.2" right="0.2" top="0.2" bottom="0.2" header="0.51" footer="0.51"/>
  <pageSetup scale="45" orientation="landscape" horizontalDpi="4294967292" verticalDpi="4294967292"/>
  <ignoredErrors>
    <ignoredError sqref="L20" unlockedFormula="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6F177-8884-5D4F-9CF4-14229878B446}">
  <sheetPr>
    <pageSetUpPr fitToPage="1"/>
  </sheetPr>
  <dimension ref="A1:V40"/>
  <sheetViews>
    <sheetView showGridLines="0" zoomScale="92" zoomScaleNormal="92" zoomScalePageLayoutView="92" workbookViewId="0">
      <selection activeCell="L8" sqref="L8:Q8"/>
    </sheetView>
  </sheetViews>
  <sheetFormatPr baseColWidth="10" defaultColWidth="8.83203125" defaultRowHeight="13" x14ac:dyDescent="0.15"/>
  <cols>
    <col min="1" max="1" width="8.5" style="1" customWidth="1"/>
    <col min="2" max="2" width="11.5" customWidth="1"/>
    <col min="3" max="3" width="11.6640625" customWidth="1"/>
    <col min="4" max="4" width="18" customWidth="1"/>
    <col min="5" max="5" width="23.83203125" customWidth="1"/>
    <col min="6" max="6" width="42" customWidth="1"/>
    <col min="7" max="7" width="13.5" customWidth="1"/>
    <col min="8" max="8" width="8" style="28" customWidth="1"/>
    <col min="9" max="9" width="12" customWidth="1"/>
    <col min="18" max="19" width="8.83203125" customWidth="1"/>
  </cols>
  <sheetData>
    <row r="1" spans="1:22" ht="21" thickBot="1" x14ac:dyDescent="0.2">
      <c r="A1" s="130" t="s">
        <v>74</v>
      </c>
      <c r="B1" s="130"/>
      <c r="C1" s="130"/>
      <c r="D1" s="130"/>
      <c r="E1" s="130"/>
      <c r="F1" s="130"/>
      <c r="G1" s="130"/>
      <c r="H1" s="27" t="s">
        <v>29</v>
      </c>
    </row>
    <row r="2" spans="1:22" ht="33.75" customHeight="1" thickBot="1" x14ac:dyDescent="0.25">
      <c r="A2" s="74" t="s">
        <v>30</v>
      </c>
      <c r="B2" s="9" t="s">
        <v>3</v>
      </c>
      <c r="C2" s="9" t="s">
        <v>4</v>
      </c>
      <c r="D2" s="9" t="s">
        <v>25</v>
      </c>
      <c r="E2" s="9" t="s">
        <v>31</v>
      </c>
      <c r="F2" s="9" t="s">
        <v>59</v>
      </c>
      <c r="G2" s="74" t="s">
        <v>32</v>
      </c>
      <c r="H2" s="27" t="s">
        <v>29</v>
      </c>
      <c r="K2" s="136" t="s">
        <v>55</v>
      </c>
      <c r="L2" s="136"/>
      <c r="M2" s="136"/>
      <c r="N2" s="136"/>
      <c r="O2" s="136"/>
      <c r="P2" s="136"/>
      <c r="Q2" s="136"/>
      <c r="R2" s="136"/>
      <c r="S2" s="136"/>
      <c r="T2" s="136"/>
      <c r="U2" s="136"/>
    </row>
    <row r="3" spans="1:22" ht="36" customHeight="1" x14ac:dyDescent="0.45">
      <c r="A3" s="29"/>
      <c r="B3" s="30" t="str">
        <f>'Control Entry'!N54</f>
        <v/>
      </c>
      <c r="C3" s="30" t="str">
        <f>'Control Entry'!O54</f>
        <v/>
      </c>
      <c r="D3" s="31"/>
      <c r="E3" s="32" t="str">
        <f>IF(ISBLANK('Control Entry'!F54),"",'Control Entry'!F54)</f>
        <v/>
      </c>
      <c r="F3" s="97" t="str">
        <f>IF(ISBLANK('Control Entry'!I54),"",'Control Entry'!I54)</f>
        <v/>
      </c>
      <c r="G3" s="98"/>
      <c r="H3" s="27" t="s">
        <v>29</v>
      </c>
      <c r="K3" s="14"/>
      <c r="O3" s="149" t="s">
        <v>73</v>
      </c>
      <c r="P3" s="149"/>
      <c r="Q3" s="149"/>
      <c r="R3" s="149"/>
      <c r="S3" s="85" t="str">
        <f>IF(AND('Control Entry'!D41=0,'Control Entry'!D54&lt;&gt;0),"#2",IF('Control Entry'!D54=0,"","#4"))</f>
        <v/>
      </c>
      <c r="T3" s="86"/>
      <c r="U3" s="42"/>
    </row>
    <row r="4" spans="1:22" ht="36" customHeight="1" x14ac:dyDescent="0.2">
      <c r="A4" s="38" t="str">
        <f>IF(ISBLANK('Control Entry'!D54),"",'Control Entry'!D54)</f>
        <v/>
      </c>
      <c r="B4" s="39" t="str">
        <f>'Control Entry'!N54</f>
        <v/>
      </c>
      <c r="C4" s="39" t="str">
        <f>'Control Entry'!O54</f>
        <v/>
      </c>
      <c r="D4" s="40" t="str">
        <f>IF(ISBLANK('Control Entry'!E54),"",'Control Entry'!E54)</f>
        <v/>
      </c>
      <c r="E4" s="32" t="str">
        <f>IF(ISBLANK('Control Entry'!G54),"",'Control Entry'!G54)</f>
        <v/>
      </c>
      <c r="F4" s="97" t="str">
        <f>IF(ISBLANK('Control Entry'!J54),"",'Control Entry'!J54)</f>
        <v/>
      </c>
      <c r="G4" s="98"/>
      <c r="H4" s="27" t="s">
        <v>29</v>
      </c>
      <c r="K4" s="14"/>
      <c r="M4" s="132" t="str">
        <f>IF(ISBLANK(brevet),"",brevet&amp;" km Randonnée")</f>
        <v>300 km Randonnée</v>
      </c>
      <c r="N4" s="132"/>
      <c r="O4" s="132"/>
      <c r="P4" s="132"/>
      <c r="Q4" s="132"/>
      <c r="R4" s="132"/>
      <c r="S4" s="132"/>
      <c r="T4" s="132"/>
      <c r="U4" s="43"/>
    </row>
    <row r="5" spans="1:22" ht="36" customHeight="1" thickBot="1" x14ac:dyDescent="0.25">
      <c r="A5" s="33"/>
      <c r="B5" s="34" t="str">
        <f>'Control Entry'!N54</f>
        <v/>
      </c>
      <c r="C5" s="34" t="str">
        <f>'Control Entry'!O54</f>
        <v/>
      </c>
      <c r="D5" s="35"/>
      <c r="E5" s="36" t="str">
        <f>IF(ISBLANK('Control Entry'!H54),"",'Control Entry'!H54)</f>
        <v/>
      </c>
      <c r="F5" s="102" t="str">
        <f>IF(ISBLANK('Control Entry'!K54),"",'Control Entry'!K54)</f>
        <v/>
      </c>
      <c r="G5" s="101"/>
      <c r="H5" s="27" t="s">
        <v>29</v>
      </c>
      <c r="K5" s="14"/>
      <c r="M5" s="15"/>
      <c r="N5" s="147" t="s">
        <v>47</v>
      </c>
      <c r="O5" s="147"/>
      <c r="P5" s="61">
        <f>IF(ISBLANK(Brevet_Number),"",Brevet_Number)</f>
        <v>5159</v>
      </c>
      <c r="Q5" s="62"/>
      <c r="R5" s="135">
        <f>IF(ISBLANK('Control Entry'!$B10),"",'Control Entry'!$B10)</f>
        <v>44723</v>
      </c>
      <c r="S5" s="135"/>
      <c r="T5" s="135"/>
      <c r="U5" s="135"/>
      <c r="V5" s="44"/>
    </row>
    <row r="6" spans="1:22" ht="36" customHeight="1" x14ac:dyDescent="0.2">
      <c r="A6" s="29"/>
      <c r="B6" s="30" t="str">
        <f>'Control Entry'!N55</f>
        <v/>
      </c>
      <c r="C6" s="30" t="str">
        <f>'Control Entry'!O55</f>
        <v/>
      </c>
      <c r="D6" s="37"/>
      <c r="E6" s="32" t="str">
        <f>IF(ISBLANK('Control Entry'!F55),"",'Control Entry'!F55)</f>
        <v/>
      </c>
      <c r="F6" s="97" t="str">
        <f>IF(ISBLANK('Control Entry'!I55),"",'Control Entry'!I55)</f>
        <v/>
      </c>
      <c r="G6" s="98"/>
      <c r="H6" s="27" t="s">
        <v>29</v>
      </c>
      <c r="K6" s="14"/>
      <c r="L6" s="152" t="str">
        <f>IF(ISBLANK(Brevet_Description),"",Brevet_Description)</f>
        <v>Parks and Rivers</v>
      </c>
      <c r="M6" s="152"/>
      <c r="N6" s="152"/>
      <c r="O6" s="152"/>
      <c r="P6" s="152"/>
      <c r="Q6" s="152"/>
      <c r="R6" s="152"/>
      <c r="S6" s="152"/>
      <c r="T6" s="152"/>
      <c r="U6" s="152"/>
    </row>
    <row r="7" spans="1:22" ht="36" customHeight="1" x14ac:dyDescent="0.2">
      <c r="A7" s="38" t="str">
        <f>IF(ISBLANK('Control Entry'!D55),"",'Control Entry'!D55)</f>
        <v/>
      </c>
      <c r="B7" s="39" t="str">
        <f>'Control Entry'!N55</f>
        <v/>
      </c>
      <c r="C7" s="39" t="str">
        <f>'Control Entry'!O55</f>
        <v/>
      </c>
      <c r="D7" s="40" t="str">
        <f>IF(ISBLANK('Control Entry'!E55),"",'Control Entry'!E55)</f>
        <v/>
      </c>
      <c r="E7" s="32" t="str">
        <f>IF(ISBLANK('Control Entry'!G55),"",'Control Entry'!G55)</f>
        <v/>
      </c>
      <c r="F7" s="97" t="str">
        <f>IF(ISBLANK('Control Entry'!J55),"",'Control Entry'!J55)</f>
        <v/>
      </c>
      <c r="G7" s="98"/>
      <c r="H7" s="27" t="s">
        <v>29</v>
      </c>
    </row>
    <row r="8" spans="1:22" ht="36" customHeight="1" thickBot="1" x14ac:dyDescent="0.25">
      <c r="A8" s="33"/>
      <c r="B8" s="34" t="str">
        <f>'Control Entry'!N55</f>
        <v/>
      </c>
      <c r="C8" s="34" t="str">
        <f>'Control Entry'!O55</f>
        <v/>
      </c>
      <c r="D8" s="35"/>
      <c r="E8" s="36" t="str">
        <f>IF(ISBLANK('Control Entry'!H55),"",'Control Entry'!H55)</f>
        <v/>
      </c>
      <c r="F8" s="102" t="str">
        <f>IF(ISBLANK('Control Entry'!K55),"",'Control Entry'!K55)</f>
        <v/>
      </c>
      <c r="G8" s="101"/>
      <c r="H8" s="27" t="s">
        <v>29</v>
      </c>
      <c r="J8" s="15" t="s">
        <v>34</v>
      </c>
      <c r="L8" s="137"/>
      <c r="M8" s="137"/>
      <c r="N8" s="137"/>
      <c r="O8" s="137"/>
      <c r="P8" s="137"/>
      <c r="Q8" s="137"/>
      <c r="R8" s="28"/>
      <c r="S8" s="45" t="s">
        <v>46</v>
      </c>
      <c r="T8" s="144"/>
      <c r="U8" s="144"/>
    </row>
    <row r="9" spans="1:22" ht="36" customHeight="1" thickBot="1" x14ac:dyDescent="0.3">
      <c r="A9" s="29"/>
      <c r="B9" s="30" t="str">
        <f>'Control Entry'!N56</f>
        <v/>
      </c>
      <c r="C9" s="30" t="str">
        <f>'Control Entry'!O56</f>
        <v/>
      </c>
      <c r="D9" s="37"/>
      <c r="E9" s="32" t="str">
        <f>IF(ISBLANK('Control Entry'!F56),"",'Control Entry'!F56)</f>
        <v/>
      </c>
      <c r="F9" s="97" t="str">
        <f>IF(ISBLANK('Control Entry'!I56),"",'Control Entry'!I56)</f>
        <v/>
      </c>
      <c r="G9" s="98"/>
      <c r="H9" s="27" t="s">
        <v>29</v>
      </c>
      <c r="J9" s="15" t="s">
        <v>35</v>
      </c>
      <c r="K9" s="15"/>
      <c r="L9" s="154" t="s">
        <v>54</v>
      </c>
      <c r="M9" s="154"/>
      <c r="N9" s="154"/>
      <c r="O9" s="154"/>
      <c r="P9" s="154"/>
      <c r="Q9" s="154"/>
      <c r="R9" s="154"/>
      <c r="S9" s="154"/>
      <c r="T9" s="154"/>
      <c r="U9" s="154"/>
    </row>
    <row r="10" spans="1:22" ht="36" customHeight="1" thickBot="1" x14ac:dyDescent="0.3">
      <c r="A10" s="38" t="str">
        <f>IF(ISBLANK('Control Entry'!D56),"",'Control Entry'!D56)</f>
        <v/>
      </c>
      <c r="B10" s="39" t="str">
        <f>'Control Entry'!N56</f>
        <v/>
      </c>
      <c r="C10" s="39" t="str">
        <f>'Control Entry'!O56</f>
        <v/>
      </c>
      <c r="D10" s="40" t="str">
        <f>IF(ISBLANK('Control Entry'!E56),"",'Control Entry'!E56)</f>
        <v/>
      </c>
      <c r="E10" s="32" t="str">
        <f>IF(ISBLANK('Control Entry'!G56),"",'Control Entry'!G56)</f>
        <v/>
      </c>
      <c r="F10" s="97" t="str">
        <f>IF(ISBLANK('Control Entry'!J56),"",'Control Entry'!J56)</f>
        <v/>
      </c>
      <c r="G10" s="98"/>
      <c r="H10" s="27" t="s">
        <v>29</v>
      </c>
      <c r="J10" s="15"/>
      <c r="K10" s="15"/>
      <c r="L10" s="146"/>
      <c r="M10" s="146"/>
      <c r="N10" s="146"/>
      <c r="O10" s="146"/>
      <c r="P10" s="146"/>
      <c r="Q10" s="146"/>
      <c r="R10" s="146"/>
      <c r="S10" s="146"/>
      <c r="T10" s="146"/>
      <c r="U10" s="146"/>
    </row>
    <row r="11" spans="1:22" ht="36" customHeight="1" thickBot="1" x14ac:dyDescent="0.3">
      <c r="A11" s="33"/>
      <c r="B11" s="34" t="str">
        <f>'Control Entry'!N56</f>
        <v/>
      </c>
      <c r="C11" s="34" t="str">
        <f>'Control Entry'!O56</f>
        <v/>
      </c>
      <c r="D11" s="35"/>
      <c r="E11" s="36" t="str">
        <f>IF(ISBLANK('Control Entry'!H56),"",'Control Entry'!H56)</f>
        <v/>
      </c>
      <c r="F11" s="102" t="str">
        <f>IF(ISBLANK('Control Entry'!K56),"",'Control Entry'!K56)</f>
        <v/>
      </c>
      <c r="G11" s="101"/>
      <c r="H11" s="27" t="s">
        <v>29</v>
      </c>
      <c r="J11" s="15" t="s">
        <v>36</v>
      </c>
      <c r="K11" s="15"/>
      <c r="L11" s="146"/>
      <c r="M11" s="146"/>
      <c r="N11" s="146"/>
      <c r="O11" s="18"/>
      <c r="P11" s="18" t="s">
        <v>37</v>
      </c>
      <c r="Q11" s="18"/>
      <c r="R11" s="18"/>
      <c r="S11" s="133"/>
      <c r="T11" s="133"/>
      <c r="U11" s="133"/>
    </row>
    <row r="12" spans="1:22" ht="36" customHeight="1" thickBot="1" x14ac:dyDescent="0.3">
      <c r="A12" s="29"/>
      <c r="B12" s="30" t="str">
        <f>'Control Entry'!N57</f>
        <v/>
      </c>
      <c r="C12" s="30" t="str">
        <f>'Control Entry'!O57</f>
        <v/>
      </c>
      <c r="D12" s="37"/>
      <c r="E12" s="32" t="str">
        <f>IF(ISBLANK('Control Entry'!F57),"",'Control Entry'!F57)</f>
        <v/>
      </c>
      <c r="F12" s="97" t="str">
        <f>IF(ISBLANK('Control Entry'!I57),"",'Control Entry'!I57)</f>
        <v/>
      </c>
      <c r="G12" s="98"/>
      <c r="H12" s="27" t="s">
        <v>29</v>
      </c>
      <c r="J12" s="15" t="s">
        <v>38</v>
      </c>
      <c r="K12" s="15"/>
      <c r="L12" s="146"/>
      <c r="M12" s="146"/>
      <c r="N12" s="146"/>
      <c r="O12" s="18"/>
      <c r="P12" s="18" t="s">
        <v>39</v>
      </c>
      <c r="Q12" s="18"/>
      <c r="R12" s="18"/>
      <c r="S12" s="133"/>
      <c r="T12" s="133"/>
      <c r="U12" s="133"/>
    </row>
    <row r="13" spans="1:22" ht="36" customHeight="1" thickBot="1" x14ac:dyDescent="0.3">
      <c r="A13" s="38" t="str">
        <f>IF(ISBLANK('Control Entry'!D57),"",'Control Entry'!D57)</f>
        <v/>
      </c>
      <c r="B13" s="39" t="str">
        <f>'Control Entry'!N57</f>
        <v/>
      </c>
      <c r="C13" s="39" t="str">
        <f>'Control Entry'!O57</f>
        <v/>
      </c>
      <c r="D13" s="40" t="str">
        <f>IF(ISBLANK('Control Entry'!E57),"",'Control Entry'!E57)</f>
        <v/>
      </c>
      <c r="E13" s="32" t="str">
        <f>IF(ISBLANK('Control Entry'!G57),"",'Control Entry'!G57)</f>
        <v/>
      </c>
      <c r="F13" s="97" t="str">
        <f>IF(ISBLANK('Control Entry'!J57),"",'Control Entry'!J57)</f>
        <v/>
      </c>
      <c r="G13" s="98"/>
      <c r="H13" s="27" t="s">
        <v>29</v>
      </c>
      <c r="J13" s="15" t="s">
        <v>40</v>
      </c>
      <c r="L13" s="157"/>
      <c r="M13" s="157"/>
      <c r="N13" s="157"/>
      <c r="O13" s="19"/>
      <c r="P13" s="18" t="s">
        <v>41</v>
      </c>
      <c r="Q13" s="18"/>
      <c r="R13" s="134"/>
      <c r="S13" s="134"/>
      <c r="T13" s="134"/>
      <c r="U13" s="134"/>
    </row>
    <row r="14" spans="1:22" ht="36" customHeight="1" thickBot="1" x14ac:dyDescent="0.25">
      <c r="A14" s="33"/>
      <c r="B14" s="34" t="str">
        <f>'Control Entry'!N57</f>
        <v/>
      </c>
      <c r="C14" s="34" t="str">
        <f>'Control Entry'!O57</f>
        <v/>
      </c>
      <c r="D14" s="35"/>
      <c r="E14" s="36" t="str">
        <f>IF(ISBLANK('Control Entry'!H57),"",'Control Entry'!H57)</f>
        <v/>
      </c>
      <c r="F14" s="102" t="str">
        <f>IF(ISBLANK('Control Entry'!K57),"",'Control Entry'!K57)</f>
        <v/>
      </c>
      <c r="G14" s="101"/>
      <c r="H14" s="27" t="s">
        <v>29</v>
      </c>
    </row>
    <row r="15" spans="1:22" ht="36" customHeight="1" x14ac:dyDescent="0.2">
      <c r="A15" s="29"/>
      <c r="B15" s="30" t="str">
        <f>'Control Entry'!N58</f>
        <v/>
      </c>
      <c r="C15" s="30" t="str">
        <f>'Control Entry'!O58</f>
        <v/>
      </c>
      <c r="D15" s="37"/>
      <c r="E15" s="32" t="str">
        <f>IF(ISBLANK('Control Entry'!F58),"",'Control Entry'!F58)</f>
        <v/>
      </c>
      <c r="F15" s="97" t="str">
        <f>IF(ISBLANK('Control Entry'!I58),"",'Control Entry'!I58)</f>
        <v/>
      </c>
      <c r="G15" s="98"/>
      <c r="H15" s="27" t="s">
        <v>29</v>
      </c>
      <c r="J15" s="15"/>
      <c r="L15" s="151" t="s">
        <v>58</v>
      </c>
      <c r="M15" s="151"/>
      <c r="N15" s="151"/>
      <c r="O15" s="151"/>
      <c r="P15" s="151"/>
      <c r="Q15" s="151"/>
      <c r="R15" s="151"/>
      <c r="S15" s="151"/>
      <c r="T15" s="151"/>
      <c r="U15" s="151"/>
    </row>
    <row r="16" spans="1:22" ht="36" customHeight="1" thickBot="1" x14ac:dyDescent="0.25">
      <c r="A16" s="38" t="str">
        <f>IF(ISBLANK('Control Entry'!D58),"",'Control Entry'!D58)</f>
        <v/>
      </c>
      <c r="B16" s="39" t="str">
        <f>'Control Entry'!N58</f>
        <v/>
      </c>
      <c r="C16" s="39" t="str">
        <f>'Control Entry'!O58</f>
        <v/>
      </c>
      <c r="D16" s="40" t="str">
        <f>IF(ISBLANK('Control Entry'!E58),"",'Control Entry'!E58)</f>
        <v/>
      </c>
      <c r="E16" s="32" t="str">
        <f>IF(ISBLANK('Control Entry'!G58),"",'Control Entry'!G58)</f>
        <v/>
      </c>
      <c r="F16" s="97" t="str">
        <f>IF(ISBLANK('Control Entry'!J58),"",'Control Entry'!J58)</f>
        <v/>
      </c>
      <c r="G16" s="98"/>
      <c r="H16" s="27" t="s">
        <v>29</v>
      </c>
      <c r="L16" s="160"/>
      <c r="M16" s="160"/>
      <c r="N16" s="160"/>
      <c r="O16" s="160"/>
      <c r="P16" s="160"/>
      <c r="Q16" s="160"/>
      <c r="R16" s="160"/>
      <c r="S16" s="160"/>
      <c r="T16" s="160"/>
      <c r="U16" s="160"/>
    </row>
    <row r="17" spans="1:22" ht="36" customHeight="1" thickBot="1" x14ac:dyDescent="0.25">
      <c r="A17" s="33"/>
      <c r="B17" s="34" t="str">
        <f>'Control Entry'!N58</f>
        <v/>
      </c>
      <c r="C17" s="34" t="str">
        <f>'Control Entry'!O58</f>
        <v/>
      </c>
      <c r="D17" s="35"/>
      <c r="E17" s="36" t="str">
        <f>IF(ISBLANK('Control Entry'!H58),"",'Control Entry'!H58)</f>
        <v/>
      </c>
      <c r="F17" s="102" t="str">
        <f>IF(ISBLANK('Control Entry'!K58),"",'Control Entry'!K58)</f>
        <v/>
      </c>
      <c r="G17" s="101"/>
      <c r="H17" s="27" t="s">
        <v>29</v>
      </c>
    </row>
    <row r="18" spans="1:22" ht="36" customHeight="1" x14ac:dyDescent="0.2">
      <c r="A18" s="29"/>
      <c r="B18" s="30" t="str">
        <f>'Control Entry'!N59</f>
        <v/>
      </c>
      <c r="C18" s="30" t="str">
        <f>'Control Entry'!O59</f>
        <v/>
      </c>
      <c r="D18" s="37"/>
      <c r="E18" s="32" t="str">
        <f>IF(ISBLANK('Control Entry'!F59),"",'Control Entry'!F59)</f>
        <v/>
      </c>
      <c r="F18" s="97" t="str">
        <f>IF(ISBLANK('Control Entry'!I59),"",'Control Entry'!I59)</f>
        <v/>
      </c>
      <c r="G18" s="98"/>
      <c r="H18" s="27" t="s">
        <v>29</v>
      </c>
    </row>
    <row r="19" spans="1:22" ht="36" customHeight="1" x14ac:dyDescent="0.2">
      <c r="A19" s="38" t="str">
        <f>IF(ISBLANK('Control Entry'!D59),"",'Control Entry'!D59)</f>
        <v/>
      </c>
      <c r="B19" s="39" t="str">
        <f>'Control Entry'!N59</f>
        <v/>
      </c>
      <c r="C19" s="39" t="str">
        <f>'Control Entry'!O59</f>
        <v/>
      </c>
      <c r="D19" s="40" t="str">
        <f>IF(ISBLANK('Control Entry'!E59),"",'Control Entry'!E59)</f>
        <v/>
      </c>
      <c r="E19" s="32" t="str">
        <f>IF(ISBLANK('Control Entry'!G59),"",'Control Entry'!G59)</f>
        <v/>
      </c>
      <c r="F19" s="97" t="str">
        <f>IF(ISBLANK('Control Entry'!J59),"",'Control Entry'!J59)</f>
        <v/>
      </c>
      <c r="G19" s="98"/>
      <c r="H19" s="27" t="s">
        <v>29</v>
      </c>
    </row>
    <row r="20" spans="1:22" ht="36" customHeight="1" thickBot="1" x14ac:dyDescent="0.25">
      <c r="A20" s="33"/>
      <c r="B20" s="34" t="str">
        <f>'Control Entry'!N59</f>
        <v/>
      </c>
      <c r="C20" s="34" t="str">
        <f>'Control Entry'!O59</f>
        <v/>
      </c>
      <c r="D20" s="35"/>
      <c r="E20" s="36" t="str">
        <f>IF(ISBLANK('Control Entry'!H59),"",'Control Entry'!H59)</f>
        <v/>
      </c>
      <c r="F20" s="102" t="str">
        <f>IF(ISBLANK('Control Entry'!K59),"",'Control Entry'!K59)</f>
        <v/>
      </c>
      <c r="G20" s="101"/>
      <c r="H20" s="27" t="s">
        <v>29</v>
      </c>
      <c r="J20" s="59" t="s">
        <v>44</v>
      </c>
      <c r="K20" s="59"/>
      <c r="L20" s="145">
        <f>IF(ISBLANK('Control Entry'!B12),"",'Control Entry'!B12)</f>
        <v>44723</v>
      </c>
      <c r="M20" s="145"/>
      <c r="N20" s="145"/>
      <c r="P20" s="18" t="s">
        <v>0</v>
      </c>
      <c r="Q20" s="18"/>
      <c r="S20" s="150">
        <f>IF(ISBLANK('Control Entry'!B13),"",'Control Entry'!B13)</f>
        <v>0.25</v>
      </c>
      <c r="T20" s="150"/>
      <c r="U20" s="150"/>
    </row>
    <row r="21" spans="1:22" ht="36" customHeight="1" x14ac:dyDescent="0.2">
      <c r="A21" s="29"/>
      <c r="B21" s="30" t="str">
        <f>'Control Entry'!N60</f>
        <v/>
      </c>
      <c r="C21" s="30" t="str">
        <f>'Control Entry'!O60</f>
        <v/>
      </c>
      <c r="D21" s="37"/>
      <c r="E21" s="32" t="str">
        <f>IF(ISBLANK('Control Entry'!F60),"",'Control Entry'!F60)</f>
        <v/>
      </c>
      <c r="F21" s="97" t="str">
        <f>IF(ISBLANK('Control Entry'!I60),"",'Control Entry'!I60)</f>
        <v/>
      </c>
      <c r="G21" s="98"/>
      <c r="H21" s="27" t="s">
        <v>29</v>
      </c>
      <c r="J21" s="159" t="s">
        <v>90</v>
      </c>
      <c r="K21" s="159"/>
      <c r="L21" s="159"/>
      <c r="M21" s="159"/>
      <c r="N21" s="159"/>
      <c r="O21" s="159"/>
      <c r="P21" s="159"/>
      <c r="Q21" s="159"/>
      <c r="R21" s="159"/>
      <c r="S21" s="159"/>
      <c r="T21" s="159"/>
      <c r="U21" s="159"/>
      <c r="V21" s="28"/>
    </row>
    <row r="22" spans="1:22" ht="36" customHeight="1" thickBot="1" x14ac:dyDescent="0.25">
      <c r="A22" s="38" t="str">
        <f>IF(ISBLANK('Control Entry'!D60),"",'Control Entry'!D60)</f>
        <v/>
      </c>
      <c r="B22" s="39" t="str">
        <f>'Control Entry'!N60</f>
        <v/>
      </c>
      <c r="C22" s="39" t="str">
        <f>'Control Entry'!O60</f>
        <v/>
      </c>
      <c r="D22" s="40" t="str">
        <f>IF(ISBLANK('Control Entry'!E60),"",'Control Entry'!E60)</f>
        <v/>
      </c>
      <c r="E22" s="32" t="str">
        <f>IF(ISBLANK('Control Entry'!G60),"",'Control Entry'!G60)</f>
        <v/>
      </c>
      <c r="F22" s="97" t="str">
        <f>IF(ISBLANK('Control Entry'!J60),"",'Control Entry'!J60)</f>
        <v/>
      </c>
      <c r="G22" s="98"/>
      <c r="H22" s="27" t="s">
        <v>29</v>
      </c>
      <c r="J22" s="18" t="s">
        <v>45</v>
      </c>
      <c r="K22" s="18"/>
      <c r="L22" s="19"/>
      <c r="M22" s="153"/>
      <c r="N22" s="153"/>
      <c r="O22" s="153"/>
      <c r="P22" s="18" t="s">
        <v>1</v>
      </c>
      <c r="Q22" s="18"/>
      <c r="R22" s="19"/>
      <c r="S22" s="153"/>
      <c r="T22" s="153"/>
      <c r="U22" s="153"/>
    </row>
    <row r="23" spans="1:22" ht="36" customHeight="1" thickBot="1" x14ac:dyDescent="0.25">
      <c r="A23" s="33"/>
      <c r="B23" s="34" t="str">
        <f>'Control Entry'!N60</f>
        <v/>
      </c>
      <c r="C23" s="34" t="str">
        <f>'Control Entry'!O60</f>
        <v/>
      </c>
      <c r="D23" s="35"/>
      <c r="E23" s="36" t="str">
        <f>IF(ISBLANK('Control Entry'!H60),"",'Control Entry'!H60)</f>
        <v/>
      </c>
      <c r="F23" s="102" t="str">
        <f>IF(ISBLANK('Control Entry'!K60),"",'Control Entry'!K60)</f>
        <v/>
      </c>
      <c r="G23" s="101"/>
      <c r="H23" s="27" t="s">
        <v>29</v>
      </c>
      <c r="J23" s="81"/>
      <c r="K23" s="81"/>
      <c r="L23" s="57"/>
      <c r="M23" s="57"/>
      <c r="N23" s="57"/>
      <c r="O23" s="22"/>
      <c r="P23" s="56"/>
      <c r="Q23" s="56"/>
      <c r="R23" s="22"/>
      <c r="S23" s="22"/>
      <c r="T23" s="22"/>
      <c r="U23" s="22"/>
      <c r="V23" s="28"/>
    </row>
    <row r="24" spans="1:22" ht="36" customHeight="1" thickBot="1" x14ac:dyDescent="0.25">
      <c r="A24" s="29"/>
      <c r="B24" s="30" t="str">
        <f>'Control Entry'!N61</f>
        <v/>
      </c>
      <c r="C24" s="30" t="str">
        <f>'Control Entry'!O61</f>
        <v/>
      </c>
      <c r="D24" s="37"/>
      <c r="E24" s="32" t="str">
        <f>IF(ISBLANK('Control Entry'!F61),"",'Control Entry'!F61)</f>
        <v/>
      </c>
      <c r="F24" s="97" t="str">
        <f>IF(ISBLANK('Control Entry'!I61),"",'Control Entry'!I61)</f>
        <v/>
      </c>
      <c r="G24" s="98"/>
      <c r="H24" s="27" t="s">
        <v>29</v>
      </c>
      <c r="J24" s="153"/>
      <c r="K24" s="153"/>
      <c r="L24" s="153"/>
      <c r="M24" s="153"/>
      <c r="N24" s="153"/>
      <c r="O24" s="19"/>
      <c r="P24" s="18" t="s">
        <v>2</v>
      </c>
      <c r="Q24" s="18"/>
      <c r="R24" s="19"/>
      <c r="S24" s="153"/>
      <c r="T24" s="153"/>
      <c r="U24" s="153"/>
    </row>
    <row r="25" spans="1:22" ht="36" customHeight="1" x14ac:dyDescent="0.2">
      <c r="A25" s="38" t="str">
        <f>IF(ISBLANK('Control Entry'!D61),"",'Control Entry'!D61)</f>
        <v/>
      </c>
      <c r="B25" s="39" t="str">
        <f>'Control Entry'!N61</f>
        <v/>
      </c>
      <c r="C25" s="39" t="str">
        <f>'Control Entry'!O61</f>
        <v/>
      </c>
      <c r="D25" s="40" t="str">
        <f>IF(ISBLANK('Control Entry'!E61),"",'Control Entry'!E61)</f>
        <v/>
      </c>
      <c r="E25" s="32" t="str">
        <f>IF(ISBLANK('Control Entry'!G61),"",'Control Entry'!G61)</f>
        <v/>
      </c>
      <c r="F25" s="97" t="str">
        <f>IF(ISBLANK('Control Entry'!J61),"",'Control Entry'!J61)</f>
        <v/>
      </c>
      <c r="G25" s="98"/>
      <c r="H25" s="27" t="s">
        <v>29</v>
      </c>
      <c r="J25" s="148" t="s">
        <v>17</v>
      </c>
      <c r="K25" s="148"/>
      <c r="L25" s="148"/>
      <c r="M25" s="148"/>
      <c r="N25" s="148"/>
      <c r="O25" s="51"/>
      <c r="P25" s="125"/>
      <c r="Q25" s="125"/>
      <c r="R25" s="51"/>
      <c r="S25" s="123"/>
      <c r="T25" s="123"/>
      <c r="U25" s="123"/>
      <c r="V25" s="123"/>
    </row>
    <row r="26" spans="1:22" ht="36" customHeight="1" thickBot="1" x14ac:dyDescent="0.25">
      <c r="A26" s="33"/>
      <c r="B26" s="34" t="str">
        <f>'Control Entry'!N61</f>
        <v/>
      </c>
      <c r="C26" s="34" t="str">
        <f>'Control Entry'!O61</f>
        <v/>
      </c>
      <c r="D26" s="35"/>
      <c r="E26" s="36" t="str">
        <f>IF(ISBLANK('Control Entry'!H61),"",'Control Entry'!H61)</f>
        <v/>
      </c>
      <c r="F26" s="102" t="str">
        <f>IF(ISBLANK('Control Entry'!K61),"",'Control Entry'!K61)</f>
        <v/>
      </c>
      <c r="G26" s="101"/>
      <c r="H26" s="27" t="s">
        <v>29</v>
      </c>
    </row>
    <row r="27" spans="1:22" ht="36" customHeight="1" x14ac:dyDescent="0.2">
      <c r="A27" s="29"/>
      <c r="B27" s="30" t="str">
        <f>'Control Entry'!N62</f>
        <v/>
      </c>
      <c r="C27" s="30" t="str">
        <f>'Control Entry'!O62</f>
        <v/>
      </c>
      <c r="D27" s="37"/>
      <c r="E27" s="32" t="str">
        <f>IF(ISBLANK('Control Entry'!F62),"",'Control Entry'!F62)</f>
        <v/>
      </c>
      <c r="F27" s="97" t="str">
        <f>IF(ISBLANK('Control Entry'!I62),"",'Control Entry'!I62)</f>
        <v/>
      </c>
      <c r="G27" s="98"/>
      <c r="H27" s="27" t="s">
        <v>29</v>
      </c>
      <c r="K27" s="132" t="s">
        <v>56</v>
      </c>
      <c r="L27" s="125"/>
      <c r="M27" s="50" t="s">
        <v>57</v>
      </c>
      <c r="N27" s="125" t="s">
        <v>49</v>
      </c>
      <c r="O27" s="125"/>
      <c r="P27" s="125" t="s">
        <v>50</v>
      </c>
      <c r="Q27" s="125"/>
      <c r="R27" s="51" t="s">
        <v>51</v>
      </c>
      <c r="S27" s="123" t="s">
        <v>52</v>
      </c>
      <c r="T27" s="123"/>
      <c r="U27" s="123" t="s">
        <v>53</v>
      </c>
      <c r="V27" s="123"/>
    </row>
    <row r="28" spans="1:22" ht="36" customHeight="1" x14ac:dyDescent="0.2">
      <c r="A28" s="38" t="str">
        <f>IF(ISBLANK('Control Entry'!D62),"",'Control Entry'!D62)</f>
        <v/>
      </c>
      <c r="B28" s="39" t="str">
        <f>'Control Entry'!N62</f>
        <v/>
      </c>
      <c r="C28" s="39" t="str">
        <f>'Control Entry'!O62</f>
        <v/>
      </c>
      <c r="D28" s="40" t="str">
        <f>IF(ISBLANK('Control Entry'!E62),"",'Control Entry'!E62)</f>
        <v/>
      </c>
      <c r="E28" s="32" t="str">
        <f>IF(ISBLANK('Control Entry'!G62),"",'Control Entry'!G62)</f>
        <v/>
      </c>
      <c r="F28" s="97" t="str">
        <f>IF(ISBLANK('Control Entry'!J62),"",'Control Entry'!J62)</f>
        <v/>
      </c>
      <c r="G28" s="98"/>
      <c r="H28" s="27" t="s">
        <v>29</v>
      </c>
    </row>
    <row r="29" spans="1:22" ht="36" customHeight="1" thickBot="1" x14ac:dyDescent="0.25">
      <c r="A29" s="33"/>
      <c r="B29" s="34" t="str">
        <f>'Control Entry'!N62</f>
        <v/>
      </c>
      <c r="C29" s="34" t="str">
        <f>'Control Entry'!O62</f>
        <v/>
      </c>
      <c r="D29" s="35"/>
      <c r="E29" s="36" t="str">
        <f>IF(ISBLANK('Control Entry'!H62),"",'Control Entry'!H62)</f>
        <v/>
      </c>
      <c r="F29" s="102" t="str">
        <f>IF(ISBLANK('Control Entry'!K62),"",'Control Entry'!K62)</f>
        <v/>
      </c>
      <c r="G29" s="101"/>
      <c r="H29" s="27" t="s">
        <v>29</v>
      </c>
      <c r="M29" s="124" t="s">
        <v>42</v>
      </c>
      <c r="N29" s="124"/>
      <c r="O29" s="124"/>
      <c r="P29" s="124"/>
      <c r="Q29" s="124"/>
      <c r="R29" s="124"/>
      <c r="S29" s="124"/>
      <c r="T29" s="124"/>
      <c r="U29" s="54"/>
    </row>
    <row r="30" spans="1:22" ht="36" customHeight="1" x14ac:dyDescent="0.2">
      <c r="A30" s="29"/>
      <c r="B30" s="30" t="str">
        <f>'Control Entry'!N63</f>
        <v/>
      </c>
      <c r="C30" s="30" t="str">
        <f>'Control Entry'!O63</f>
        <v/>
      </c>
      <c r="D30" s="37"/>
      <c r="E30" s="32" t="str">
        <f>IF(ISBLANK('Control Entry'!F63),"",'Control Entry'!F63)</f>
        <v/>
      </c>
      <c r="F30" s="97" t="str">
        <f>IF(ISBLANK('Control Entry'!I63),"",'Control Entry'!I63)</f>
        <v/>
      </c>
      <c r="G30" s="98"/>
      <c r="H30" s="27" t="s">
        <v>29</v>
      </c>
      <c r="M30" s="16"/>
      <c r="N30" s="20"/>
      <c r="O30" s="20"/>
      <c r="P30" s="21"/>
      <c r="Q30" s="104"/>
      <c r="R30" s="20"/>
      <c r="S30" s="20"/>
      <c r="T30" s="21"/>
      <c r="U30" s="22"/>
    </row>
    <row r="31" spans="1:22" ht="36" customHeight="1" x14ac:dyDescent="0.2">
      <c r="A31" s="38" t="str">
        <f>IF(ISBLANK('Control Entry'!D63),"",'Control Entry'!D63)</f>
        <v/>
      </c>
      <c r="B31" s="39" t="str">
        <f>'Control Entry'!N63</f>
        <v/>
      </c>
      <c r="C31" s="39" t="str">
        <f>'Control Entry'!O63</f>
        <v/>
      </c>
      <c r="D31" s="40" t="str">
        <f>IF(ISBLANK('Control Entry'!E63),"",'Control Entry'!E63)</f>
        <v/>
      </c>
      <c r="E31" s="32" t="str">
        <f>IF(ISBLANK('Control Entry'!G63),"",'Control Entry'!G63)</f>
        <v/>
      </c>
      <c r="F31" s="97" t="str">
        <f>IF(ISBLANK('Control Entry'!J63),"",'Control Entry'!J63)</f>
        <v/>
      </c>
      <c r="G31" s="98"/>
      <c r="H31" s="27" t="s">
        <v>29</v>
      </c>
      <c r="M31" s="17"/>
      <c r="N31" s="22"/>
      <c r="O31" s="22"/>
      <c r="P31" s="23"/>
      <c r="Q31" s="105"/>
      <c r="R31" s="22"/>
      <c r="S31" s="22"/>
      <c r="T31" s="23"/>
      <c r="U31" s="22"/>
    </row>
    <row r="32" spans="1:22" ht="36" customHeight="1" thickBot="1" x14ac:dyDescent="0.25">
      <c r="A32" s="33"/>
      <c r="B32" s="34" t="str">
        <f>'Control Entry'!N63</f>
        <v/>
      </c>
      <c r="C32" s="34" t="str">
        <f>'Control Entry'!O63</f>
        <v/>
      </c>
      <c r="D32" s="35"/>
      <c r="E32" s="36" t="str">
        <f>IF(ISBLANK('Control Entry'!H63),"",'Control Entry'!H63)</f>
        <v/>
      </c>
      <c r="F32" s="102" t="str">
        <f>IF(ISBLANK('Control Entry'!K63),"",'Control Entry'!K63)</f>
        <v/>
      </c>
      <c r="G32" s="101"/>
      <c r="H32" s="27" t="s">
        <v>29</v>
      </c>
      <c r="M32" s="138" t="s">
        <v>82</v>
      </c>
      <c r="N32" s="139"/>
      <c r="O32" s="139"/>
      <c r="P32" s="140"/>
      <c r="Q32" s="141">
        <f>'Control Entry'!B3</f>
        <v>44700</v>
      </c>
      <c r="R32" s="142"/>
      <c r="S32" s="142"/>
      <c r="T32" s="143"/>
      <c r="U32" s="22"/>
    </row>
    <row r="33" spans="1:22" ht="36" customHeight="1" x14ac:dyDescent="0.2">
      <c r="A33" s="131" t="s">
        <v>43</v>
      </c>
      <c r="B33" s="131"/>
      <c r="C33" s="131"/>
      <c r="D33" s="131"/>
      <c r="E33" s="131"/>
      <c r="F33" s="131"/>
      <c r="G33" s="131"/>
      <c r="H33" s="41"/>
      <c r="I33" s="41"/>
      <c r="M33" s="126" t="s">
        <v>86</v>
      </c>
      <c r="N33" s="127"/>
      <c r="O33" s="127"/>
      <c r="P33" s="127"/>
      <c r="Q33" s="128">
        <f>'Control Entry'!B4</f>
        <v>44711</v>
      </c>
      <c r="R33" s="129"/>
      <c r="S33" s="129"/>
      <c r="T33" s="129"/>
      <c r="U33" s="92"/>
      <c r="V33" s="57"/>
    </row>
    <row r="34" spans="1:22" ht="36" customHeight="1" x14ac:dyDescent="0.2">
      <c r="A34"/>
      <c r="O34" s="47"/>
      <c r="P34" s="47"/>
      <c r="Q34" s="47"/>
      <c r="R34" s="46"/>
    </row>
    <row r="35" spans="1:22" ht="36" customHeight="1" x14ac:dyDescent="0.2">
      <c r="A35"/>
      <c r="N35" s="124"/>
      <c r="O35" s="124"/>
      <c r="P35" s="124"/>
      <c r="Q35" s="124"/>
      <c r="R35" s="124"/>
      <c r="S35" s="124"/>
      <c r="T35" s="124"/>
      <c r="U35" s="124"/>
    </row>
    <row r="36" spans="1:22" ht="36" customHeight="1" x14ac:dyDescent="0.15">
      <c r="A36"/>
      <c r="N36" s="28"/>
      <c r="O36" s="22"/>
      <c r="P36" s="22"/>
      <c r="Q36" s="22"/>
      <c r="R36" s="22"/>
      <c r="S36" s="22"/>
      <c r="T36" s="22"/>
      <c r="U36" s="22"/>
    </row>
    <row r="37" spans="1:22" ht="36" customHeight="1" x14ac:dyDescent="0.15">
      <c r="A37"/>
      <c r="N37" s="28"/>
      <c r="O37" s="22"/>
      <c r="P37" s="22"/>
      <c r="Q37" s="22"/>
      <c r="R37" s="22"/>
      <c r="S37" s="22"/>
      <c r="T37" s="22"/>
      <c r="U37" s="22"/>
    </row>
    <row r="38" spans="1:22" ht="36" customHeight="1" x14ac:dyDescent="0.2">
      <c r="A38"/>
      <c r="N38" s="55"/>
      <c r="O38" s="22"/>
      <c r="P38" s="22"/>
      <c r="Q38" s="22"/>
      <c r="R38" s="22"/>
      <c r="S38" s="22"/>
      <c r="T38" s="22"/>
      <c r="U38" s="22"/>
    </row>
    <row r="39" spans="1:22" ht="36" customHeight="1" x14ac:dyDescent="0.15">
      <c r="A39"/>
    </row>
    <row r="40" spans="1:22" ht="36" customHeight="1" x14ac:dyDescent="0.15">
      <c r="A40"/>
    </row>
  </sheetData>
  <sheetProtection algorithmName="SHA-512" hashValue="m+5DxS5z0jGPz2enrJCRgFwjkf0y6S+KVRFuN1IjzuBtg7DxgRkCvJA9CD6YWcWRfvJNtgkjCl2dSguY7geJVQ==" saltValue="ged3XotTQX8HcL4AYG6aUg==" spinCount="100000" sheet="1" objects="1" scenarios="1" formatCells="0" selectLockedCells="1"/>
  <mergeCells count="42">
    <mergeCell ref="J21:U21"/>
    <mergeCell ref="L11:N11"/>
    <mergeCell ref="S11:U11"/>
    <mergeCell ref="A1:G1"/>
    <mergeCell ref="K2:U2"/>
    <mergeCell ref="O3:R3"/>
    <mergeCell ref="M4:T4"/>
    <mergeCell ref="N5:O5"/>
    <mergeCell ref="R5:U5"/>
    <mergeCell ref="L6:U6"/>
    <mergeCell ref="L8:Q8"/>
    <mergeCell ref="T8:U8"/>
    <mergeCell ref="L9:U9"/>
    <mergeCell ref="L10:U10"/>
    <mergeCell ref="J25:N25"/>
    <mergeCell ref="P25:Q25"/>
    <mergeCell ref="S25:T25"/>
    <mergeCell ref="U25:V25"/>
    <mergeCell ref="L12:N12"/>
    <mergeCell ref="S12:U12"/>
    <mergeCell ref="L13:N13"/>
    <mergeCell ref="R13:U13"/>
    <mergeCell ref="L15:U15"/>
    <mergeCell ref="L16:U16"/>
    <mergeCell ref="L20:N20"/>
    <mergeCell ref="S20:U20"/>
    <mergeCell ref="S22:U22"/>
    <mergeCell ref="J24:N24"/>
    <mergeCell ref="S24:U24"/>
    <mergeCell ref="M22:O22"/>
    <mergeCell ref="A33:G33"/>
    <mergeCell ref="M33:P33"/>
    <mergeCell ref="Q33:T33"/>
    <mergeCell ref="N35:U35"/>
    <mergeCell ref="K27:L27"/>
    <mergeCell ref="N27:O27"/>
    <mergeCell ref="P27:Q27"/>
    <mergeCell ref="S27:T27"/>
    <mergeCell ref="U27:V27"/>
    <mergeCell ref="M29:T29"/>
    <mergeCell ref="M32:P32"/>
    <mergeCell ref="Q32:T32"/>
  </mergeCells>
  <conditionalFormatting sqref="K27:V27">
    <cfRule type="expression" dxfId="6" priority="8">
      <formula>$S$3="#4"</formula>
    </cfRule>
    <cfRule type="expression" dxfId="5" priority="7">
      <formula>$S$3="#2"</formula>
    </cfRule>
  </conditionalFormatting>
  <conditionalFormatting sqref="P22:U24">
    <cfRule type="expression" dxfId="4" priority="6">
      <formula>$S$3="#4"</formula>
    </cfRule>
    <cfRule type="expression" dxfId="3" priority="5">
      <formula>$S$3="#2"</formula>
    </cfRule>
  </conditionalFormatting>
  <conditionalFormatting sqref="J22:O22">
    <cfRule type="expression" dxfId="2" priority="3">
      <formula>$S$3="#2"</formula>
    </cfRule>
    <cfRule type="expression" dxfId="1" priority="4">
      <formula>$S$3="#4"</formula>
    </cfRule>
  </conditionalFormatting>
  <conditionalFormatting sqref="J21:U21">
    <cfRule type="expression" dxfId="0" priority="2">
      <formula>AND($S$3&lt;&gt;"#2",$S$3&lt;&gt;"#4")</formula>
    </cfRule>
  </conditionalFormatting>
  <printOptions horizontalCentered="1" verticalCentered="1"/>
  <pageMargins left="0.2" right="0.2" top="0.2" bottom="0.2" header="0.51" footer="0.51"/>
  <pageSetup scale="44" orientation="landscape" horizontalDpi="4294967292" verticalDpi="4294967292"/>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30</vt:i4>
      </vt:variant>
    </vt:vector>
  </HeadingPairs>
  <TitlesOfParts>
    <vt:vector size="35" baseType="lpstr">
      <vt:lpstr>Control Entry</vt:lpstr>
      <vt:lpstr>Control Card #1</vt:lpstr>
      <vt:lpstr>Control Card #2</vt:lpstr>
      <vt:lpstr>Control Card #3</vt:lpstr>
      <vt:lpstr>Control Card #4</vt:lpstr>
      <vt:lpstr>brevet</vt:lpstr>
      <vt:lpstr>Brevet_Description</vt:lpstr>
      <vt:lpstr>Brevet_Length</vt:lpstr>
      <vt:lpstr>Brevet_Number</vt:lpstr>
      <vt:lpstr>Close</vt:lpstr>
      <vt:lpstr>Close_time</vt:lpstr>
      <vt:lpstr>Control_1</vt:lpstr>
      <vt:lpstr>Control_10</vt:lpstr>
      <vt:lpstr>Control_2</vt:lpstr>
      <vt:lpstr>Control_3</vt:lpstr>
      <vt:lpstr>Control_4</vt:lpstr>
      <vt:lpstr>Control_5</vt:lpstr>
      <vt:lpstr>Control_6</vt:lpstr>
      <vt:lpstr>Control_7</vt:lpstr>
      <vt:lpstr>Control_8</vt:lpstr>
      <vt:lpstr>Control_9</vt:lpstr>
      <vt:lpstr>Distance</vt:lpstr>
      <vt:lpstr>Establishment_1</vt:lpstr>
      <vt:lpstr>Establishment_2</vt:lpstr>
      <vt:lpstr>Establishment_3</vt:lpstr>
      <vt:lpstr>Locale</vt:lpstr>
      <vt:lpstr>Max_time</vt:lpstr>
      <vt:lpstr>Open</vt:lpstr>
      <vt:lpstr>Open_time</vt:lpstr>
      <vt:lpstr>'Control Card #1'!Print_Titles</vt:lpstr>
      <vt:lpstr>'Control Card #2'!Print_Titles</vt:lpstr>
      <vt:lpstr>'Control Card #3'!Print_Titles</vt:lpstr>
      <vt:lpstr>'Control Card #4'!Print_Titles</vt:lpstr>
      <vt:lpstr>Start_date</vt:lpstr>
      <vt:lpstr>Start_time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Hinde</dc:creator>
  <cp:lastModifiedBy>Stephen Hinde</cp:lastModifiedBy>
  <cp:lastPrinted>2022-05-30T23:21:37Z</cp:lastPrinted>
  <dcterms:created xsi:type="dcterms:W3CDTF">1997-11-12T04:43:39Z</dcterms:created>
  <dcterms:modified xsi:type="dcterms:W3CDTF">2022-05-30T23:29:06Z</dcterms:modified>
</cp:coreProperties>
</file>