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1"/>
  <workbookPr showInkAnnotation="0" autoCompressPictures="0"/>
  <mc:AlternateContent xmlns:mc="http://schemas.openxmlformats.org/markup-compatibility/2006">
    <mc:Choice Requires="x15">
      <x15ac:absPath xmlns:x15ac="http://schemas.microsoft.com/office/spreadsheetml/2010/11/ac" url="/Users/stephencarol/Documents/BCR/2025/5492 East Coast Renfrew Reprise/"/>
    </mc:Choice>
  </mc:AlternateContent>
  <xr:revisionPtr revIDLastSave="0" documentId="8_{585B6001-4E71-0D42-B997-85A34EA1F3A9}" xr6:coauthVersionLast="47" xr6:coauthVersionMax="47" xr10:uidLastSave="{00000000-0000-0000-0000-000000000000}"/>
  <bookViews>
    <workbookView xWindow="0" yWindow="760" windowWidth="29400" windowHeight="18360" tabRatio="509" xr2:uid="{00000000-000D-0000-FFFF-FFFF00000000}"/>
  </bookViews>
  <sheets>
    <sheet name="Control Entry" sheetId="1" r:id="rId1"/>
    <sheet name="Card #1" sheetId="7" r:id="rId2"/>
  </sheets>
  <definedNames>
    <definedName name="Address_1" localSheetId="1">#REF!</definedName>
    <definedName name="Address_1">#REF!</definedName>
    <definedName name="Address_2" localSheetId="1">#REF!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'Control Entry'!#REF!</definedName>
    <definedName name="Control_12" localSheetId="1">'Control Entry'!#REF!</definedName>
    <definedName name="Control_12">'Control Entry'!#REF!</definedName>
    <definedName name="Control_13" localSheetId="1">'Control Entry'!#REF!</definedName>
    <definedName name="Control_13">'Control Entry'!#REF!</definedName>
    <definedName name="Control_14" localSheetId="1">'Control Entry'!#REF!</definedName>
    <definedName name="Control_14">'Control Entry'!#REF!</definedName>
    <definedName name="Control_15" localSheetId="1">'Control Entry'!#REF!</definedName>
    <definedName name="Control_15">'Control Entry'!#REF!</definedName>
    <definedName name="Control_16" localSheetId="1">'Control Entry'!#REF!</definedName>
    <definedName name="Control_16">'Control Entry'!#REF!</definedName>
    <definedName name="Control_17" localSheetId="1">'Control Entry'!#REF!</definedName>
    <definedName name="Control_17">'Control Entry'!#REF!</definedName>
    <definedName name="Control_18" localSheetId="1">'Control Entry'!#REF!</definedName>
    <definedName name="Control_18">'Control Entry'!#REF!</definedName>
    <definedName name="Control_19" localSheetId="1">'Control Entry'!#REF!</definedName>
    <definedName name="Control_19">'Control Entry'!#REF!</definedName>
    <definedName name="Control_2">'Control Entry'!$D$16:$O$16</definedName>
    <definedName name="Control_20" localSheetId="1">'Control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#REF!</definedName>
    <definedName name="Distance">'Control Entry'!$D$15:$D$24</definedName>
    <definedName name="email" localSheetId="1">#REF!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#REF!</definedName>
    <definedName name="First_Name" localSheetId="1">#REF!</definedName>
    <definedName name="First_Name">#REF!</definedName>
    <definedName name="Home_telephone" localSheetId="1">#REF!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#REF!</definedName>
    <definedName name="_xlnm.Print_Area" localSheetId="1">'Card #1'!$A$1:$K$55</definedName>
    <definedName name="Province_State" localSheetId="1">#REF!</definedName>
    <definedName name="Province_State">#REF!</definedName>
    <definedName name="Start_date">'Control Entry'!$B$12</definedName>
    <definedName name="Start_time">'Control Entry'!$B$13</definedName>
    <definedName name="surname" localSheetId="1">#REF!</definedName>
    <definedName name="surname">#REF!</definedName>
    <definedName name="Work_telephone" localSheetId="1">#REF!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7" i="1" l="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M16" i="1" l="1"/>
  <c r="O16" i="1" s="1"/>
  <c r="C22" i="7"/>
  <c r="C23" i="7"/>
  <c r="C21" i="7"/>
  <c r="B7" i="1"/>
  <c r="M21" i="1" s="1"/>
  <c r="O21" i="1" s="1"/>
  <c r="M19" i="1"/>
  <c r="O19" i="1" s="1"/>
  <c r="M18" i="1"/>
  <c r="O18" i="1" s="1"/>
  <c r="M17" i="1"/>
  <c r="O17" i="1" s="1"/>
  <c r="M15" i="1"/>
  <c r="O15" i="1" s="1"/>
  <c r="N18" i="1"/>
  <c r="N22" i="1"/>
  <c r="N17" i="1"/>
  <c r="N21" i="1"/>
  <c r="N24" i="1"/>
  <c r="N16" i="1"/>
  <c r="N20" i="1"/>
  <c r="N19" i="1"/>
  <c r="N23" i="1"/>
  <c r="M24" i="1" l="1"/>
  <c r="O24" i="1" s="1"/>
  <c r="D50" i="7" s="1"/>
  <c r="M23" i="1"/>
  <c r="O23" i="1" s="1"/>
  <c r="D47" i="7" s="1"/>
  <c r="M20" i="1"/>
  <c r="O20" i="1" s="1"/>
  <c r="D37" i="7" s="1"/>
  <c r="M22" i="1"/>
  <c r="O22" i="1" s="1"/>
  <c r="D44" i="7"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48" i="7" l="1"/>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DBBE6BF5-BE3D-A740-A8BD-65419D8BA800}">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<sst xmlns="http://schemas.openxmlformats.org/spreadsheetml/2006/main" count="117" uniqueCount="104">
  <si>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</si>
  <si>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</si>
  <si>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</si>
  <si>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</si>
  <si>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</si>
  <si>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</si>
  <si>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</si>
  <si>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</si>
  <si>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</si>
  <si>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</si>
  <si>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</si>
  <si>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</si>
  <si>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</si>
  <si>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</si>
  <si>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</si>
  <si>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</si>
  <si>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</si>
  <si>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</si>
  <si>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</si>
  <si>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</si>
  <si>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</si>
  <si>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</si>
  <si>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</si>
  <si>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</si>
  <si>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</si>
  <si>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</si>
  <si>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</si>
  <si>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</si>
  <si>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</si>
  <si>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</si>
  <si>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</si>
  <si>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</si>
  <si>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</si>
  <si>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</si>
  <si>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</si>
  <si>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</si>
  <si>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</si>
  <si>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</si>
  <si>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</si>
  <si>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</si>
  <si>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</si>
  <si>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</si>
  <si>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</si>
  <si>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</si>
  <si>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</si>
  <si>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</si>
  <si>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</si>
  <si>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</si>
  <si>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</si>
  <si>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</si>
  <si>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</si>
  <si>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</si>
  <si>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</si>
  <si>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</si>
  <si>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</si>
  <si>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</si>
  <si>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</si>
  <si>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</si>
  <si>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</si>
  <si>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</si>
  <si>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</si>
  <si>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</si>
  <si>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</si>
  <si>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</si>
  <si>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</si>
  <si>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</si>
  <si>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</si>
  <si>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</si>
  <si>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</si>
  <si>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</si>
  <si>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Fill in the control distance.  The opening and closing times will be automatically calculated based on the start time and the brevet distance.  If you need more than 10 controls, or need an alternate start loction, use card #2, otherwise leave that section blank. (Similarly for cards #3 and #4.)</t>
  </si>
  <si>
    <t>Tim Hortons</t>
  </si>
  <si>
    <t>self sign if closed</t>
  </si>
  <si>
    <t>NANAIMO</t>
  </si>
  <si>
    <t>1980 Island Highway North</t>
  </si>
  <si>
    <t>LAKE COWICHAN</t>
  </si>
  <si>
    <t>Your choice</t>
  </si>
  <si>
    <t>Lake Cowichan Rd/S Shore Rd</t>
  </si>
  <si>
    <t>PORT RENFREW</t>
  </si>
  <si>
    <t>Renfrew Pub</t>
  </si>
  <si>
    <t>Parkinson Rd</t>
  </si>
  <si>
    <t>INFORMATION</t>
  </si>
  <si>
    <t>Stoker Park</t>
  </si>
  <si>
    <t>Marble Bay Rd</t>
  </si>
  <si>
    <t>MILL BAY</t>
  </si>
  <si>
    <t>or Shell Gas</t>
  </si>
  <si>
    <t>Deloume Rd</t>
  </si>
  <si>
    <t>7Eleven</t>
  </si>
  <si>
    <t>Bruce Ave @ 5th St</t>
  </si>
  <si>
    <t>BUCKLEY BAY</t>
  </si>
  <si>
    <t>Buckley Bay Store/Petrocan</t>
  </si>
  <si>
    <t>COMOX</t>
  </si>
  <si>
    <t>394 Lerwick Rd</t>
  </si>
  <si>
    <t>QUALICUM BEACH</t>
  </si>
  <si>
    <t>Shell Gas</t>
  </si>
  <si>
    <t>Island Hwy @ Memorial Ave</t>
  </si>
  <si>
    <t>Brooks Landing</t>
  </si>
  <si>
    <t>1980 Island Hwy N</t>
  </si>
  <si>
    <t>By totem pole, speed sign at dock</t>
  </si>
  <si>
    <t>Back side sticker REAL_____?</t>
  </si>
  <si>
    <t>Number of picnic tables under shelter?</t>
  </si>
  <si>
    <t>East Coast Renfrew Reprise</t>
  </si>
  <si>
    <t>‭(250) 213-3724‬</t>
  </si>
  <si>
    <t>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</si>
</sst>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8"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b/>
      <sz val="12"/>
      <name val="Arial"/>
      <family val="2"/>
    </font>
    <font>
      <b/>
      <sz val="18"/>
      <name val="Arial Narrow"/>
      <family val="2"/>
    </font>
  </fonts>
  <fills count="3">
    <fill>
      <patternFill patternType="none"/>
    </fill>
    <fill>
      <patternFill patternType="gray125"/>
    </fill>
    <fill>
      <patternFill patternType="solid">
        <fgColor indexed="22"/>
        <bgColor indexed="64"/>
      </patternFill>
    </fill>
  </fills>
  <borders count="32">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
      <left/>
      <right style="medium">
        <color auto="1"/>
      </right>
      <top style="thin">
        <color auto="1"/>
      </top>
      <bottom style="medium">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7">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169" fontId="5" fillId="0" borderId="25" xfId="0" applyNumberFormat="1" applyFont="1" applyBorder="1" applyAlignment="1" applyProtection="1">
      <alignment horizontal="left"/>
      <protection locked="0"/>
    </xf>
    <xf numFmtId="0" fontId="37" fillId="0" borderId="7" xfId="0" applyFont="1" applyBorder="1" applyAlignment="1">
      <alignment horizontal="center" vertical="center" wrapText="1"/>
    </xf>
    <xf numFmtId="49" fontId="5" fillId="0" borderId="24" xfId="0" applyNumberFormat="1" applyFont="1" applyBorder="1" applyAlignment="1" applyProtection="1">
      <alignment horizontal="center"/>
      <protection locked="0"/>
    </xf>
    <xf numFmtId="49" fontId="5" fillId="0" borderId="31" xfId="0" applyNumberFormat="1" applyFont="1" applyBorder="1" applyAlignment="1" applyProtection="1">
      <alignment horizontal="center"/>
      <protection locked="0"/>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10" fillId="0" borderId="0" xfId="0" applyFont="1" applyAlignment="1">
      <alignment horizontal="right" vertical="center"/>
    </xf>
    <xf numFmtId="15" fontId="0" fillId="0" borderId="0" xfId="0" applyNumberFormat="1" applyAlignment="1">
      <alignment horizontal="left" vertical="top"/>
    </xf>
    <xf numFmtId="0" fontId="0" fillId="0" borderId="0" xfId="0"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6" xfId="0" applyFont="1" applyBorder="1" applyAlignment="1" applyProtection="1">
      <alignment horizontal="center" vertical="top" wrapText="1"/>
      <protection locked="0"/>
    </xf>
    <xf numFmtId="0" fontId="35" fillId="0" borderId="0" xfId="0" applyFont="1" applyAlignment="1" applyProtection="1">
      <alignment horizontal="center" vertical="top" wrapText="1"/>
      <protection locked="0"/>
    </xf>
    <xf numFmtId="0" fontId="35" fillId="0" borderId="17" xfId="0" applyFont="1" applyBorder="1" applyAlignment="1" applyProtection="1">
      <alignment horizontal="center" vertical="top"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3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
  <sheetViews>
    <sheetView showGridLines="0" tabSelected="1" zoomScale="140" zoomScaleNormal="140" zoomScalePageLayoutView="135" workbookViewId="0">
      <selection activeCell="F16" sqref="F16"/>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6" t="s">
        <v>56</v>
      </c>
      <c r="B1" s="106"/>
      <c r="C1" s="106"/>
      <c r="D1" s="106"/>
      <c r="E1" s="106"/>
      <c r="F1" s="106"/>
      <c r="G1" s="106"/>
      <c r="H1" s="40" t="s">
        <v>53</v>
      </c>
      <c r="Q1" s="108" t="s">
        <v>55</v>
      </c>
      <c r="R1" s="108"/>
      <c r="S1" s="108"/>
      <c r="T1" s="108"/>
      <c r="U1" s="108"/>
      <c r="V1" s="108"/>
      <c r="W1" s="108"/>
      <c r="X1" s="108"/>
      <c r="Y1" s="108"/>
      <c r="Z1" s="108"/>
      <c r="AA1" s="108"/>
      <c r="AB1" s="108"/>
      <c r="AC1" s="108"/>
      <c r="AD1" s="108"/>
      <c r="AE1" s="108"/>
      <c r="AF1" s="108"/>
      <c r="AG1" s="87"/>
    </row>
    <row r="2" spans="1:33" ht="13" customHeight="1" thickBot="1" x14ac:dyDescent="0.2">
      <c r="H2" s="44"/>
      <c r="I2" s="44"/>
      <c r="Q2" s="108"/>
      <c r="R2" s="108"/>
      <c r="S2" s="108"/>
      <c r="T2" s="108"/>
      <c r="U2" s="108"/>
      <c r="V2" s="108"/>
      <c r="W2" s="108"/>
      <c r="X2" s="108"/>
      <c r="Y2" s="108"/>
      <c r="Z2" s="108"/>
      <c r="AA2" s="108"/>
      <c r="AB2" s="108"/>
      <c r="AC2" s="108"/>
      <c r="AD2" s="108"/>
      <c r="AE2" s="108"/>
      <c r="AF2" s="108"/>
      <c r="AG2" s="87"/>
    </row>
    <row r="3" spans="1:33" s="48" customFormat="1" ht="13" customHeight="1" thickBot="1" x14ac:dyDescent="0.2">
      <c r="A3" s="47" t="s">
        <v>52</v>
      </c>
      <c r="B3" s="72">
        <v>45167</v>
      </c>
      <c r="H3" s="49"/>
      <c r="I3" s="49"/>
      <c r="Q3" s="108"/>
      <c r="R3" s="108"/>
      <c r="S3" s="108"/>
      <c r="T3" s="108"/>
      <c r="U3" s="108"/>
      <c r="V3" s="108"/>
      <c r="W3" s="108"/>
      <c r="X3" s="108"/>
      <c r="Y3" s="108"/>
      <c r="Z3" s="108"/>
      <c r="AA3" s="108"/>
      <c r="AB3" s="108"/>
      <c r="AC3" s="108"/>
      <c r="AD3" s="108"/>
      <c r="AE3" s="108"/>
      <c r="AF3" s="108"/>
      <c r="AG3" s="87"/>
    </row>
    <row r="4" spans="1:33" ht="13" customHeight="1" x14ac:dyDescent="0.15">
      <c r="A4" s="43" t="s">
        <v>54</v>
      </c>
      <c r="B4" s="46">
        <v>45836</v>
      </c>
      <c r="C4"/>
      <c r="H4" s="44"/>
      <c r="I4" s="44"/>
      <c r="Q4" s="108"/>
      <c r="R4" s="108"/>
      <c r="S4" s="108"/>
      <c r="T4" s="108"/>
      <c r="U4" s="108"/>
      <c r="V4" s="108"/>
      <c r="W4" s="108"/>
      <c r="X4" s="108"/>
      <c r="Y4" s="108"/>
      <c r="Z4" s="108"/>
      <c r="AA4" s="108"/>
      <c r="AB4" s="108"/>
      <c r="AC4" s="108"/>
      <c r="AD4" s="108"/>
      <c r="AE4" s="108"/>
      <c r="AF4" s="108"/>
      <c r="AG4" s="87"/>
    </row>
    <row r="5" spans="1:33" ht="7" customHeight="1" thickBot="1" x14ac:dyDescent="0.2">
      <c r="H5" s="44"/>
      <c r="I5" s="44"/>
      <c r="Q5" s="87"/>
      <c r="R5" s="87"/>
      <c r="S5" s="87"/>
      <c r="T5" s="87"/>
      <c r="U5" s="87"/>
      <c r="V5" s="87"/>
      <c r="W5" s="87"/>
      <c r="X5" s="87"/>
      <c r="Y5" s="87"/>
      <c r="Z5" s="87"/>
      <c r="AA5" s="87"/>
      <c r="AB5" s="87"/>
      <c r="AC5" s="87"/>
      <c r="AD5" s="87"/>
      <c r="AE5" s="87"/>
      <c r="AF5" s="87"/>
      <c r="AG5" s="87"/>
    </row>
    <row r="6" spans="1:33" ht="18" x14ac:dyDescent="0.2">
      <c r="A6" s="10" t="s">
        <v>15</v>
      </c>
      <c r="B6" s="30">
        <v>600</v>
      </c>
      <c r="C6">
        <f>IF(Brevet_Length&gt;=1200,Brevet_Length,IF(Brevet_Length&gt;=1000,1000,IF(Brevet_Length&gt;=600,600,IF(Brevet_Length&gt;=400,400,IF(Brevet_Length&gt;=300,300,IF(Brevet_Length&gt;=200,200,100))))))</f>
        <v>600</v>
      </c>
      <c r="J6" s="109" t="s">
        <v>40</v>
      </c>
      <c r="K6" s="109"/>
      <c r="Q6" s="85" t="s">
        <v>41</v>
      </c>
      <c r="R6" s="85"/>
      <c r="S6" s="85"/>
      <c r="T6" s="85"/>
      <c r="U6" s="85"/>
      <c r="V6" s="85"/>
      <c r="W6" s="85"/>
      <c r="X6" s="86"/>
      <c r="Y6" s="86"/>
      <c r="Z6" s="86"/>
    </row>
    <row r="7" spans="1:33" ht="14" x14ac:dyDescent="0.15">
      <c r="A7" s="11" t="s">
        <v>16</v>
      </c>
      <c r="B7" s="83">
        <f>IF(brevet=1200,90,IF(brevet=1000,75,IF(brevet=600,40,IF(brevet=400,27,IF(brevet=300,20,IF(brevet=200,13.5,IF(brevet&lt;200,L7,0)))))))</f>
        <v>40</v>
      </c>
      <c r="L7">
        <f>IF(Brevet_Length=150,10.5,IF(Brevet_Length=100,7,IF(Brevet_Length=50,3.5,IF(Brevet_Length=25, 2,0))))</f>
        <v>0</v>
      </c>
      <c r="Q7" s="86" t="s">
        <v>42</v>
      </c>
      <c r="R7" s="86"/>
      <c r="S7" s="86"/>
      <c r="T7" s="86"/>
      <c r="U7" s="86"/>
      <c r="V7" s="86"/>
      <c r="W7" s="86"/>
      <c r="X7" s="86"/>
      <c r="Y7" s="86"/>
      <c r="Z7" s="86"/>
    </row>
    <row r="8" spans="1:33" ht="18" x14ac:dyDescent="0.2">
      <c r="A8" s="82" t="s">
        <v>17</v>
      </c>
      <c r="B8" s="107" t="s">
        <v>101</v>
      </c>
      <c r="C8" s="107"/>
      <c r="D8" s="107"/>
      <c r="E8" s="107"/>
      <c r="F8" s="107"/>
      <c r="G8" s="84"/>
      <c r="H8" s="84"/>
      <c r="I8" s="16"/>
      <c r="J8" s="16"/>
      <c r="K8" s="16"/>
      <c r="Q8" s="85" t="s">
        <v>43</v>
      </c>
      <c r="R8" s="86"/>
      <c r="S8" s="86"/>
      <c r="T8" s="86"/>
      <c r="U8" s="86"/>
      <c r="V8" s="86"/>
      <c r="W8" s="86"/>
      <c r="X8" s="86"/>
      <c r="Y8" s="86"/>
      <c r="Z8" s="86"/>
    </row>
    <row r="9" spans="1:33" ht="18" x14ac:dyDescent="0.2">
      <c r="A9" s="11" t="s">
        <v>18</v>
      </c>
      <c r="B9" s="31">
        <v>5492</v>
      </c>
      <c r="C9" s="13"/>
      <c r="F9" s="14"/>
      <c r="G9" s="14"/>
      <c r="H9" s="14"/>
      <c r="I9" s="14"/>
      <c r="J9" s="14"/>
      <c r="K9" s="14"/>
      <c r="Q9" s="85" t="s">
        <v>44</v>
      </c>
      <c r="R9" s="86"/>
      <c r="S9" s="86"/>
      <c r="T9" s="86"/>
      <c r="U9" s="86"/>
      <c r="V9" s="86"/>
      <c r="W9" s="86"/>
      <c r="X9" s="86"/>
      <c r="Y9" s="86"/>
      <c r="Z9" s="86"/>
    </row>
    <row r="10" spans="1:33" ht="18" x14ac:dyDescent="0.2">
      <c r="A10" s="18" t="s">
        <v>32</v>
      </c>
      <c r="B10" s="32">
        <v>45892</v>
      </c>
      <c r="E10" s="80" t="s">
        <v>67</v>
      </c>
      <c r="F10" s="102" t="s">
        <v>102</v>
      </c>
      <c r="Q10" s="85" t="s">
        <v>45</v>
      </c>
      <c r="R10" s="86"/>
      <c r="S10" s="86"/>
      <c r="T10" s="86"/>
      <c r="U10" s="86"/>
      <c r="V10" s="86"/>
      <c r="W10" s="86"/>
      <c r="X10" s="86"/>
      <c r="Y10" s="86"/>
      <c r="Z10" s="86"/>
    </row>
    <row r="11" spans="1:33" ht="6" customHeight="1" x14ac:dyDescent="0.15">
      <c r="B11" s="45"/>
      <c r="Q11" s="86"/>
      <c r="R11" s="86"/>
      <c r="S11" s="86"/>
      <c r="T11" s="86"/>
      <c r="U11" s="86"/>
      <c r="V11" s="86"/>
      <c r="W11" s="86"/>
      <c r="X11" s="86"/>
      <c r="Y11" s="86"/>
      <c r="Z11" s="86"/>
    </row>
    <row r="12" spans="1:33" ht="18" customHeight="1" thickBot="1" x14ac:dyDescent="0.25">
      <c r="A12" s="41" t="s">
        <v>19</v>
      </c>
      <c r="B12" s="42">
        <v>45892</v>
      </c>
      <c r="Q12" s="85" t="s">
        <v>49</v>
      </c>
      <c r="R12" s="86"/>
      <c r="S12" s="86"/>
      <c r="T12" s="86"/>
      <c r="U12" s="86"/>
      <c r="V12" s="86"/>
      <c r="W12" s="86"/>
      <c r="X12" s="86"/>
      <c r="Y12" s="86"/>
      <c r="Z12" s="86"/>
    </row>
    <row r="13" spans="1:33" ht="19" thickBot="1" x14ac:dyDescent="0.25">
      <c r="A13" s="9" t="s">
        <v>20</v>
      </c>
      <c r="B13" s="33">
        <v>0.25</v>
      </c>
      <c r="D13" s="110" t="s">
        <v>51</v>
      </c>
      <c r="E13" s="111"/>
      <c r="F13" s="111"/>
      <c r="G13" s="111"/>
      <c r="H13" s="111"/>
      <c r="I13" s="112" t="s">
        <v>47</v>
      </c>
      <c r="J13" s="111"/>
      <c r="K13" s="113"/>
      <c r="Q13" s="85" t="s">
        <v>48</v>
      </c>
      <c r="R13" s="86"/>
      <c r="S13" s="86"/>
      <c r="T13" s="86"/>
      <c r="U13" s="86"/>
      <c r="V13" s="86"/>
      <c r="W13" s="86"/>
      <c r="X13" s="86"/>
      <c r="Y13" s="86"/>
      <c r="Z13" s="86"/>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5" t="s">
        <v>68</v>
      </c>
      <c r="R14" s="86"/>
      <c r="S14" s="86"/>
      <c r="T14" s="86"/>
      <c r="U14" s="86"/>
      <c r="V14" s="86"/>
      <c r="W14" s="86"/>
      <c r="X14" s="86"/>
      <c r="Y14" s="86"/>
      <c r="Z14" s="86"/>
    </row>
    <row r="15" spans="1:33" ht="17" customHeight="1" x14ac:dyDescent="0.15">
      <c r="C15" s="2" t="s">
        <v>4</v>
      </c>
      <c r="D15" s="15">
        <v>0</v>
      </c>
      <c r="E15" s="34" t="s">
        <v>73</v>
      </c>
      <c r="F15" s="35" t="s">
        <v>71</v>
      </c>
      <c r="G15" s="35" t="s">
        <v>74</v>
      </c>
      <c r="H15" s="36"/>
      <c r="I15" s="35"/>
      <c r="J15" s="35"/>
      <c r="K15" s="36"/>
      <c r="L15" s="3">
        <f>Start_date+Start_time</f>
        <v>45892.25</v>
      </c>
      <c r="M15" s="3">
        <f>L15+"1:00"</f>
        <v>45892.291666666664</v>
      </c>
      <c r="N15" s="4">
        <f>IF(ISBLANK(Distance),"",Open Control_1)</f>
        <v>45892.25</v>
      </c>
      <c r="O15" s="4">
        <f>IF(ISBLANK(Distance),"",Close Control_1)</f>
        <v>45892.291666666664</v>
      </c>
      <c r="Q15" s="85" t="s">
        <v>70</v>
      </c>
      <c r="R15" s="86"/>
      <c r="S15" s="86"/>
      <c r="T15" s="86"/>
      <c r="U15" s="86"/>
      <c r="V15" s="86"/>
      <c r="W15" s="86"/>
      <c r="X15" s="86"/>
      <c r="Y15" s="86"/>
      <c r="Z15" s="86"/>
    </row>
    <row r="16" spans="1:33" ht="17" customHeight="1" x14ac:dyDescent="0.15">
      <c r="B16" s="38"/>
      <c r="C16" s="2" t="s">
        <v>5</v>
      </c>
      <c r="D16" s="15">
        <v>87.1</v>
      </c>
      <c r="E16" s="34" t="s">
        <v>75</v>
      </c>
      <c r="F16" s="35" t="s">
        <v>103</v>
      </c>
      <c r="G16" s="35" t="s">
        <v>76</v>
      </c>
      <c r="H16" s="36" t="s">
        <v>77</v>
      </c>
      <c r="I16" s="35"/>
      <c r="J16" s="35"/>
      <c r="K16" s="36"/>
      <c r="L16">
        <f>IF(ISBLANK(Distance),"",IF(Distance&gt;1000,(Distance-1000)/26+33.0847,(IF(Distance&gt;600,(Distance-600)/28+18.799,(IF(Distance&gt;400,(Distance-400)/30+12.1324,(IF(Distance&gt;200,(Distance-200)/32+5.8824,Distance/34))))))))</f>
        <v>2.5617647058823527</v>
      </c>
      <c r="M16">
        <f>IF(ISBLANK(Distance),"",IF(Distance&gt;=brevet,D16200IF(brevet&gt;1200,(brevet-1200)*75/1000+90,Max_time),IF(Distance&gt;1200,(Distance-1200)*75/1000+90,IF(Distance&gt;1000,(Distance-1000)/(1000/75)+75,IF(Distance&gt;600,(Distance-600)/(400/35)+40,IF(Distance&lt;=60,(Distance/20+1),Distance/15))))))</f>
        <v>5.8066666666666666</v>
      </c>
      <c r="N16" s="4">
        <f>IF(ISBLANK(Distance),"",Open_time Control_1+(INT(Open)&amp;":"&amp;IF(ROUND(((Open-INT(Open))*60),0)&lt;10,0,"")&amp;ROUND(((Open-INT(Open))*60),0)))</f>
        <v>45892.356944444444</v>
      </c>
      <c r="O16" s="4">
        <f>IF(ISBLANK(Distance),"",Open_time Control_1+(INT(Close)&amp;":"&amp;IF(ROUND(((Close-INT(Close))*60),0)&lt;10,0,"")&amp;ROUND(((Close-INT(Close))*60),0)))</f>
        <v>45892.491666666669</v>
      </c>
      <c r="Q16" s="85" t="s">
        <v>69</v>
      </c>
      <c r="R16" s="86"/>
      <c r="S16" s="86"/>
      <c r="T16" s="86"/>
      <c r="U16" s="86"/>
      <c r="V16" s="86"/>
      <c r="W16" s="86"/>
      <c r="X16" s="86"/>
      <c r="Y16" s="86"/>
      <c r="Z16" s="86"/>
    </row>
    <row r="17" spans="2:26" ht="17" customHeight="1" x14ac:dyDescent="0.15">
      <c r="B17" s="38"/>
      <c r="C17" s="2" t="s">
        <v>6</v>
      </c>
      <c r="D17" s="15">
        <v>150</v>
      </c>
      <c r="E17" s="34" t="s">
        <v>78</v>
      </c>
      <c r="F17" s="35" t="s">
        <v>81</v>
      </c>
      <c r="G17" s="35" t="s">
        <v>79</v>
      </c>
      <c r="H17" s="36" t="s">
        <v>80</v>
      </c>
      <c r="I17" s="35" t="s">
        <v>98</v>
      </c>
      <c r="J17" s="35" t="s">
        <v>99</v>
      </c>
      <c r="K17" s="36"/>
      <c r="L17">
        <f>IF(ISBLANK(Distance),"",IF(Distance&gt;1000,(Distance-1000)/26+33.0847,(IF(Distance&gt;600,(Distance-600)/28+18.799,(IF(Distance&gt;400,(Distance-400)/30+12.1324,(IF(Distance&gt;200,(Distance-200)/32+5.8824,Distance/34))))))))</f>
        <v>4.4117647058823533</v>
      </c>
      <c r="M17">
        <f t="shared" ref="M17:M24" si="0">IF(ISBLANK(Distance),"",IF(Distance&gt;=brevet,IF(brevet&gt;1200,(brevet-1200)*75/1000+90,Max_time),IF(Distance&gt;1200,(Distance-1200)*75/1000+90,IF(Distance&gt;1000,(Distance-1000)/(1000/75)+75,IF(Distance&gt;600,(Distance-600)/(400/35)+40,IF(Distance&lt;=60,(Distance/20+1),Distance/15))))))</f>
        <v>10</v>
      </c>
      <c r="N17" s="4">
        <f>IF(ISBLANK(Distance),"",Open_time Control_1+(INT(Open)&amp;":"&amp;IF(ROUND(((Open-INT(Open))*60),0)&lt;10,0,"")&amp;ROUND(((Open-INT(Open))*60),0)))</f>
        <v>45892.434027777781</v>
      </c>
      <c r="O17" s="4">
        <f>IF(ISBLANK(Distance),"",Open_time Control_1+(INT(Close)&amp;":"&amp;IF(ROUND(((Close-INT(Close))*60),0)&lt;10,0,"")&amp;ROUND(((Close-INT(Close))*60),0)))</f>
        <v>45892.666666666664</v>
      </c>
      <c r="Q17" s="85" t="s">
        <v>46</v>
      </c>
      <c r="R17" s="86"/>
      <c r="S17" s="86"/>
      <c r="T17" s="86"/>
      <c r="U17" s="86"/>
      <c r="V17" s="86"/>
      <c r="W17" s="86"/>
      <c r="X17" s="86"/>
      <c r="Y17" s="86"/>
      <c r="Z17" s="86"/>
    </row>
    <row r="18" spans="2:26" ht="17" customHeight="1" x14ac:dyDescent="0.15">
      <c r="B18" s="38"/>
      <c r="C18" s="2" t="s">
        <v>7</v>
      </c>
      <c r="D18" s="15">
        <v>220</v>
      </c>
      <c r="E18" s="34" t="s">
        <v>75</v>
      </c>
      <c r="F18" s="35" t="s">
        <v>81</v>
      </c>
      <c r="G18" s="35" t="s">
        <v>82</v>
      </c>
      <c r="H18" s="36" t="s">
        <v>83</v>
      </c>
      <c r="I18" s="35" t="s">
        <v>100</v>
      </c>
      <c r="J18" s="35"/>
      <c r="K18" s="36"/>
      <c r="L18">
        <f t="shared" ref="L18:L24" si="1">IF(ISBLANK(Distance),"",IF(Distance&gt;1000,(Distance-1000)/26+33.0847,(IF(Distance&gt;600,(Distance-600)/28+18.799,(IF(Distance&gt;400,(Distance-400)/30+12.1324,(IF(Distance&gt;200,(Distance-200)/32+5.8824,Distance/34))))))))</f>
        <v>6.5073999999999996</v>
      </c>
      <c r="M18">
        <f t="shared" si="0"/>
        <v>14.666666666666666</v>
      </c>
      <c r="N18" s="4">
        <f>IF(ISBLANK(Distance),"",Open_time Control_1+(INT(Open)&amp;":"&amp;IF(ROUND(((Open-INT(Open))*60),0)&lt;10,0,"")&amp;ROUND(((Open-INT(Open))*60),0)))</f>
        <v>45892.520833333336</v>
      </c>
      <c r="O18" s="4">
        <f>IF(ISBLANK(Distance),"",Open_time Control_1+(INT(Close)&amp;":"&amp;IF(ROUND(((Close-INT(Close))*60),0)&lt;10,0,"")&amp;ROUND(((Close-INT(Close))*60),0)))</f>
        <v>45892.861111111109</v>
      </c>
    </row>
    <row r="19" spans="2:26" ht="17" customHeight="1" x14ac:dyDescent="0.15">
      <c r="B19" s="38"/>
      <c r="C19" s="2" t="s">
        <v>8</v>
      </c>
      <c r="D19" s="15">
        <v>279.2</v>
      </c>
      <c r="E19" s="34" t="s">
        <v>84</v>
      </c>
      <c r="F19" s="35" t="s">
        <v>71</v>
      </c>
      <c r="G19" s="35" t="s">
        <v>85</v>
      </c>
      <c r="H19" s="36" t="s">
        <v>86</v>
      </c>
      <c r="I19" s="35"/>
      <c r="J19" s="35"/>
      <c r="K19" s="36"/>
      <c r="L19">
        <f t="shared" si="1"/>
        <v>8.3573999999999984</v>
      </c>
      <c r="M19">
        <f t="shared" si="0"/>
        <v>18.613333333333333</v>
      </c>
      <c r="N19" s="4">
        <f>IF(ISBLANK(Distance),"",Open_time Control_1+(INT(Open)&amp;":"&amp;IF(ROUND(((Open-INT(Open))*60),0)&lt;10,0,"")&amp;ROUND(((Open-INT(Open))*60),0)))</f>
        <v>45892.597916666666</v>
      </c>
      <c r="O19" s="4">
        <f>IF(ISBLANK(Distance),"",Open_time Control_1+(INT(Close)&amp;":"&amp;IF(ROUND(((Close-INT(Close))*60),0)&lt;10,0,"")&amp;ROUND(((Close-INT(Close))*60),0)))</f>
        <v>45893.025694444441</v>
      </c>
      <c r="Q19" s="40"/>
    </row>
    <row r="20" spans="2:26" ht="17" customHeight="1" x14ac:dyDescent="0.15">
      <c r="B20" s="38"/>
      <c r="C20" s="2" t="s">
        <v>9</v>
      </c>
      <c r="D20" s="15">
        <v>361.5</v>
      </c>
      <c r="E20" s="34" t="s">
        <v>73</v>
      </c>
      <c r="F20" s="35" t="s">
        <v>87</v>
      </c>
      <c r="G20" s="35" t="s">
        <v>88</v>
      </c>
      <c r="H20" s="36"/>
      <c r="I20" s="35"/>
      <c r="J20" s="35"/>
      <c r="K20" s="36"/>
      <c r="L20">
        <f t="shared" si="1"/>
        <v>10.929275000000001</v>
      </c>
      <c r="M20">
        <f t="shared" si="0"/>
        <v>24.1</v>
      </c>
      <c r="N20" s="4">
        <f>IF(ISBLANK(Distance),"",Open_time Control_1+(INT(Open)&amp;":"&amp;IF(ROUND(((Open-INT(Open))*60),0)&lt;10,0,"")&amp;ROUND(((Open-INT(Open))*60),0)))</f>
        <v>45892.705555555556</v>
      </c>
      <c r="O20" s="4">
        <f>IF(ISBLANK(Distance),"",Open_time Control_1+(INT(Close)&amp;":"&amp;IF(ROUND(((Close-INT(Close))*60),0)&lt;10,0,"")&amp;ROUND(((Close-INT(Close))*60),0)))</f>
        <v>45893.254166666666</v>
      </c>
    </row>
    <row r="21" spans="2:26" ht="17" customHeight="1" x14ac:dyDescent="0.15">
      <c r="B21" s="38"/>
      <c r="C21" s="2" t="s">
        <v>10</v>
      </c>
      <c r="D21" s="15">
        <v>451.7</v>
      </c>
      <c r="E21" s="34" t="s">
        <v>89</v>
      </c>
      <c r="F21" s="35" t="s">
        <v>90</v>
      </c>
      <c r="G21" s="35"/>
      <c r="H21" s="36"/>
      <c r="I21" s="35" t="s">
        <v>72</v>
      </c>
      <c r="J21" s="35"/>
      <c r="K21" s="36"/>
      <c r="L21">
        <f t="shared" si="1"/>
        <v>13.855733333333333</v>
      </c>
      <c r="M21">
        <f t="shared" si="0"/>
        <v>30.113333333333333</v>
      </c>
      <c r="N21" s="4">
        <f>IF(ISBLANK(Distance),"",Open_time Control_1+(INT(Open)&amp;":"&amp;IF(ROUND(((Open-INT(Open))*60),0)&lt;10,0,"")&amp;ROUND(((Open-INT(Open))*60),0)))</f>
        <v>45892.82708333333</v>
      </c>
      <c r="O21" s="4">
        <f>IF(ISBLANK(Distance),"",Open_time Control_1+(INT(Close)&amp;":"&amp;IF(ROUND(((Close-INT(Close))*60),0)&lt;10,0,"")&amp;ROUND(((Close-INT(Close))*60),0)))</f>
        <v>45893.504861111112</v>
      </c>
    </row>
    <row r="22" spans="2:26" ht="17" customHeight="1" x14ac:dyDescent="0.15">
      <c r="B22" s="38"/>
      <c r="C22" s="2" t="s">
        <v>11</v>
      </c>
      <c r="D22" s="15">
        <v>485.6</v>
      </c>
      <c r="E22" s="34" t="s">
        <v>91</v>
      </c>
      <c r="F22" s="35" t="s">
        <v>71</v>
      </c>
      <c r="G22" s="35" t="s">
        <v>92</v>
      </c>
      <c r="H22" s="36"/>
      <c r="I22" s="35"/>
      <c r="J22" s="35"/>
      <c r="K22" s="36"/>
      <c r="L22">
        <f t="shared" si="1"/>
        <v>14.985733333333334</v>
      </c>
      <c r="M22">
        <f t="shared" si="0"/>
        <v>32.373333333333335</v>
      </c>
      <c r="N22" s="4">
        <f>IF(ISBLANK(Distance),"",Open_time Control_1+(INT(Open)&amp;":"&amp;IF(ROUND(((Open-INT(Open))*60),0)&lt;10,0,"")&amp;ROUND(((Open-INT(Open))*60),0)))</f>
        <v>45892.874305555553</v>
      </c>
      <c r="O22" s="4">
        <f>IF(ISBLANK(Distance),"",Open_time Control_1+(INT(Close)&amp;":"&amp;IF(ROUND(((Close-INT(Close))*60),0)&lt;10,0,"")&amp;ROUND(((Close-INT(Close))*60),0)))</f>
        <v>45893.598611111112</v>
      </c>
    </row>
    <row r="23" spans="2:26" ht="17" customHeight="1" x14ac:dyDescent="0.15">
      <c r="B23" s="38"/>
      <c r="C23" s="2" t="s">
        <v>12</v>
      </c>
      <c r="D23" s="15">
        <v>555.79999999999995</v>
      </c>
      <c r="E23" s="34" t="s">
        <v>93</v>
      </c>
      <c r="F23" s="35" t="s">
        <v>94</v>
      </c>
      <c r="G23" s="35" t="s">
        <v>95</v>
      </c>
      <c r="H23" s="36"/>
      <c r="I23" s="35" t="s">
        <v>72</v>
      </c>
      <c r="J23" s="35"/>
      <c r="K23" s="36"/>
      <c r="L23">
        <f t="shared" si="1"/>
        <v>17.325733333333332</v>
      </c>
      <c r="M23">
        <f t="shared" si="0"/>
        <v>37.053333333333327</v>
      </c>
      <c r="N23" s="4">
        <f>IF(ISBLANK(Distance),"",Open_time Control_1+(INT(Open)&amp;":"&amp;IF(ROUND(((Open-INT(Open))*60),0)&lt;10,0,"")&amp;ROUND(((Open-INT(Open))*60),0)))</f>
        <v>45892.972222222219</v>
      </c>
      <c r="O23" s="4">
        <f>IF(ISBLANK(Distance),"",Open_time Control_1+(INT(Close)&amp;":"&amp;IF(ROUND(((Close-INT(Close))*60),0)&lt;10,0,"")&amp;ROUND(((Close-INT(Close))*60),0)))</f>
        <v>45893.793749999997</v>
      </c>
    </row>
    <row r="24" spans="2:26" ht="17" customHeight="1" thickBot="1" x14ac:dyDescent="0.2">
      <c r="B24" s="38"/>
      <c r="C24" s="2" t="s">
        <v>13</v>
      </c>
      <c r="D24" s="20">
        <v>601.79999999999995</v>
      </c>
      <c r="E24" s="37" t="s">
        <v>73</v>
      </c>
      <c r="F24" s="104" t="s">
        <v>71</v>
      </c>
      <c r="G24" s="104" t="s">
        <v>96</v>
      </c>
      <c r="H24" s="105" t="s">
        <v>97</v>
      </c>
      <c r="I24" s="104" t="s">
        <v>72</v>
      </c>
      <c r="J24" s="104"/>
      <c r="K24" s="105"/>
      <c r="L24">
        <f t="shared" si="1"/>
        <v>18.863285714285713</v>
      </c>
      <c r="M24">
        <f t="shared" si="0"/>
        <v>40</v>
      </c>
      <c r="N24" s="4">
        <f>IF(ISBLANK(Distance),"",Open_time Control_1+(INT(Open)&amp;":"&amp;IF(ROUND(((Open-INT(Open))*60),0)&lt;10,0,"")&amp;ROUND(((Open-INT(Open))*60),0)))</f>
        <v>45893.036111111112</v>
      </c>
      <c r="O24" s="4">
        <f>IF(ISBLANK(Distance),"",Open_time Control_1+(INT(Close)&amp;":"&amp;IF(ROUND(((Close-INT(Close))*60),0)&lt;10,0,"")&amp;ROUND(((Close-INT(Close))*60),0)))</f>
        <v>45893.916666666664</v>
      </c>
    </row>
    <row r="25" spans="2:26" ht="7" customHeight="1" thickBot="1" x14ac:dyDescent="0.25">
      <c r="D25" s="26"/>
      <c r="E25" s="27"/>
      <c r="F25" s="28"/>
      <c r="G25" s="28"/>
      <c r="H25" s="28"/>
      <c r="I25" s="28"/>
      <c r="J25" s="28"/>
      <c r="K25" s="29"/>
      <c r="N25" s="4"/>
      <c r="O25" s="4"/>
    </row>
  </sheetData>
  <sheetProtection formatCells="0" selectLockedCells="1"/>
  <mergeCells count="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view="pageLayout" zoomScale="75" zoomScaleNormal="115" zoomScalePageLayoutView="75" workbookViewId="0">
      <selection activeCell="F35" sqref="F35"/>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36" t="s">
        <v>33</v>
      </c>
      <c r="D2" s="136"/>
      <c r="E2" s="136"/>
      <c r="F2" s="136"/>
      <c r="G2" s="55"/>
      <c r="H2" s="55"/>
      <c r="I2" s="78" t="s">
        <v>59</v>
      </c>
      <c r="J2" s="79">
        <f>'Control Entry'!B4</f>
        <v>45836</v>
      </c>
      <c r="K2" s="55"/>
      <c r="L2" s="55"/>
    </row>
    <row r="3" spans="2:15" ht="45" customHeight="1" x14ac:dyDescent="0.45">
      <c r="D3" s="12"/>
      <c r="E3" s="145" t="s">
        <v>29</v>
      </c>
      <c r="F3" s="145"/>
      <c r="G3" s="145"/>
      <c r="H3" s="145"/>
      <c r="I3" s="66" t="s">
        <v>61</v>
      </c>
      <c r="J3" s="71">
        <f>IF(ISBLANK(Brevet_Number),"",Brevet_Number)</f>
        <v>5492</v>
      </c>
      <c r="K3" s="39"/>
      <c r="L3" s="39"/>
    </row>
    <row r="4" spans="2:15" ht="20" customHeight="1" x14ac:dyDescent="0.15">
      <c r="C4" s="12"/>
      <c r="E4" s="146" t="str">
        <f>IF(ISBLANK(Brevet_Length),"",Brevet_Length&amp;" km Randonnée")</f>
        <v>600 km Randonnée</v>
      </c>
      <c r="F4" s="146"/>
      <c r="G4" s="146"/>
      <c r="H4" s="146"/>
      <c r="K4" s="51"/>
      <c r="L4" s="51"/>
    </row>
    <row r="5" spans="2:15" ht="20" customHeight="1" x14ac:dyDescent="0.2">
      <c r="D5" s="52"/>
      <c r="E5" s="144" t="str">
        <f>IF(ISBLANK(Brevet_Description),"",Brevet_Description)</f>
        <v>East Coast Renfrew Reprise</v>
      </c>
      <c r="F5" s="144"/>
      <c r="G5" s="144"/>
      <c r="H5" s="144"/>
      <c r="I5" s="74"/>
      <c r="J5" s="52"/>
      <c r="K5" s="52"/>
      <c r="L5" s="52"/>
    </row>
    <row r="6" spans="2:15" ht="20" x14ac:dyDescent="0.2">
      <c r="D6" s="67"/>
      <c r="E6" s="144"/>
      <c r="F6" s="144"/>
      <c r="G6" s="144"/>
      <c r="H6" s="144"/>
      <c r="I6" s="74"/>
      <c r="J6" s="67"/>
      <c r="K6" s="52"/>
      <c r="L6" s="52"/>
    </row>
    <row r="7" spans="2:15" ht="25" customHeight="1" x14ac:dyDescent="0.15">
      <c r="C7" s="140"/>
      <c r="D7" s="140"/>
      <c r="E7" s="140"/>
      <c r="F7" s="140"/>
      <c r="H7" s="142"/>
    </row>
    <row r="8" spans="2:15" ht="21" thickBot="1" x14ac:dyDescent="0.25">
      <c r="B8" s="17" t="s">
        <v>62</v>
      </c>
      <c r="C8" s="141"/>
      <c r="D8" s="141"/>
      <c r="E8" s="141"/>
      <c r="F8" s="141"/>
      <c r="G8" s="17" t="s">
        <v>31</v>
      </c>
      <c r="H8" s="143"/>
      <c r="I8" s="53"/>
      <c r="J8" s="53"/>
      <c r="K8" s="53"/>
    </row>
    <row r="9" spans="2:15" ht="22" customHeight="1" x14ac:dyDescent="0.15">
      <c r="B9" s="58"/>
      <c r="C9" s="58"/>
      <c r="D9" s="58"/>
      <c r="E9" s="58"/>
      <c r="F9" s="54"/>
      <c r="G9" s="60"/>
      <c r="H9" s="60"/>
      <c r="I9" s="60"/>
      <c r="J9" s="54"/>
    </row>
    <row r="10" spans="2:15" ht="20" customHeight="1" x14ac:dyDescent="0.15">
      <c r="B10" s="138" t="s">
        <v>34</v>
      </c>
      <c r="C10" s="138"/>
      <c r="D10" s="64" t="s">
        <v>35</v>
      </c>
      <c r="E10" s="139" t="s">
        <v>58</v>
      </c>
      <c r="F10" s="139"/>
      <c r="G10" s="139"/>
      <c r="H10" s="70"/>
      <c r="I10" s="59"/>
      <c r="J10" s="59"/>
      <c r="K10" s="19"/>
      <c r="L10" s="114"/>
      <c r="M10" s="114"/>
      <c r="N10" s="114"/>
      <c r="O10" s="114"/>
    </row>
    <row r="11" spans="2:15" ht="23" x14ac:dyDescent="0.15">
      <c r="B11" s="58"/>
      <c r="C11" s="58"/>
      <c r="D11" s="58"/>
      <c r="E11" s="58"/>
      <c r="F11" s="54"/>
      <c r="G11" s="60"/>
      <c r="H11" s="60"/>
      <c r="I11" s="60"/>
      <c r="J11" s="54"/>
    </row>
    <row r="12" spans="2:15" ht="21" thickBot="1" x14ac:dyDescent="0.25">
      <c r="D12" s="133" t="s">
        <v>19</v>
      </c>
      <c r="E12" s="133"/>
      <c r="F12" s="69">
        <f>IF(ISBLANK('Control Entry'!B12),"",'Control Entry'!B12)</f>
        <v>45892</v>
      </c>
      <c r="G12" s="73"/>
      <c r="H12" s="17" t="s">
        <v>64</v>
      </c>
      <c r="I12" s="68">
        <f>IF(ISBLANK('Control Entry'!B13),"",'Control Entry'!B13)</f>
        <v>0.25</v>
      </c>
      <c r="J12" s="23"/>
    </row>
    <row r="13" spans="2:15" ht="20" x14ac:dyDescent="0.2">
      <c r="D13" s="22"/>
      <c r="E13" s="22"/>
      <c r="F13" s="21"/>
      <c r="G13" s="21"/>
      <c r="H13" s="21"/>
      <c r="L13" s="23"/>
      <c r="M13" s="23"/>
      <c r="N13" s="23"/>
    </row>
    <row r="14" spans="2:15" ht="21" thickBot="1" x14ac:dyDescent="0.25">
      <c r="D14" s="133" t="s">
        <v>63</v>
      </c>
      <c r="E14" s="133"/>
      <c r="F14" s="69"/>
      <c r="G14" s="73"/>
      <c r="H14" s="17" t="s">
        <v>65</v>
      </c>
      <c r="I14" s="68"/>
      <c r="J14" s="23"/>
      <c r="L14" s="45"/>
      <c r="M14" s="45"/>
      <c r="N14" s="45"/>
    </row>
    <row r="15" spans="2:15" ht="20" x14ac:dyDescent="0.2">
      <c r="B15" s="22"/>
      <c r="C15" s="22"/>
      <c r="D15" s="21"/>
      <c r="E15" s="21"/>
      <c r="H15" s="21"/>
    </row>
    <row r="16" spans="2:15" ht="21" thickBot="1" x14ac:dyDescent="0.25">
      <c r="C16" s="65"/>
      <c r="D16" s="65"/>
      <c r="E16" s="65"/>
      <c r="F16" s="65"/>
      <c r="H16" s="17" t="s">
        <v>66</v>
      </c>
      <c r="I16" s="68"/>
      <c r="J16" s="23"/>
      <c r="L16" s="45"/>
      <c r="M16" s="45"/>
      <c r="N16" s="45"/>
    </row>
    <row r="17" spans="2:15" ht="20" x14ac:dyDescent="0.15">
      <c r="C17" s="134" t="s">
        <v>14</v>
      </c>
      <c r="D17" s="134"/>
      <c r="E17" s="134"/>
      <c r="F17" s="134"/>
      <c r="G17" s="19"/>
      <c r="H17" s="19"/>
      <c r="I17" s="135"/>
      <c r="J17" s="135"/>
      <c r="K17" s="19"/>
      <c r="L17" s="114"/>
      <c r="M17" s="114"/>
      <c r="N17" s="114"/>
      <c r="O17" s="114"/>
    </row>
    <row r="18" spans="2:15" ht="6" customHeight="1" thickBot="1" x14ac:dyDescent="0.2">
      <c r="B18" s="61"/>
      <c r="C18" s="61"/>
      <c r="D18" s="61"/>
      <c r="E18" s="61"/>
      <c r="F18" s="62"/>
      <c r="G18" s="63"/>
      <c r="H18" s="63"/>
      <c r="I18" s="63"/>
      <c r="J18" s="62"/>
    </row>
    <row r="19" spans="2:15" ht="22" thickTop="1" thickBot="1" x14ac:dyDescent="0.2">
      <c r="B19" s="137" t="s">
        <v>50</v>
      </c>
      <c r="C19" s="137"/>
      <c r="D19" s="137"/>
      <c r="E19" s="137"/>
      <c r="F19" s="137"/>
      <c r="G19" s="137"/>
      <c r="H19" s="137"/>
      <c r="I19" s="137"/>
      <c r="J19" s="137"/>
    </row>
    <row r="20" spans="2:15" ht="20" thickBot="1" x14ac:dyDescent="0.25">
      <c r="B20" s="50" t="s">
        <v>26</v>
      </c>
      <c r="C20" s="8" t="s">
        <v>0</v>
      </c>
      <c r="D20" s="8" t="s">
        <v>1</v>
      </c>
      <c r="E20" s="8" t="s">
        <v>22</v>
      </c>
      <c r="F20" s="8" t="s">
        <v>27</v>
      </c>
      <c r="G20" s="130" t="s">
        <v>36</v>
      </c>
      <c r="H20" s="131"/>
      <c r="I20" s="132"/>
      <c r="J20" s="50" t="s">
        <v>28</v>
      </c>
    </row>
    <row r="21" spans="2:15" ht="40" customHeight="1" x14ac:dyDescent="0.25">
      <c r="B21" s="88"/>
      <c r="C21" s="100">
        <f>Control_1 Open_time</f>
        <v>45892.25</v>
      </c>
      <c r="D21" s="100">
        <f>Control_1 Close_time</f>
        <v>45892.291666666664</v>
      </c>
      <c r="E21" s="89"/>
      <c r="F21" s="90" t="str">
        <f>IF(ISBLANK(Control_1 Establishment_1),"",Control_1 Establishment_1)</f>
        <v>Tim Hortons</v>
      </c>
      <c r="G21" s="117" t="str">
        <f>IF(ISBLANK('Control Entry'!I15),"",'Control Entry'!I15)</f>
        <v/>
      </c>
      <c r="H21" s="118"/>
      <c r="I21" s="119"/>
      <c r="J21" s="91"/>
    </row>
    <row r="22" spans="2:15" ht="40" customHeight="1" x14ac:dyDescent="0.25">
      <c r="B22" s="92">
        <f>IF(ISBLANK(Distance Control_1),"",Control_1 Distance)</f>
        <v>0</v>
      </c>
      <c r="C22" s="93">
        <f>Control_1 Open_time</f>
        <v>45892.25</v>
      </c>
      <c r="D22" s="93">
        <f>Control_1 Close_time</f>
        <v>45892.291666666664</v>
      </c>
      <c r="E22" s="90" t="str">
        <f>IF(ISBLANK(Locale Control_1),"",Locale Control_1)</f>
        <v>NANAIMO</v>
      </c>
      <c r="F22" s="90" t="str">
        <f>IF(ISBLANK(Control_1 Establishment_2),"",Control_1 Establishment_2)</f>
        <v>1980 Island Highway North</v>
      </c>
      <c r="G22" s="120" t="str">
        <f>IF(ISBLANK('Control Entry'!J15),"",'Control Entry'!J15)</f>
        <v/>
      </c>
      <c r="H22" s="121"/>
      <c r="I22" s="122"/>
      <c r="J22" s="94"/>
    </row>
    <row r="23" spans="2:15" ht="40" customHeight="1" thickBot="1" x14ac:dyDescent="0.3">
      <c r="B23" s="95"/>
      <c r="C23" s="101">
        <f>Control_1 Open_time</f>
        <v>45892.25</v>
      </c>
      <c r="D23" s="101">
        <f>Control_1 Close_time</f>
        <v>45892.291666666664</v>
      </c>
      <c r="E23" s="96"/>
      <c r="F23" s="97" t="str">
        <f>IF(ISBLANK(Control_1 Establishment_3),"",Control_1 Establishment_3)</f>
        <v/>
      </c>
      <c r="G23" s="123" t="str">
        <f>IF(ISBLANK('Control Entry'!K15),"",'Control Entry'!K15)</f>
        <v/>
      </c>
      <c r="H23" s="124"/>
      <c r="I23" s="125"/>
      <c r="J23" s="98"/>
    </row>
    <row r="24" spans="2:15" ht="40" customHeight="1" x14ac:dyDescent="0.25">
      <c r="B24" s="88"/>
      <c r="C24" s="100">
        <f>Control_2 Open_time</f>
        <v>45892.356944444444</v>
      </c>
      <c r="D24" s="100">
        <f>Control_2 Close_time</f>
        <v>45892.491666666669</v>
      </c>
      <c r="E24" s="99"/>
      <c r="F24" s="90" t="str">
        <f>IF(ISBLANK(Control_2 Establishment_1),"",Control_2 Establishment_1)</f>
        <v>BUSINESS</v>
      </c>
      <c r="G24" s="117" t="str">
        <f>IF(ISBLANK('Control Entry'!I16),"",'Control Entry'!I16)</f>
        <v/>
      </c>
      <c r="H24" s="118"/>
      <c r="I24" s="119"/>
      <c r="J24" s="91"/>
    </row>
    <row r="25" spans="2:15" ht="40" customHeight="1" x14ac:dyDescent="0.25">
      <c r="B25" s="92">
        <f>IF(ISBLANK(Distance Control_2),"",Control_2 Distance)</f>
        <v>87.1</v>
      </c>
      <c r="C25" s="93">
        <f>Control_2 Open_time</f>
        <v>45892.356944444444</v>
      </c>
      <c r="D25" s="93">
        <f>Control_2 Close_time</f>
        <v>45892.491666666669</v>
      </c>
      <c r="E25" s="90" t="str">
        <f>IF(ISBLANK(Locale Control_2),"",Locale Control_2)</f>
        <v>LAKE COWICHAN</v>
      </c>
      <c r="F25" s="90" t="str">
        <f>IF(ISBLANK(Control_2 Establishment_2),"",Control_2 Establishment_2)</f>
        <v>Your choice</v>
      </c>
      <c r="G25" s="120" t="str">
        <f>IF(ISBLANK('Control Entry'!J16),"",'Control Entry'!J16)</f>
        <v/>
      </c>
      <c r="H25" s="121"/>
      <c r="I25" s="122"/>
      <c r="J25" s="94"/>
    </row>
    <row r="26" spans="2:15" ht="40" customHeight="1" thickBot="1" x14ac:dyDescent="0.3">
      <c r="B26" s="95"/>
      <c r="C26" s="101">
        <f>Control_2 Open_time</f>
        <v>45892.356944444444</v>
      </c>
      <c r="D26" s="101">
        <f>Control_2 Close_time</f>
        <v>45892.491666666669</v>
      </c>
      <c r="E26" s="96"/>
      <c r="F26" s="97" t="str">
        <f>IF(ISBLANK(Control_2 Establishment_3),"",Control_2 Establishment_3)</f>
        <v>Lake Cowichan Rd/S Shore Rd</v>
      </c>
      <c r="G26" s="123" t="str">
        <f>IF(ISBLANK('Control Entry'!K16),"",'Control Entry'!K16)</f>
        <v/>
      </c>
      <c r="H26" s="124"/>
      <c r="I26" s="125"/>
      <c r="J26" s="98"/>
    </row>
    <row r="27" spans="2:15" ht="40" customHeight="1" x14ac:dyDescent="0.25">
      <c r="B27" s="88"/>
      <c r="C27" s="100">
        <f>Control_3 Open_time</f>
        <v>45892.434027777781</v>
      </c>
      <c r="D27" s="100">
        <f>Control_3 Close_time</f>
        <v>45892.666666666664</v>
      </c>
      <c r="E27" s="99"/>
      <c r="F27" s="90" t="str">
        <f>IF(ISBLANK(Control_3 Establishment_1),"",Control_3 Establishment_1)</f>
        <v>INFORMATION</v>
      </c>
      <c r="G27" s="117" t="str">
        <f>IF(ISBLANK('Control Entry'!I17),"",'Control Entry'!I17)</f>
        <v>By totem pole, speed sign at dock</v>
      </c>
      <c r="H27" s="118"/>
      <c r="I27" s="119"/>
      <c r="J27" s="91"/>
    </row>
    <row r="28" spans="2:15" ht="40" customHeight="1" x14ac:dyDescent="0.25">
      <c r="B28" s="92">
        <f>IF(ISBLANK(Distance Control_3),"",Control_3 Distance)</f>
        <v>150</v>
      </c>
      <c r="C28" s="93">
        <f>Control_3 Open_time</f>
        <v>45892.434027777781</v>
      </c>
      <c r="D28" s="93">
        <f>Control_3 Close_time</f>
        <v>45892.666666666664</v>
      </c>
      <c r="E28" s="90" t="str">
        <f>IF(ISBLANK(Locale Control_3),"",Locale Control_3)</f>
        <v>PORT RENFREW</v>
      </c>
      <c r="F28" s="90" t="str">
        <f>IF(ISBLANK(Control_3 Establishment_2),"",Control_3 Establishment_2)</f>
        <v>Renfrew Pub</v>
      </c>
      <c r="G28" s="120" t="str">
        <f>IF(ISBLANK('Control Entry'!J17),"",'Control Entry'!J17)</f>
        <v>Back side sticker REAL_____?</v>
      </c>
      <c r="H28" s="121"/>
      <c r="I28" s="122"/>
      <c r="J28" s="94"/>
    </row>
    <row r="29" spans="2:15" ht="40" customHeight="1" thickBot="1" x14ac:dyDescent="0.3">
      <c r="B29" s="95"/>
      <c r="C29" s="101">
        <f>Control_3 Open_time</f>
        <v>45892.434027777781</v>
      </c>
      <c r="D29" s="101">
        <f>Control_3 Close_time</f>
        <v>45892.666666666664</v>
      </c>
      <c r="E29" s="96"/>
      <c r="F29" s="97" t="str">
        <f>IF(ISBLANK(Control_3 Establishment_3),"",Control_3 Establishment_3)</f>
        <v>Parkinson Rd</v>
      </c>
      <c r="G29" s="123" t="str">
        <f>IF(ISBLANK('Control Entry'!K17),"",'Control Entry'!K17)</f>
        <v/>
      </c>
      <c r="H29" s="124"/>
      <c r="I29" s="125"/>
      <c r="J29" s="98"/>
    </row>
    <row r="30" spans="2:15" ht="40" customHeight="1" x14ac:dyDescent="0.25">
      <c r="B30" s="88"/>
      <c r="C30" s="100">
        <f>Control_4 Open_time</f>
        <v>45892.520833333336</v>
      </c>
      <c r="D30" s="100">
        <f>Control_4 Close_time</f>
        <v>45892.861111111109</v>
      </c>
      <c r="E30" s="99"/>
      <c r="F30" s="90" t="str">
        <f>IF(ISBLANK(Control_4 Establishment_1),"",Control_4 Establishment_1)</f>
        <v>INFORMATION</v>
      </c>
      <c r="G30" s="117" t="str">
        <f>IF(ISBLANK('Control Entry'!I18),"",'Control Entry'!I18)</f>
        <v>Number of picnic tables under shelter?</v>
      </c>
      <c r="H30" s="118"/>
      <c r="I30" s="119"/>
      <c r="J30" s="91"/>
    </row>
    <row r="31" spans="2:15" ht="40" customHeight="1" x14ac:dyDescent="0.25">
      <c r="B31" s="92">
        <f>IF(ISBLANK(Distance Control_4),"",Control_4 Distance)</f>
        <v>220</v>
      </c>
      <c r="C31" s="93">
        <f>Control_4 Open_time</f>
        <v>45892.520833333336</v>
      </c>
      <c r="D31" s="93">
        <f>Control_4 Close_time</f>
        <v>45892.861111111109</v>
      </c>
      <c r="E31" s="90" t="str">
        <f>IF(ISBLANK(Locale Control_4),"",Locale Control_4)</f>
        <v>LAKE COWICHAN</v>
      </c>
      <c r="F31" s="90" t="str">
        <f>IF(ISBLANK(Control_4 Establishment_2),"",Control_4 Establishment_2)</f>
        <v>Stoker Park</v>
      </c>
      <c r="G31" s="126" t="str">
        <f>IF(ISBLANK('Control Entry'!J18),"",'Control Entry'!J18)</f>
        <v/>
      </c>
      <c r="H31" s="127"/>
      <c r="I31" s="128"/>
      <c r="J31" s="94"/>
    </row>
    <row r="32" spans="2:15" ht="40" customHeight="1" thickBot="1" x14ac:dyDescent="0.3">
      <c r="B32" s="95"/>
      <c r="C32" s="101">
        <f>Control_4 Open_time</f>
        <v>45892.520833333336</v>
      </c>
      <c r="D32" s="101">
        <f>Control_4 Close_time</f>
        <v>45892.861111111109</v>
      </c>
      <c r="E32" s="96"/>
      <c r="F32" s="97" t="str">
        <f>IF(ISBLANK(Control_4 Establishment_3),"",Control_4 Establishment_3)</f>
        <v>Marble Bay Rd</v>
      </c>
      <c r="G32" s="123" t="str">
        <f>IF(ISBLANK('Control Entry'!K18),"",'Control Entry'!K18)</f>
        <v/>
      </c>
      <c r="H32" s="124"/>
      <c r="I32" s="125"/>
      <c r="J32" s="98"/>
    </row>
    <row r="33" spans="2:10" ht="40" customHeight="1" x14ac:dyDescent="0.25">
      <c r="B33" s="88"/>
      <c r="C33" s="100">
        <f>Control_5 Open_time</f>
        <v>45892.597916666666</v>
      </c>
      <c r="D33" s="100">
        <f>Control_5 Close_time</f>
        <v>45893.025694444441</v>
      </c>
      <c r="E33" s="99"/>
      <c r="F33" s="90" t="str">
        <f>IF(ISBLANK(Control_5 Establishment_1),"",Control_5 Establishment_1)</f>
        <v>Tim Hortons</v>
      </c>
      <c r="G33" s="117" t="str">
        <f>IF(ISBLANK('Control Entry'!I19),"",'Control Entry'!I19)</f>
        <v/>
      </c>
      <c r="H33" s="118"/>
      <c r="I33" s="119"/>
      <c r="J33" s="91"/>
    </row>
    <row r="34" spans="2:10" ht="40" customHeight="1" x14ac:dyDescent="0.25">
      <c r="B34" s="92">
        <f>IF(ISBLANK(Distance Control_5),"",Control_5 Distance)</f>
        <v>279.2</v>
      </c>
      <c r="C34" s="93">
        <f>Control_5 Open_time</f>
        <v>45892.597916666666</v>
      </c>
      <c r="D34" s="93">
        <f>Control_5 Close_time</f>
        <v>45893.025694444441</v>
      </c>
      <c r="E34" s="90" t="str">
        <f>IF(ISBLANK(Locale Control_5),"",Locale Control_5)</f>
        <v>MILL BAY</v>
      </c>
      <c r="F34" s="90" t="str">
        <f>IF(ISBLANK(Control_5 Establishment_2),"",Control_5 Establishment_2)</f>
        <v>or Shell Gas</v>
      </c>
      <c r="G34" s="120" t="str">
        <f>IF(ISBLANK('Control Entry'!J19),"",'Control Entry'!J19)</f>
        <v/>
      </c>
      <c r="H34" s="121"/>
      <c r="I34" s="122"/>
      <c r="J34" s="94"/>
    </row>
    <row r="35" spans="2:10" ht="40" customHeight="1" thickBot="1" x14ac:dyDescent="0.3">
      <c r="B35" s="95"/>
      <c r="C35" s="101">
        <f>Control_5 Open_time</f>
        <v>45892.597916666666</v>
      </c>
      <c r="D35" s="101">
        <f>Control_5 Close_time</f>
        <v>45893.025694444441</v>
      </c>
      <c r="E35" s="96"/>
      <c r="F35" s="103" t="str">
        <f>IF(ISBLANK(Control_5 Establishment_3),"",Control_5 Establishment_3)</f>
        <v>Deloume Rd</v>
      </c>
      <c r="G35" s="123" t="str">
        <f>IF(ISBLANK('Control Entry'!K19),"",'Control Entry'!K19)</f>
        <v/>
      </c>
      <c r="H35" s="124"/>
      <c r="I35" s="125"/>
      <c r="J35" s="98"/>
    </row>
    <row r="36" spans="2:10" ht="40" customHeight="1" x14ac:dyDescent="0.25">
      <c r="B36" s="88"/>
      <c r="C36" s="100">
        <f>Control_6 Open_time</f>
        <v>45892.705555555556</v>
      </c>
      <c r="D36" s="100">
        <f>Control_6 Close_time</f>
        <v>45893.254166666666</v>
      </c>
      <c r="E36" s="99"/>
      <c r="F36" s="90" t="str">
        <f>IF(ISBLANK(Control_6 Establishment_1),"",Control_6 Establishment_1)</f>
        <v>7Eleven</v>
      </c>
      <c r="G36" s="117" t="str">
        <f>IF(ISBLANK('Control Entry'!I20),"",'Control Entry'!I20)</f>
        <v/>
      </c>
      <c r="H36" s="118"/>
      <c r="I36" s="119"/>
      <c r="J36" s="91"/>
    </row>
    <row r="37" spans="2:10" ht="40" customHeight="1" x14ac:dyDescent="0.25">
      <c r="B37" s="92">
        <f>IF(ISBLANK(Distance Control_6),"",Control_6 Distance)</f>
        <v>361.5</v>
      </c>
      <c r="C37" s="93">
        <f>Control_6 Open_time</f>
        <v>45892.705555555556</v>
      </c>
      <c r="D37" s="93">
        <f>Control_6 Close_time</f>
        <v>45893.254166666666</v>
      </c>
      <c r="E37" s="90" t="str">
        <f>IF(ISBLANK(Locale Control_6),"",Locale Control_6)</f>
        <v>NANAIMO</v>
      </c>
      <c r="F37" s="90" t="str">
        <f>IF(ISBLANK(Control_6 Establishment_2),"",Control_6 Establishment_2)</f>
        <v>Bruce Ave @ 5th St</v>
      </c>
      <c r="G37" s="120" t="str">
        <f>IF(ISBLANK('Control Entry'!J20),"",'Control Entry'!J20)</f>
        <v/>
      </c>
      <c r="H37" s="121"/>
      <c r="I37" s="122"/>
      <c r="J37" s="94"/>
    </row>
    <row r="38" spans="2:10" ht="40" customHeight="1" thickBot="1" x14ac:dyDescent="0.3">
      <c r="B38" s="95"/>
      <c r="C38" s="101">
        <f>Control_6 Open_time</f>
        <v>45892.705555555556</v>
      </c>
      <c r="D38" s="101">
        <f>Control_6 Close_time</f>
        <v>45893.254166666666</v>
      </c>
      <c r="E38" s="96"/>
      <c r="F38" s="97" t="str">
        <f>IF(ISBLANK(Control_6 Establishment_3),"",Control_6 Establishment_3)</f>
        <v/>
      </c>
      <c r="G38" s="123" t="str">
        <f>IF(ISBLANK('Control Entry'!K20),"",'Control Entry'!K20)</f>
        <v/>
      </c>
      <c r="H38" s="124"/>
      <c r="I38" s="125"/>
      <c r="J38" s="98"/>
    </row>
    <row r="39" spans="2:10" ht="40" customHeight="1" x14ac:dyDescent="0.25">
      <c r="B39" s="88"/>
      <c r="C39" s="100">
        <f>Control_7 Open_time</f>
        <v>45892.82708333333</v>
      </c>
      <c r="D39" s="100">
        <f>Control_7 Close_time</f>
        <v>45893.504861111112</v>
      </c>
      <c r="E39" s="99"/>
      <c r="F39" s="90" t="str">
        <f>IF(ISBLANK(Control_7 Establishment_1),"",Control_7 Establishment_1)</f>
        <v>Buckley Bay Store/Petrocan</v>
      </c>
      <c r="G39" s="117" t="str">
        <f>IF(ISBLANK('Control Entry'!I21),"",'Control Entry'!I21)</f>
        <v>self sign if closed</v>
      </c>
      <c r="H39" s="118"/>
      <c r="I39" s="119"/>
      <c r="J39" s="91"/>
    </row>
    <row r="40" spans="2:10" ht="40" customHeight="1" x14ac:dyDescent="0.25">
      <c r="B40" s="92">
        <f>IF(ISBLANK(Distance Control_7),"",Control_7 Distance)</f>
        <v>451.7</v>
      </c>
      <c r="C40" s="93">
        <f>Control_7 Open_time</f>
        <v>45892.82708333333</v>
      </c>
      <c r="D40" s="93">
        <f>Control_7 Close_time</f>
        <v>45893.504861111112</v>
      </c>
      <c r="E40" s="90" t="str">
        <f>IF(ISBLANK(Locale Control_7),"",Locale Control_7)</f>
        <v>BUCKLEY BAY</v>
      </c>
      <c r="F40" s="90" t="str">
        <f>IF(ISBLANK(Control_7 Establishment_2),"",Control_7 Establishment_2)</f>
        <v/>
      </c>
      <c r="G40" s="120" t="str">
        <f>IF(ISBLANK('Control Entry'!J21),"",'Control Entry'!J21)</f>
        <v/>
      </c>
      <c r="H40" s="121"/>
      <c r="I40" s="122"/>
      <c r="J40" s="94"/>
    </row>
    <row r="41" spans="2:10" ht="40" customHeight="1" thickBot="1" x14ac:dyDescent="0.3">
      <c r="B41" s="95"/>
      <c r="C41" s="101">
        <f>Control_7 Open_time</f>
        <v>45892.82708333333</v>
      </c>
      <c r="D41" s="101">
        <f>Control_7 Close_time</f>
        <v>45893.504861111112</v>
      </c>
      <c r="E41" s="96"/>
      <c r="F41" s="97" t="str">
        <f>IF(ISBLANK(Control_7 Establishment_3),"",Control_7 Establishment_3)</f>
        <v/>
      </c>
      <c r="G41" s="123" t="str">
        <f>IF(ISBLANK('Control Entry'!K21),"",'Control Entry'!K21)</f>
        <v/>
      </c>
      <c r="H41" s="124"/>
      <c r="I41" s="125"/>
      <c r="J41" s="98"/>
    </row>
    <row r="42" spans="2:10" ht="40" customHeight="1" x14ac:dyDescent="0.25">
      <c r="B42" s="88"/>
      <c r="C42" s="100">
        <f>Control_8 Open_time</f>
        <v>45892.874305555553</v>
      </c>
      <c r="D42" s="100">
        <f>Control_8 Close_time</f>
        <v>45893.598611111112</v>
      </c>
      <c r="E42" s="99"/>
      <c r="F42" s="90" t="str">
        <f>IF(ISBLANK(Control_8 Establishment_1),"",Control_8 Establishment_1)</f>
        <v>Tim Hortons</v>
      </c>
      <c r="G42" s="117" t="str">
        <f>IF(ISBLANK('Control Entry'!I22),"",'Control Entry'!I22)</f>
        <v/>
      </c>
      <c r="H42" s="118"/>
      <c r="I42" s="119"/>
      <c r="J42" s="91"/>
    </row>
    <row r="43" spans="2:10" ht="40" customHeight="1" x14ac:dyDescent="0.25">
      <c r="B43" s="92">
        <f>IF(ISBLANK(Distance Control_8),"",Control_8 Distance)</f>
        <v>485.6</v>
      </c>
      <c r="C43" s="93">
        <f>Control_8 Open_time</f>
        <v>45892.874305555553</v>
      </c>
      <c r="D43" s="93">
        <f>Control_8 Close_time</f>
        <v>45893.598611111112</v>
      </c>
      <c r="E43" s="90" t="str">
        <f>IF(ISBLANK(Locale Control_8),"",Locale Control_8)</f>
        <v>COMOX</v>
      </c>
      <c r="F43" s="90" t="str">
        <f>IF(ISBLANK(Control_8 Establishment_2),"",Control_8 Establishment_2)</f>
        <v>394 Lerwick Rd</v>
      </c>
      <c r="G43" s="120" t="str">
        <f>IF(ISBLANK('Control Entry'!J22),"",'Control Entry'!J22)</f>
        <v/>
      </c>
      <c r="H43" s="121"/>
      <c r="I43" s="122"/>
      <c r="J43" s="94"/>
    </row>
    <row r="44" spans="2:10" ht="40" customHeight="1" thickBot="1" x14ac:dyDescent="0.3">
      <c r="B44" s="95"/>
      <c r="C44" s="101">
        <f>Control_8 Open_time</f>
        <v>45892.874305555553</v>
      </c>
      <c r="D44" s="101">
        <f>Control_8 Close_time</f>
        <v>45893.598611111112</v>
      </c>
      <c r="E44" s="96"/>
      <c r="F44" s="97" t="str">
        <f>IF(ISBLANK(Control_8 Establishment_3),"",Control_8 Establishment_3)</f>
        <v/>
      </c>
      <c r="G44" s="123" t="str">
        <f>IF(ISBLANK('Control Entry'!K22),"",'Control Entry'!K22)</f>
        <v/>
      </c>
      <c r="H44" s="124"/>
      <c r="I44" s="125"/>
      <c r="J44" s="98"/>
    </row>
    <row r="45" spans="2:10" ht="40" customHeight="1" x14ac:dyDescent="0.25">
      <c r="B45" s="88"/>
      <c r="C45" s="100">
        <f>Control_9 Open_time</f>
        <v>45892.972222222219</v>
      </c>
      <c r="D45" s="100">
        <f>Control_9 Close_time</f>
        <v>45893.793749999997</v>
      </c>
      <c r="E45" s="99"/>
      <c r="F45" s="90" t="str">
        <f>IF(ISBLANK(Control_9 Establishment_1),"",Control_9 Establishment_1)</f>
        <v>Shell Gas</v>
      </c>
      <c r="G45" s="117" t="str">
        <f>IF(ISBLANK('Control Entry'!I23),"",'Control Entry'!I23)</f>
        <v>self sign if closed</v>
      </c>
      <c r="H45" s="118"/>
      <c r="I45" s="119"/>
      <c r="J45" s="91"/>
    </row>
    <row r="46" spans="2:10" ht="40" customHeight="1" x14ac:dyDescent="0.25">
      <c r="B46" s="92">
        <f>IF(ISBLANK(Distance Control_9),"",Control_9 Distance)</f>
        <v>555.79999999999995</v>
      </c>
      <c r="C46" s="93">
        <f>Control_9 Open_time</f>
        <v>45892.972222222219</v>
      </c>
      <c r="D46" s="93">
        <f>Control_9 Close_time</f>
        <v>45893.793749999997</v>
      </c>
      <c r="E46" s="90" t="str">
        <f>IF(ISBLANK(Locale Control_9),"",Locale Control_9)</f>
        <v>QUALICUM BEACH</v>
      </c>
      <c r="F46" s="90" t="str">
        <f>IF(ISBLANK(Control_9 Establishment_2),"",Control_9 Establishment_2)</f>
        <v>Island Hwy @ Memorial Ave</v>
      </c>
      <c r="G46" s="120" t="str">
        <f>IF(ISBLANK('Control Entry'!J23),"",'Control Entry'!J23)</f>
        <v/>
      </c>
      <c r="H46" s="121"/>
      <c r="I46" s="122"/>
      <c r="J46" s="94"/>
    </row>
    <row r="47" spans="2:10" ht="40" customHeight="1" thickBot="1" x14ac:dyDescent="0.3">
      <c r="B47" s="95"/>
      <c r="C47" s="101">
        <f>Control_9 Open_time</f>
        <v>45892.972222222219</v>
      </c>
      <c r="D47" s="101">
        <f>Control_9 Close_time</f>
        <v>45893.793749999997</v>
      </c>
      <c r="E47" s="96"/>
      <c r="F47" s="97" t="str">
        <f>IF(ISBLANK(Control_9 Establishment_3),"",Control_9 Establishment_3)</f>
        <v/>
      </c>
      <c r="G47" s="123" t="str">
        <f>IF(ISBLANK('Control Entry'!K23),"",'Control Entry'!K23)</f>
        <v/>
      </c>
      <c r="H47" s="124"/>
      <c r="I47" s="125"/>
      <c r="J47" s="98"/>
    </row>
    <row r="48" spans="2:10" ht="40" customHeight="1" x14ac:dyDescent="0.25">
      <c r="B48" s="88"/>
      <c r="C48" s="100">
        <f>Control_10 Open_time</f>
        <v>45893.036111111112</v>
      </c>
      <c r="D48" s="100">
        <f>Control_10 Close_time</f>
        <v>45893.916666666664</v>
      </c>
      <c r="E48" s="99"/>
      <c r="F48" s="90" t="str">
        <f>IF(ISBLANK(Control_10 Establishment_1),"",Control_10 Establishment_1)</f>
        <v>Tim Hortons</v>
      </c>
      <c r="G48" s="117" t="str">
        <f>IF(ISBLANK('Control Entry'!I24),"",'Control Entry'!I24)</f>
        <v>self sign if closed</v>
      </c>
      <c r="H48" s="118"/>
      <c r="I48" s="119"/>
      <c r="J48" s="91"/>
    </row>
    <row r="49" spans="2:11" ht="40" customHeight="1" x14ac:dyDescent="0.25">
      <c r="B49" s="92">
        <f>IF(ISBLANK(Distance Control_10),"",Control_10 Distance)</f>
        <v>601.79999999999995</v>
      </c>
      <c r="C49" s="93">
        <f>Control_10 Open_time</f>
        <v>45893.036111111112</v>
      </c>
      <c r="D49" s="93">
        <f>Control_10 Close_time</f>
        <v>45893.916666666664</v>
      </c>
      <c r="E49" s="90" t="str">
        <f>IF(ISBLANK(Locale Control_10),"",Locale Control_10)</f>
        <v>NANAIMO</v>
      </c>
      <c r="F49" s="90" t="str">
        <f>IF(ISBLANK(Control_10 Establishment_2),"",Control_10 Establishment_2)</f>
        <v>Brooks Landing</v>
      </c>
      <c r="G49" s="120" t="str">
        <f>IF(ISBLANK('Control Entry'!J24),"",'Control Entry'!J24)</f>
        <v/>
      </c>
      <c r="H49" s="121"/>
      <c r="I49" s="122"/>
      <c r="J49" s="94"/>
    </row>
    <row r="50" spans="2:11" ht="40" customHeight="1" thickBot="1" x14ac:dyDescent="0.3">
      <c r="B50" s="95"/>
      <c r="C50" s="101">
        <f>Control_10 Open_time</f>
        <v>45893.036111111112</v>
      </c>
      <c r="D50" s="101">
        <f>Control_10 Close_time</f>
        <v>45893.916666666664</v>
      </c>
      <c r="E50" s="96"/>
      <c r="F50" s="97" t="str">
        <f>IF(ISBLANK(Control_10 Establishment_3),"",Control_10 Establishment_3)</f>
        <v>1980 Island Hwy N</v>
      </c>
      <c r="G50" s="123" t="str">
        <f>IF(ISBLANK('Control Entry'!K24),"",'Control Entry'!K24)</f>
        <v/>
      </c>
      <c r="H50" s="124"/>
      <c r="I50" s="125"/>
      <c r="J50" s="98"/>
    </row>
    <row r="52" spans="2:11" ht="24" customHeight="1" x14ac:dyDescent="0.15">
      <c r="B52" s="129" t="s">
        <v>30</v>
      </c>
      <c r="C52" s="129"/>
      <c r="D52" s="129"/>
      <c r="E52" s="129"/>
      <c r="F52" s="129"/>
      <c r="I52" s="58" t="s">
        <v>57</v>
      </c>
      <c r="J52" s="81" t="str">
        <f>IF(ISBLANK('Control Entry'!F10),"",'Control Entry'!F10)</f>
        <v>‭(250) 213-3724‬</v>
      </c>
      <c r="K52" s="54"/>
    </row>
    <row r="54" spans="2:11" x14ac:dyDescent="0.15">
      <c r="B54" s="76" t="s">
        <v>60</v>
      </c>
      <c r="C54" s="77">
        <f>'Control Entry'!B3</f>
        <v>45167</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15"/>
      <c r="G57" s="116"/>
      <c r="H57" s="116"/>
      <c r="I57" s="116"/>
      <c r="J57" s="116"/>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27</vt:i4>
      </vt:variant>
    </vt:vector>
  </HeadingPairs>
  <TitlesOfParts>
    <vt:vector size="29" baseType="lpstr">
      <vt:lpstr>Control Entry</vt:lpstr>
      <vt:lpstr>Card #1</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2025-05-01T03:15:43Z</cp:lastPrinted>
  <dcterms:created xsi:type="dcterms:W3CDTF">1997-11-12T04:43:39Z</dcterms:created>
  <dcterms:modified xsi:type="dcterms:W3CDTF">2025-06-28T13:23:03Z</dcterms:modified>
</cp:coreProperties>
</file>