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2/5157/"/>
    </mc:Choice>
  </mc:AlternateContent>
  <xr:revisionPtr revIDLastSave="0" documentId="13_ncr:1_{0788D711-8938-7E4E-96D7-0B517372223C}" xr6:coauthVersionLast="36" xr6:coauthVersionMax="36" xr10:uidLastSave="{00000000-0000-0000-0000-000000000000}"/>
  <bookViews>
    <workbookView xWindow="0" yWindow="460" windowWidth="25600" windowHeight="15540" tabRatio="509" xr2:uid="{00000000-000D-0000-FFFF-FFFF00000000}"/>
  </bookViews>
  <sheets>
    <sheet name="Control Entry" sheetId="1" r:id="rId1"/>
    <sheet name="Control Card Nanaimo" sheetId="2" r:id="rId2"/>
    <sheet name="Control Card Mill Bay" sheetId="3" r:id="rId3"/>
    <sheet name="Control Card Cumberland" sheetId="4" r:id="rId4"/>
  </sheets>
  <definedNames>
    <definedName name="Address_1" localSheetId="3">#REF!</definedName>
    <definedName name="Address_1" localSheetId="2">#REF!</definedName>
    <definedName name="Address_1">#REF!</definedName>
    <definedName name="Address_2" localSheetId="3">#REF!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3">#REF!</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3">'Control Entry'!#REF!</definedName>
    <definedName name="Control_11" localSheetId="2">'Control Entry'!#REF!</definedName>
    <definedName name="Control_11">'Control Entry'!#REF!</definedName>
    <definedName name="Control_12" localSheetId="3">'Control Entry'!#REF!</definedName>
    <definedName name="Control_12" localSheetId="2">'Control Entry'!#REF!</definedName>
    <definedName name="Control_12">'Control Entry'!#REF!</definedName>
    <definedName name="Control_13" localSheetId="3">'Control Entry'!#REF!</definedName>
    <definedName name="Control_13" localSheetId="2">'Control Entry'!#REF!</definedName>
    <definedName name="Control_13">'Control Entry'!#REF!</definedName>
    <definedName name="Control_14" localSheetId="3">'Control Entry'!#REF!</definedName>
    <definedName name="Control_14" localSheetId="2">'Control Entry'!#REF!</definedName>
    <definedName name="Control_14">'Control Entry'!#REF!</definedName>
    <definedName name="Control_15" localSheetId="3">'Control Entry'!#REF!</definedName>
    <definedName name="Control_15" localSheetId="2">'Control Entry'!#REF!</definedName>
    <definedName name="Control_15">'Control Entry'!#REF!</definedName>
    <definedName name="Control_16" localSheetId="3">'Control Entry'!#REF!</definedName>
    <definedName name="Control_16" localSheetId="2">'Control Entry'!#REF!</definedName>
    <definedName name="Control_16">'Control Entry'!#REF!</definedName>
    <definedName name="Control_17" localSheetId="3">'Control Entry'!#REF!</definedName>
    <definedName name="Control_17" localSheetId="2">'Control Entry'!#REF!</definedName>
    <definedName name="Control_17">'Control Entry'!#REF!</definedName>
    <definedName name="Control_18" localSheetId="3">'Control Entry'!#REF!</definedName>
    <definedName name="Control_18" localSheetId="2">'Control Entry'!#REF!</definedName>
    <definedName name="Control_18">'Control Entry'!#REF!</definedName>
    <definedName name="Control_19" localSheetId="3">'Control Entry'!#REF!</definedName>
    <definedName name="Control_19" localSheetId="2">'Control Entry'!#REF!</definedName>
    <definedName name="Control_19">'Control Entry'!#REF!</definedName>
    <definedName name="Control_2">'Control Entry'!$D$11:$O$11</definedName>
    <definedName name="Control_20" localSheetId="3">'Control Entry'!#REF!</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3">#REF!</definedName>
    <definedName name="Country" localSheetId="2">#REF!</definedName>
    <definedName name="Country">#REF!</definedName>
    <definedName name="Distance">'Control Entry'!$D$10:$D$19</definedName>
    <definedName name="email" localSheetId="3">#REF!</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3">#REF!</definedName>
    <definedName name="Fax" localSheetId="2">#REF!</definedName>
    <definedName name="Fax">#REF!</definedName>
    <definedName name="First_Name" localSheetId="3">#REF!</definedName>
    <definedName name="First_Name" localSheetId="2">#REF!</definedName>
    <definedName name="First_Name">#REF!</definedName>
    <definedName name="Home_telephone" localSheetId="3">#REF!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3">#REF!</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3">#REF!</definedName>
    <definedName name="Postal_Code" localSheetId="2">#REF!</definedName>
    <definedName name="Postal_Code">#REF!</definedName>
    <definedName name="_xlnm.Print_Titles" localSheetId="3">'Control Card Cumberland'!$1:$2</definedName>
    <definedName name="_xlnm.Print_Titles" localSheetId="2">'Control Card Mill Bay'!$1:$2</definedName>
    <definedName name="_xlnm.Print_Titles" localSheetId="1">'Control Card Nanaimo'!$1:$2</definedName>
    <definedName name="Province_State" localSheetId="3">#REF!</definedName>
    <definedName name="Province_State" localSheetId="2">#REF!</definedName>
    <definedName name="Province_State">#REF!</definedName>
    <definedName name="Start_date">'Control Entry'!$B$7</definedName>
    <definedName name="Start_time">'Control Entry'!$B$8</definedName>
    <definedName name="surname" localSheetId="3">#REF!</definedName>
    <definedName name="surname" localSheetId="2">#REF!</definedName>
    <definedName name="surname">#REF!</definedName>
    <definedName name="Work_telephone" localSheetId="3">#REF!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9" i="4"/>
  <c r="F18" i="4"/>
  <c r="E20" i="4"/>
  <c r="E19" i="4"/>
  <c r="E18" i="4"/>
  <c r="D19" i="4"/>
  <c r="A19" i="4"/>
  <c r="F17" i="4"/>
  <c r="F16" i="4"/>
  <c r="F15" i="4"/>
  <c r="E17" i="4"/>
  <c r="E16" i="4"/>
  <c r="E15" i="4"/>
  <c r="D16" i="4"/>
  <c r="A16" i="4"/>
  <c r="F13" i="4"/>
  <c r="F14" i="4"/>
  <c r="F12" i="4"/>
  <c r="E14" i="4"/>
  <c r="E13" i="4"/>
  <c r="E12" i="4"/>
  <c r="D13" i="4"/>
  <c r="A13" i="4"/>
  <c r="S3" i="4" l="1"/>
  <c r="S3" i="3"/>
  <c r="S3" i="2"/>
  <c r="A7" i="2"/>
  <c r="F11" i="4"/>
  <c r="F10" i="4"/>
  <c r="F9" i="4"/>
  <c r="E11" i="4"/>
  <c r="E10" i="4"/>
  <c r="E9" i="4"/>
  <c r="D10" i="4"/>
  <c r="A10" i="4"/>
  <c r="F8" i="4"/>
  <c r="F7" i="4"/>
  <c r="F6" i="4"/>
  <c r="E8" i="4"/>
  <c r="E7" i="4"/>
  <c r="E6" i="4"/>
  <c r="D7" i="4"/>
  <c r="A7" i="4"/>
  <c r="F5" i="4"/>
  <c r="F4" i="4"/>
  <c r="F3" i="4"/>
  <c r="E4" i="4"/>
  <c r="E3" i="4"/>
  <c r="D4" i="4"/>
  <c r="A4" i="4"/>
  <c r="O45" i="1" l="1"/>
  <c r="N45" i="1"/>
  <c r="M45" i="1"/>
  <c r="L45" i="1"/>
  <c r="M44" i="1"/>
  <c r="L44" i="1"/>
  <c r="M43" i="1"/>
  <c r="L43" i="1"/>
  <c r="M42" i="1"/>
  <c r="L42" i="1"/>
  <c r="M41" i="1"/>
  <c r="L41" i="1"/>
  <c r="M40" i="1"/>
  <c r="L40" i="1"/>
  <c r="M39" i="1"/>
  <c r="L39" i="1"/>
  <c r="M38" i="1"/>
  <c r="L38" i="1"/>
  <c r="M37" i="1"/>
  <c r="L37" i="1"/>
  <c r="M36" i="1"/>
  <c r="L36" i="1"/>
  <c r="F26" i="4"/>
  <c r="F25" i="4"/>
  <c r="F24" i="4"/>
  <c r="S20" i="4"/>
  <c r="L6" i="4"/>
  <c r="R5" i="4"/>
  <c r="P5" i="4"/>
  <c r="E5" i="4"/>
  <c r="B30" i="4" l="1"/>
  <c r="B32" i="4"/>
  <c r="B31" i="4"/>
  <c r="C31" i="4"/>
  <c r="C30" i="4"/>
  <c r="C32" i="4"/>
  <c r="M23" i="1"/>
  <c r="E8" i="3" l="1"/>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E4" i="3"/>
  <c r="E3" i="3"/>
  <c r="D31" i="3"/>
  <c r="D28" i="3"/>
  <c r="D25" i="3"/>
  <c r="D22" i="3"/>
  <c r="D19" i="3"/>
  <c r="D16" i="3"/>
  <c r="D13" i="3"/>
  <c r="D10" i="3"/>
  <c r="D7" i="3"/>
  <c r="D4" i="3"/>
  <c r="A31" i="3"/>
  <c r="A28" i="3"/>
  <c r="A25" i="3"/>
  <c r="A22" i="3"/>
  <c r="A19" i="3"/>
  <c r="A16" i="3"/>
  <c r="A13" i="3"/>
  <c r="A10" i="3"/>
  <c r="A7" i="3"/>
  <c r="A4" i="3"/>
  <c r="L19" i="1"/>
  <c r="M18" i="1"/>
  <c r="L18" i="1"/>
  <c r="L17" i="1"/>
  <c r="M16" i="1"/>
  <c r="L16" i="1"/>
  <c r="L15" i="1"/>
  <c r="M14" i="1"/>
  <c r="L14" i="1"/>
  <c r="L13" i="1"/>
  <c r="L12" i="1"/>
  <c r="L11" i="1"/>
  <c r="L6" i="3"/>
  <c r="R5" i="3"/>
  <c r="P5" i="3"/>
  <c r="M4" i="3"/>
  <c r="L6" i="2"/>
  <c r="S20"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2" i="1"/>
  <c r="M19" i="1" s="1"/>
  <c r="O43" i="1" l="1"/>
  <c r="O44" i="1"/>
  <c r="N43" i="1"/>
  <c r="N37" i="1"/>
  <c r="O41" i="1"/>
  <c r="N42" i="1"/>
  <c r="O38" i="1"/>
  <c r="O40" i="1"/>
  <c r="N38" i="1"/>
  <c r="O42" i="1"/>
  <c r="N40" i="1"/>
  <c r="N44" i="1"/>
  <c r="N41" i="1"/>
  <c r="N39" i="1"/>
  <c r="O37" i="1"/>
  <c r="N36" i="1"/>
  <c r="O39" i="1"/>
  <c r="O36" i="1"/>
  <c r="M25" i="1"/>
  <c r="M4" i="4"/>
  <c r="M12" i="1"/>
  <c r="M10" i="1"/>
  <c r="O10" i="1" s="1"/>
  <c r="C3" i="2" s="1"/>
  <c r="N26" i="1"/>
  <c r="B4" i="2"/>
  <c r="O14" i="1"/>
  <c r="C17" i="2" s="1"/>
  <c r="N13" i="1"/>
  <c r="B14" i="2" s="1"/>
  <c r="O18" i="1"/>
  <c r="C27" i="2" s="1"/>
  <c r="N23" i="1"/>
  <c r="N29" i="1"/>
  <c r="M32" i="1"/>
  <c r="M11" i="1"/>
  <c r="M13" i="1"/>
  <c r="O13" i="1" s="1"/>
  <c r="N17" i="1"/>
  <c r="B25" i="2" s="1"/>
  <c r="M29" i="1"/>
  <c r="B3" i="2"/>
  <c r="M15" i="1"/>
  <c r="O15" i="1" s="1"/>
  <c r="M17" i="1"/>
  <c r="O17" i="1" s="1"/>
  <c r="C26" i="2" s="1"/>
  <c r="M28" i="1"/>
  <c r="B5" i="2"/>
  <c r="N12" i="1"/>
  <c r="B11" i="2" s="1"/>
  <c r="N16" i="1"/>
  <c r="B22" i="2" s="1"/>
  <c r="N19" i="1"/>
  <c r="B31" i="2" s="1"/>
  <c r="N30" i="1"/>
  <c r="O32" i="1"/>
  <c r="N32" i="1"/>
  <c r="O19" i="1"/>
  <c r="C31" i="2" s="1"/>
  <c r="N11" i="1"/>
  <c r="B6" i="2" s="1"/>
  <c r="O12" i="1"/>
  <c r="N15" i="1"/>
  <c r="B19" i="2" s="1"/>
  <c r="O16" i="1"/>
  <c r="C23" i="2" s="1"/>
  <c r="N24" i="1"/>
  <c r="N27" i="1"/>
  <c r="O29" i="1"/>
  <c r="O11" i="1"/>
  <c r="N14" i="1"/>
  <c r="B17" i="2" s="1"/>
  <c r="N18" i="1"/>
  <c r="B27" i="2" s="1"/>
  <c r="N25" i="1"/>
  <c r="N28" i="1"/>
  <c r="N31" i="1"/>
  <c r="O28" i="1"/>
  <c r="O25" i="1"/>
  <c r="M24" i="1"/>
  <c r="O24" i="1" s="1"/>
  <c r="M4" i="2"/>
  <c r="M31" i="1"/>
  <c r="O31" i="1" s="1"/>
  <c r="M27" i="1"/>
  <c r="O27" i="1" s="1"/>
  <c r="O23" i="1"/>
  <c r="M30" i="1"/>
  <c r="O30" i="1" s="1"/>
  <c r="M26" i="1"/>
  <c r="O26" i="1" s="1"/>
  <c r="B13" i="4" l="1"/>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C25" i="2"/>
  <c r="B8" i="2"/>
  <c r="B12"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Ride date</t>
        </r>
      </text>
    </comment>
  </commentList>
</comments>
</file>

<file path=xl/sharedStrings.xml><?xml version="1.0" encoding="utf-8"?>
<sst xmlns="http://schemas.openxmlformats.org/spreadsheetml/2006/main" count="373" uniqueCount="109">
  <si>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</si>
  <si>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</si>
  <si>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</si>
  <si>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</si>
  <si>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</si>
  <si>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</si>
  <si>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</si>
  <si>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</si>
  <si>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</si>
  <si>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</si>
  <si>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</si>
  <si>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</si>
  <si>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</si>
  <si>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</si>
  <si>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</si>
  <si>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</si>
  <si>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</si>
  <si>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</si>
  <si>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</si>
  <si>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</si>
  <si>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</si>
  <si>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</si>
  <si>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</si>
  <si>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</si>
  <si>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</si>
  <si>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</si>
  <si>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</si>
  <si>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</si>
  <si>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</si>
  <si>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</si>
  <si>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</si>
  <si>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</si>
  <si>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</si>
  <si>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</si>
  <si>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</si>
  <si>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</si>
  <si>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</si>
  <si>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</si>
  <si>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</si>
  <si>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</si>
  <si>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</si>
  <si>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</si>
  <si>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</si>
  <si>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</si>
  <si>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</si>
  <si>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</si>
  <si>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</si>
  <si>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</si>
  <si>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</si>
  <si>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</si>
  <si>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</si>
  <si>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</si>
  <si>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</si>
  <si>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</si>
  <si>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</si>
  <si>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</si>
  <si>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</si>
  <si>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</si>
  <si>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</si>
  <si>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</si>
  <si>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</si>
  <si>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</si>
  <si>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</si>
  <si>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</si>
  <si>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</si>
  <si>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</si>
  <si>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</si>
  <si>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</si>
  <si>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</si>
  <si>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</si>
  <si>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</si>
  <si>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</si>
  <si>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</si>
  <si>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</si>
  <si>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Tim Hortons</t>
  </si>
  <si>
    <t xml:space="preserve">Control Card </t>
  </si>
  <si>
    <t>MILL BAY</t>
  </si>
  <si>
    <t>825 Deloume Rd</t>
  </si>
  <si>
    <t>Control Card Mill Bay</t>
  </si>
  <si>
    <t>COMOX</t>
  </si>
  <si>
    <t>394 Lerwick Ave</t>
  </si>
  <si>
    <t>Petrocan</t>
  </si>
  <si>
    <t>Control Card Cumberland</t>
  </si>
  <si>
    <t>CUMBERLAND</t>
  </si>
  <si>
    <t xml:space="preserve">Information </t>
  </si>
  <si>
    <t>4th@Dunsmuir</t>
  </si>
  <si>
    <t>NANAIMO</t>
  </si>
  <si>
    <t>Chevron Gas</t>
  </si>
  <si>
    <t>Woodgrove Centre</t>
  </si>
  <si>
    <t>PORT RENFREW</t>
  </si>
  <si>
    <t>The Renfrew Pub</t>
  </si>
  <si>
    <t>17310 Parkinson Rd</t>
  </si>
  <si>
    <t>Self sign outside hours</t>
  </si>
  <si>
    <t>DUNCAN</t>
  </si>
  <si>
    <t>3320 Cowichan Lake Rd</t>
  </si>
  <si>
    <t>CHASE RIVER</t>
  </si>
  <si>
    <t>Your choice</t>
  </si>
  <si>
    <t>BUCKLEY BAY</t>
  </si>
  <si>
    <t>Self sign</t>
  </si>
  <si>
    <t>6856 Island Hwy S</t>
  </si>
  <si>
    <t>East Coast Renfrew</t>
  </si>
  <si>
    <t>Information</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</si>
  <si>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</si>
  <si>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</si>
  <si>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</si>
  <si>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Note:  Control Card #1 will only show '#1' if a distance, not zero, is entered into the first distance box for Control Card #2.  Similarly for Control Card #3</t>
  </si>
  <si>
    <t>Tim Hortons or Petrocan or ?</t>
  </si>
  <si>
    <t>Station ???</t>
  </si>
  <si>
    <t>Ambulance Station above windows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</si>
</sst>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7">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0">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4"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5"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6" xfId="0" applyFont="1" applyBorder="1" applyProtection="1">
      <protection locked="0"/>
    </xf>
    <xf numFmtId="49" fontId="5" fillId="0" borderId="26"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4" fillId="0" borderId="7" xfId="0" applyFont="1" applyBorder="1" applyAlignment="1">
      <alignment horizontal="center" wrapText="1"/>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6" xfId="0" applyNumberFormat="1" applyFont="1" applyBorder="1" applyAlignment="1" applyProtection="1">
      <alignment horizontal="center"/>
      <protection locked="0"/>
    </xf>
    <xf numFmtId="49" fontId="30" fillId="0" borderId="23" xfId="0" applyNumberFormat="1" applyFont="1" applyBorder="1" applyAlignment="1" applyProtection="1">
      <alignment horizontal="center"/>
      <protection locked="0"/>
    </xf>
    <xf numFmtId="0" fontId="0" fillId="0" borderId="14" xfId="0" applyFont="1" applyBorder="1" applyProtection="1">
      <protection locked="0"/>
    </xf>
    <xf numFmtId="0" fontId="10" fillId="0" borderId="0" xfId="0" applyFont="1" applyAlignment="1">
      <alignment horizontal="center"/>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NumberFormat="1" applyFont="1" applyBorder="1" applyAlignment="1">
      <alignment horizontal="center" wrapText="1"/>
    </xf>
    <xf numFmtId="0" fontId="9" fillId="0" borderId="0" xfId="0" applyFont="1" applyAlignment="1"/>
    <xf numFmtId="0" fontId="5" fillId="0" borderId="0" xfId="0" applyFont="1"/>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9" fillId="0" borderId="0" xfId="0" applyFont="1" applyAlignment="1">
      <alignment horizontal="right"/>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schemas.openxmlformats.org/officeDocument/2006/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showGridLines="0" tabSelected="1" zoomScale="135" zoomScaleNormal="135" zoomScalePageLayoutView="135" workbookViewId="0">
      <selection activeCell="F19" sqref="F19"/>
    </sheetView>
  </sheetViews>
  <sheetFormatPr baseColWidth="10" defaultColWidth="8.83203125" defaultRowHeight="13" x14ac:dyDescent="0.15"/>
  <cols>
    <col min="1" max="1" width="16.5" style="2" customWidth="1"/>
    <col min="2" max="2" width="10.5" bestFit="1" customWidth="1"/>
    <col min="3" max="3" width="0" style="3" hidden="1" customWidth="1"/>
    <col min="4" max="4" width="8.33203125" customWidth="1"/>
    <col min="5" max="5" width="17" bestFit="1" customWidth="1"/>
    <col min="6" max="6" width="18" bestFit="1" customWidth="1"/>
    <col min="7" max="7" width="23.5" customWidth="1"/>
    <col min="8" max="8" width="25.1640625" bestFit="1" customWidth="1"/>
    <col min="9" max="11" width="31.1640625" customWidth="1"/>
    <col min="12" max="15" width="17.83203125" hidden="1" customWidth="1"/>
  </cols>
  <sheetData>
    <row r="1" spans="1:23" ht="18" x14ac:dyDescent="0.2">
      <c r="A1" s="13" t="s">
        <v>18</v>
      </c>
      <c r="B1" s="89">
        <v>600</v>
      </c>
      <c r="C1">
        <f>IF(Brevet_Length&gt;=1200,Brevet_Length,IF(Brevet_Length&gt;=1000,1000,IF(Brevet_Length&gt;=600,600,IF(Brevet_Length&gt;=400,400,IF(Brevet_Length&gt;=300,300,IF(Brevet_Length&gt;=200,200,100))))))</f>
        <v>600</v>
      </c>
      <c r="J1" s="122" t="s">
        <v>63</v>
      </c>
      <c r="K1" s="122"/>
      <c r="Q1" s="96" t="s">
        <v>64</v>
      </c>
      <c r="R1" s="96"/>
      <c r="S1" s="96"/>
      <c r="T1" s="96"/>
      <c r="U1" s="96"/>
      <c r="V1" s="96"/>
      <c r="W1" s="96"/>
    </row>
    <row r="2" spans="1:23" ht="14" thickBot="1" x14ac:dyDescent="0.2">
      <c r="A2" s="14" t="s">
        <v>19</v>
      </c>
      <c r="B2" s="15">
        <f>IF(brevet=1200,90,IF(brevet=1000,75,IF(brevet=600,40,IF(brevet=400,27,IF(brevet=300,20,IF(brevet=200,13.5,IF(brevet=100,7,0)))))))</f>
        <v>40</v>
      </c>
      <c r="Q2" t="s">
        <v>65</v>
      </c>
    </row>
    <row r="3" spans="1:23" ht="19" thickBot="1" x14ac:dyDescent="0.25">
      <c r="A3" s="14" t="s">
        <v>20</v>
      </c>
      <c r="B3" s="90" t="s">
        <v>100</v>
      </c>
      <c r="C3" s="91"/>
      <c r="D3" s="91"/>
      <c r="E3" s="91"/>
      <c r="F3" s="91"/>
      <c r="G3" s="91"/>
      <c r="H3" s="92"/>
      <c r="I3" s="35"/>
      <c r="J3" s="35"/>
      <c r="K3" s="35"/>
      <c r="O3" s="36"/>
      <c r="P3" s="36"/>
      <c r="Q3" s="96" t="s">
        <v>66</v>
      </c>
    </row>
    <row r="4" spans="1:23" ht="18" x14ac:dyDescent="0.2">
      <c r="A4" s="14" t="s">
        <v>21</v>
      </c>
      <c r="B4" s="93">
        <v>5157</v>
      </c>
      <c r="C4" s="32"/>
      <c r="F4" s="33"/>
      <c r="G4" s="33"/>
      <c r="H4" s="33"/>
      <c r="I4" s="33"/>
      <c r="J4" s="33"/>
      <c r="K4" s="33"/>
      <c r="Q4" s="96" t="s">
        <v>67</v>
      </c>
    </row>
    <row r="5" spans="1:23" ht="18" x14ac:dyDescent="0.2">
      <c r="A5" s="60" t="s">
        <v>48</v>
      </c>
      <c r="B5" s="94">
        <v>44702</v>
      </c>
      <c r="Q5" s="96" t="s">
        <v>68</v>
      </c>
    </row>
    <row r="6" spans="1:23" ht="6" customHeight="1" x14ac:dyDescent="0.15"/>
    <row r="7" spans="1:23" ht="19" thickBot="1" x14ac:dyDescent="0.25">
      <c r="A7" s="56" t="s">
        <v>22</v>
      </c>
      <c r="B7" s="94">
        <v>44702</v>
      </c>
      <c r="Q7" s="96" t="s">
        <v>104</v>
      </c>
    </row>
    <row r="8" spans="1:23" ht="19" thickBot="1" x14ac:dyDescent="0.25">
      <c r="A8" s="12" t="s">
        <v>23</v>
      </c>
      <c r="B8" s="95">
        <v>0.25</v>
      </c>
      <c r="D8" s="118" t="s">
        <v>78</v>
      </c>
      <c r="E8" s="119"/>
      <c r="F8" s="119"/>
      <c r="G8" s="119"/>
      <c r="H8" s="119"/>
      <c r="I8" s="120" t="s">
        <v>72</v>
      </c>
      <c r="J8" s="119"/>
      <c r="K8" s="121"/>
      <c r="Q8" s="96" t="s">
        <v>103</v>
      </c>
    </row>
    <row r="9" spans="1:23" ht="14" thickBot="1" x14ac:dyDescent="0.2">
      <c r="D9" s="6" t="s">
        <v>24</v>
      </c>
      <c r="E9" s="7" t="s">
        <v>25</v>
      </c>
      <c r="F9" s="83" t="s">
        <v>26</v>
      </c>
      <c r="G9" s="83" t="s">
        <v>27</v>
      </c>
      <c r="H9" s="84" t="s">
        <v>28</v>
      </c>
      <c r="I9" s="7" t="s">
        <v>60</v>
      </c>
      <c r="J9" s="7" t="s">
        <v>61</v>
      </c>
      <c r="K9" s="8" t="s">
        <v>62</v>
      </c>
      <c r="L9" t="s">
        <v>3</v>
      </c>
      <c r="M9" t="s">
        <v>4</v>
      </c>
      <c r="N9" t="s">
        <v>5</v>
      </c>
      <c r="O9" t="s">
        <v>6</v>
      </c>
      <c r="Q9" s="96" t="s">
        <v>69</v>
      </c>
    </row>
    <row r="10" spans="1:23" ht="17" customHeight="1" x14ac:dyDescent="0.2">
      <c r="C10" s="3" t="s">
        <v>7</v>
      </c>
      <c r="D10" s="34">
        <v>0</v>
      </c>
      <c r="E10" s="98" t="s">
        <v>86</v>
      </c>
      <c r="F10" s="99" t="s">
        <v>87</v>
      </c>
      <c r="G10" s="99" t="s">
        <v>88</v>
      </c>
      <c r="H10" s="100"/>
      <c r="I10" s="105"/>
      <c r="J10" s="105"/>
      <c r="K10" s="106"/>
      <c r="L10" s="4">
        <f>Start_date+Start_time</f>
        <v>44702.25</v>
      </c>
      <c r="M10" s="4">
        <f>L10+"1:00"</f>
        <v>44702.291666666664</v>
      </c>
      <c r="N10" s="5">
        <f>IF(ISBLANK(Distance),"",Open Control_1)</f>
        <v>44702.25</v>
      </c>
      <c r="O10" s="5">
        <f>IF(ISBLANK(Distance),"",Close Control_1)</f>
        <v>44702.291666666664</v>
      </c>
      <c r="Q10" s="96" t="s">
        <v>70</v>
      </c>
    </row>
    <row r="11" spans="1:23" ht="17" customHeight="1" x14ac:dyDescent="0.2">
      <c r="B11" s="112"/>
      <c r="C11" s="3" t="s">
        <v>8</v>
      </c>
      <c r="D11" s="34">
        <v>91.8</v>
      </c>
      <c r="E11" s="98" t="s">
        <v>76</v>
      </c>
      <c r="F11" s="99" t="s">
        <v>74</v>
      </c>
      <c r="G11" s="99" t="s">
        <v>77</v>
      </c>
      <c r="H11" s="100"/>
      <c r="I11" s="105"/>
      <c r="J11" s="105"/>
      <c r="K11" s="106"/>
      <c r="L11">
        <f>IF(ISBLANK(Distance),"",IF(Distance&gt;1000,(Distance-1000)/26+33.0847,(IF(Distance&gt;600,(Distance-600)/28+18.799,(IF(Distance&gt;400,(Distance-400)/30+12.1324,(IF(Distance&gt;200,(Distance-200)/32+5.8824,Distance/34))))))))</f>
        <v>2.6999999999999997</v>
      </c>
      <c r="M11">
        <f>IF(ISBLANK(Distance),"",IF(Distance&gt;=brevet,IF(brevet&gt;1200,(brevet-1200)*75/1000+90,Max_time),IF(Distance&gt;1200,(Distance-1200)*75/1000+90,IF(Distance&gt;1000,(Distance-1000)/(1000/75)+75,IF(Distance&gt;600,(Distance-600)/(400/35)+40,Distance/15)))))</f>
        <v>6.12</v>
      </c>
      <c r="N11" s="5">
        <f>IF(ISBLANK(Distance),"",Open_time Control_1+(INT(Open)&amp;":"&amp;IF(ROUND(((Open-INT(Open))*60),0)&lt;10,0,"")&amp;ROUND(((Open-INT(Open))*60),0)))</f>
        <v>44702.362500000003</v>
      </c>
      <c r="O11" s="5">
        <f>IF(ISBLANK(Distance),"",Open_time Control_1+(INT(Close)&amp;":"&amp;IF(ROUND(((Close-INT(Close))*60),0)&lt;10,0,"")&amp;ROUND(((Close-INT(Close))*60),0)))</f>
        <v>44702.504861111112</v>
      </c>
      <c r="Q11" s="96" t="s">
        <v>71</v>
      </c>
    </row>
    <row r="12" spans="1:23" ht="17" customHeight="1" x14ac:dyDescent="0.2">
      <c r="B12" s="112"/>
      <c r="C12" s="3" t="s">
        <v>9</v>
      </c>
      <c r="D12" s="34">
        <v>212.8</v>
      </c>
      <c r="E12" s="98" t="s">
        <v>89</v>
      </c>
      <c r="F12" s="99" t="s">
        <v>90</v>
      </c>
      <c r="G12" s="99" t="s">
        <v>91</v>
      </c>
      <c r="H12" s="100"/>
      <c r="I12" s="105"/>
      <c r="J12" s="105"/>
      <c r="K12" s="106"/>
      <c r="L12">
        <f>IF(ISBLANK(Distance),"",IF(Distance&gt;1000,(Distance-1000)/26+33.0847,(IF(Distance&gt;600,(Distance-600)/28+18.799,(IF(Distance&gt;400,(Distance-400)/30+12.1324,(IF(Distance&gt;200,(Distance-200)/32+5.8824,Distance/34))))))))</f>
        <v>6.2824</v>
      </c>
      <c r="M12">
        <f t="shared" ref="M12:M19" si="0">IF(ISBLANK(Distance),"",IF(Distance&gt;=brevet,IF(brevet&gt;1200,(brevet-1200)*75/1000+90,Max_time),IF(Distance&gt;1200,(Distance-1200)*75/1000+90,IF(Distance&gt;1000,(Distance-1000)/(1000/75)+75,IF(Distance&gt;600,(Distance-600)/(400/35)+40,Distance/15)))))</f>
        <v>14.186666666666667</v>
      </c>
      <c r="N12" s="5">
        <f>IF(ISBLANK(Distance),"",Open_time Control_1+(INT(Open)&amp;":"&amp;IF(ROUND(((Open-INT(Open))*60),0)&lt;10,0,"")&amp;ROUND(((Open-INT(Open))*60),0)))</f>
        <v>44702.511805555558</v>
      </c>
      <c r="O12" s="5">
        <f>IF(ISBLANK(Distance),"",Open_time Control_1+(INT(Close)&amp;":"&amp;IF(ROUND(((Close-INT(Close))*60),0)&lt;10,0,"")&amp;ROUND(((Close-INT(Close))*60),0)))</f>
        <v>44702.84097222222</v>
      </c>
    </row>
    <row r="13" spans="1:23" ht="17" customHeight="1" x14ac:dyDescent="0.2">
      <c r="B13" s="112"/>
      <c r="C13" s="3" t="s">
        <v>10</v>
      </c>
      <c r="D13" s="34">
        <v>301.39999999999998</v>
      </c>
      <c r="E13" s="98" t="s">
        <v>93</v>
      </c>
      <c r="F13" s="99" t="s">
        <v>74</v>
      </c>
      <c r="G13" s="99" t="s">
        <v>94</v>
      </c>
      <c r="H13" s="100" t="s">
        <v>92</v>
      </c>
      <c r="I13" s="105"/>
      <c r="J13" s="105"/>
      <c r="K13" s="106"/>
      <c r="L13">
        <f t="shared" ref="L13:L19" si="1">IF(ISBLANK(Distance),"",IF(Distance&gt;1000,(Distance-1000)/26+33.0847,(IF(Distance&gt;600,(Distance-600)/28+18.799,(IF(Distance&gt;400,(Distance-400)/30+12.1324,(IF(Distance&gt;200,(Distance-200)/32+5.8824,Distance/34))))))))</f>
        <v>9.0511499999999998</v>
      </c>
      <c r="M13">
        <f t="shared" si="0"/>
        <v>20.09333333333333</v>
      </c>
      <c r="N13" s="5">
        <f>IF(ISBLANK(Distance),"",Open_time Control_1+(INT(Open)&amp;":"&amp;IF(ROUND(((Open-INT(Open))*60),0)&lt;10,0,"")&amp;ROUND(((Open-INT(Open))*60),0)))</f>
        <v>44702.627083333333</v>
      </c>
      <c r="O13" s="5">
        <f>IF(ISBLANK(Distance),"",Open_time Control_1+(INT(Close)&amp;":"&amp;IF(ROUND(((Close-INT(Close))*60),0)&lt;10,0,"")&amp;ROUND(((Close-INT(Close))*60),0)))</f>
        <v>44703.087500000001</v>
      </c>
    </row>
    <row r="14" spans="1:23" ht="17" customHeight="1" x14ac:dyDescent="0.2">
      <c r="B14" s="112"/>
      <c r="C14" s="3" t="s">
        <v>11</v>
      </c>
      <c r="D14" s="34">
        <v>353.3</v>
      </c>
      <c r="E14" s="98" t="s">
        <v>95</v>
      </c>
      <c r="F14" s="99" t="s">
        <v>96</v>
      </c>
      <c r="G14" s="99" t="s">
        <v>106</v>
      </c>
      <c r="H14" s="100"/>
      <c r="I14" s="105"/>
      <c r="J14" s="105"/>
      <c r="K14" s="107"/>
      <c r="L14">
        <f t="shared" si="1"/>
        <v>10.673024999999999</v>
      </c>
      <c r="M14">
        <f t="shared" si="0"/>
        <v>23.553333333333335</v>
      </c>
      <c r="N14" s="5">
        <f>IF(ISBLANK(Distance),"",Open_time Control_1+(INT(Open)&amp;":"&amp;IF(ROUND(((Open-INT(Open))*60),0)&lt;10,0,"")&amp;ROUND(((Open-INT(Open))*60),0)))</f>
        <v>44702.694444444445</v>
      </c>
      <c r="O14" s="5">
        <f>IF(ISBLANK(Distance),"",Open_time Control_1+(INT(Close)&amp;":"&amp;IF(ROUND(((Close-INT(Close))*60),0)&lt;10,0,"")&amp;ROUND(((Close-INT(Close))*60),0)))</f>
        <v>44703.231249999997</v>
      </c>
      <c r="Q14" s="117" t="s">
        <v>105</v>
      </c>
    </row>
    <row r="15" spans="1:23" ht="17" customHeight="1" x14ac:dyDescent="0.2">
      <c r="B15" s="112"/>
      <c r="C15" s="3" t="s">
        <v>12</v>
      </c>
      <c r="D15" s="34">
        <v>450</v>
      </c>
      <c r="E15" s="98" t="s">
        <v>97</v>
      </c>
      <c r="F15" s="99" t="s">
        <v>81</v>
      </c>
      <c r="G15" s="99" t="s">
        <v>99</v>
      </c>
      <c r="H15" s="100" t="s">
        <v>92</v>
      </c>
      <c r="I15" s="105"/>
      <c r="J15" s="105"/>
      <c r="K15" s="106"/>
      <c r="L15">
        <f t="shared" si="1"/>
        <v>13.799066666666667</v>
      </c>
      <c r="M15">
        <f t="shared" si="0"/>
        <v>30</v>
      </c>
      <c r="N15" s="5">
        <f>IF(ISBLANK(Distance),"",Open_time Control_1+(INT(Open)&amp;":"&amp;IF(ROUND(((Open-INT(Open))*60),0)&lt;10,0,"")&amp;ROUND(((Open-INT(Open))*60),0)))</f>
        <v>44702.824999999997</v>
      </c>
      <c r="O15" s="5">
        <f>IF(ISBLANK(Distance),"",Open_time Control_1+(INT(Close)&amp;":"&amp;IF(ROUND(((Close-INT(Close))*60),0)&lt;10,0,"")&amp;ROUND(((Close-INT(Close))*60),0)))</f>
        <v>44703.5</v>
      </c>
    </row>
    <row r="16" spans="1:23" ht="17" customHeight="1" x14ac:dyDescent="0.2">
      <c r="B16" s="112"/>
      <c r="C16" s="3" t="s">
        <v>13</v>
      </c>
      <c r="D16" s="34">
        <v>484.3</v>
      </c>
      <c r="E16" s="98" t="s">
        <v>79</v>
      </c>
      <c r="F16" s="99" t="s">
        <v>74</v>
      </c>
      <c r="G16" s="99" t="s">
        <v>80</v>
      </c>
      <c r="H16" s="100"/>
      <c r="I16" s="105"/>
      <c r="J16" s="105"/>
      <c r="K16" s="106"/>
      <c r="L16">
        <f t="shared" si="1"/>
        <v>14.942400000000001</v>
      </c>
      <c r="M16">
        <f t="shared" si="0"/>
        <v>32.286666666666669</v>
      </c>
      <c r="N16" s="5">
        <f>IF(ISBLANK(Distance),"",Open_time Control_1+(INT(Open)&amp;":"&amp;IF(ROUND(((Open-INT(Open))*60),0)&lt;10,0,"")&amp;ROUND(((Open-INT(Open))*60),0)))</f>
        <v>44702.872916666667</v>
      </c>
      <c r="O16" s="5">
        <f>IF(ISBLANK(Distance),"",Open_time Control_1+(INT(Close)&amp;":"&amp;IF(ROUND(((Close-INT(Close))*60),0)&lt;10,0,"")&amp;ROUND(((Close-INT(Close))*60),0)))</f>
        <v>44703.595138888886</v>
      </c>
    </row>
    <row r="17" spans="2:15" ht="17" customHeight="1" x14ac:dyDescent="0.2">
      <c r="B17" s="112"/>
      <c r="C17" s="3" t="s">
        <v>14</v>
      </c>
      <c r="D17" s="34">
        <v>502.8</v>
      </c>
      <c r="E17" s="98" t="s">
        <v>83</v>
      </c>
      <c r="F17" s="99" t="s">
        <v>101</v>
      </c>
      <c r="G17" s="99" t="s">
        <v>85</v>
      </c>
      <c r="H17" s="99" t="s">
        <v>108</v>
      </c>
      <c r="I17" s="105" t="s">
        <v>107</v>
      </c>
      <c r="J17" s="105"/>
      <c r="K17" s="106"/>
      <c r="L17">
        <f t="shared" si="1"/>
        <v>15.559066666666668</v>
      </c>
      <c r="M17">
        <f t="shared" si="0"/>
        <v>33.520000000000003</v>
      </c>
      <c r="N17" s="5">
        <f>IF(ISBLANK(Distance),"",Open_time Control_1+(INT(Open)&amp;":"&amp;IF(ROUND(((Open-INT(Open))*60),0)&lt;10,0,"")&amp;ROUND(((Open-INT(Open))*60),0)))</f>
        <v>44702.898611111108</v>
      </c>
      <c r="O17" s="5">
        <f>IF(ISBLANK(Distance),"",Open_time Control_1+(INT(Close)&amp;":"&amp;IF(ROUND(((Close-INT(Close))*60),0)&lt;10,0,"")&amp;ROUND(((Close-INT(Close))*60),0)))</f>
        <v>44703.646527777775</v>
      </c>
    </row>
    <row r="18" spans="2:15" ht="17" customHeight="1" x14ac:dyDescent="0.2">
      <c r="B18" s="112"/>
      <c r="C18" s="3" t="s">
        <v>15</v>
      </c>
      <c r="D18" s="34">
        <v>601.70000000000005</v>
      </c>
      <c r="E18" s="98" t="s">
        <v>86</v>
      </c>
      <c r="F18" s="99" t="s">
        <v>87</v>
      </c>
      <c r="G18" s="99" t="s">
        <v>88</v>
      </c>
      <c r="H18" s="100"/>
      <c r="I18" s="105"/>
      <c r="J18" s="105"/>
      <c r="K18" s="107"/>
      <c r="L18">
        <f t="shared" si="1"/>
        <v>18.859714285714286</v>
      </c>
      <c r="M18">
        <f t="shared" si="0"/>
        <v>40</v>
      </c>
      <c r="N18" s="5">
        <f>IF(ISBLANK(Distance),"",Open_time Control_1+(INT(Open)&amp;":"&amp;IF(ROUND(((Open-INT(Open))*60),0)&lt;10,0,"")&amp;ROUND(((Open-INT(Open))*60),0)))</f>
        <v>44703.036111111112</v>
      </c>
      <c r="O18" s="5">
        <f>IF(ISBLANK(Distance),"",Open_time Control_1+(INT(Close)&amp;":"&amp;IF(ROUND(((Close-INT(Close))*60),0)&lt;10,0,"")&amp;ROUND(((Close-INT(Close))*60),0)))</f>
        <v>44703.916666666664</v>
      </c>
    </row>
    <row r="19" spans="2:15" ht="17" customHeight="1" thickBot="1" x14ac:dyDescent="0.25">
      <c r="B19" s="112"/>
      <c r="C19" s="3" t="s">
        <v>16</v>
      </c>
      <c r="D19" s="64"/>
      <c r="E19" s="101"/>
      <c r="F19" s="102"/>
      <c r="G19" s="102"/>
      <c r="H19" s="103"/>
      <c r="I19" s="108"/>
      <c r="J19" s="108"/>
      <c r="K19" s="109"/>
      <c r="L19" t="str">
        <f t="shared" si="1"/>
        <v/>
      </c>
      <c r="M19" t="str">
        <f t="shared" si="0"/>
        <v/>
      </c>
      <c r="N19" s="5" t="str">
        <f>IF(ISBLANK(Distance),"",Open_time Control_1+(INT(Open)&amp;":"&amp;IF(ROUND(((Open-INT(Open))*60),0)&lt;10,0,"")&amp;ROUND(((Open-INT(Open))*60),0)))</f>
        <v/>
      </c>
      <c r="O19" s="5" t="str">
        <f>IF(ISBLANK(Distance),"",Open_time Control_1+(INT(Close)&amp;":"&amp;IF(ROUND(((Close-INT(Close))*60),0)&lt;10,0,"")&amp;ROUND(((Close-INT(Close))*60),0)))</f>
        <v/>
      </c>
    </row>
    <row r="20" spans="2:15" ht="7" customHeight="1" thickBot="1" x14ac:dyDescent="0.25">
      <c r="D20" s="85"/>
      <c r="E20" s="86"/>
      <c r="F20" s="87"/>
      <c r="G20" s="87"/>
      <c r="H20" s="87"/>
      <c r="I20" s="87"/>
      <c r="J20" s="87"/>
      <c r="K20" s="88"/>
      <c r="N20" s="5"/>
      <c r="O20" s="5"/>
    </row>
    <row r="21" spans="2:15" ht="14" thickBot="1" x14ac:dyDescent="0.2">
      <c r="D21" s="118" t="s">
        <v>78</v>
      </c>
      <c r="E21" s="119"/>
      <c r="F21" s="119"/>
      <c r="G21" s="119"/>
      <c r="H21" s="119"/>
      <c r="I21" s="120" t="s">
        <v>73</v>
      </c>
      <c r="J21" s="119"/>
      <c r="K21" s="121"/>
    </row>
    <row r="22" spans="2:15" ht="14" thickBot="1" x14ac:dyDescent="0.2">
      <c r="D22" s="6" t="s">
        <v>24</v>
      </c>
      <c r="E22" s="7" t="s">
        <v>25</v>
      </c>
      <c r="F22" s="83" t="s">
        <v>26</v>
      </c>
      <c r="G22" s="83" t="s">
        <v>27</v>
      </c>
      <c r="H22" s="84" t="s">
        <v>28</v>
      </c>
      <c r="I22" s="7" t="s">
        <v>60</v>
      </c>
      <c r="J22" s="7" t="s">
        <v>61</v>
      </c>
      <c r="K22" s="8" t="s">
        <v>62</v>
      </c>
      <c r="L22" t="s">
        <v>3</v>
      </c>
      <c r="M22" t="s">
        <v>4</v>
      </c>
      <c r="N22" t="s">
        <v>5</v>
      </c>
      <c r="O22" t="s">
        <v>6</v>
      </c>
    </row>
    <row r="23" spans="2:15" ht="16" x14ac:dyDescent="0.2">
      <c r="D23" s="34">
        <v>0</v>
      </c>
      <c r="E23" s="98" t="s">
        <v>76</v>
      </c>
      <c r="F23" s="99" t="s">
        <v>74</v>
      </c>
      <c r="G23" s="99" t="s">
        <v>77</v>
      </c>
      <c r="H23" s="100"/>
      <c r="I23" s="105"/>
      <c r="J23" s="105"/>
      <c r="K23" s="106"/>
      <c r="L23">
        <f>IF(ISBLANK(D23),"",IF(D23&gt;1000,(D23-1000)/26+33.0847,(IF(D23&gt;600,(D23-600)/28+18.799,(IF(D23&gt;400,(D23-400)/30+12.1324,(IF(D23&gt;200,(D23-200)/32+5.8824,D23/34))))))))</f>
        <v>0</v>
      </c>
      <c r="M23">
        <f>IF(ISBLANK(D23),"",IF((D23=0),1,IF(D23&gt;=brevet,IF(brevet&gt;1200,(brevet-1200)*75/1000+90,Max_time),IF(D23&gt;1200,(D23-1200)*75/1000+90,IF(D23&gt;1000,(D23-1000)/(1000/75)+75,IF(D23&gt;600,(D23-600)/(400/35)+40,D23/15))))))</f>
        <v>1</v>
      </c>
      <c r="N23" s="5">
        <f>IF(ISBLANK(D23),"",Open_time Control_1+(INT(L23)&amp;":"&amp;IF(ROUND(((L23-INT(L23))*60),0)&lt;10,0,"")&amp;ROUND(((L23-INT(L23))*60),0)))</f>
        <v>44702.25</v>
      </c>
      <c r="O23" s="5">
        <f>IF(ISBLANK(D23),"",Open_time Control_1+(INT(M23)&amp;":"&amp;IF(ROUND(((M23-INT(M23))*60),0)&lt;10,0,"")&amp;ROUND(((M23-INT(M23))*60),0)))</f>
        <v>44702.291666666664</v>
      </c>
    </row>
    <row r="24" spans="2:15" ht="17" customHeight="1" x14ac:dyDescent="0.2">
      <c r="D24" s="34">
        <v>121</v>
      </c>
      <c r="E24" s="98" t="s">
        <v>89</v>
      </c>
      <c r="F24" s="99" t="s">
        <v>90</v>
      </c>
      <c r="G24" s="99" t="s">
        <v>91</v>
      </c>
      <c r="H24" s="100" t="s">
        <v>92</v>
      </c>
      <c r="I24" s="105"/>
      <c r="J24" s="105"/>
      <c r="K24" s="107"/>
      <c r="L24">
        <f t="shared" ref="L24:L32" si="2">IF(ISBLANK(D24),"",IF(D24&gt;1000,(D24-1000)/26+33.0847,(IF(D24&gt;600,(D24-600)/28+18.799,(IF(D24&gt;400,(D24-400)/30+12.1324,(IF(D24&gt;200,(D24-200)/32+5.8824,D24/34))))))))</f>
        <v>3.5588235294117645</v>
      </c>
      <c r="M24">
        <f t="shared" ref="M24:M32" si="3">IF(ISBLANK(D24),"",IF(D24&gt;=brevet,IF(brevet&gt;1200,(brevet-1200)*75/1000+90,Max_time),IF(D24&gt;1200,(D24-1200)*75/1000+90,IF(D24&gt;1000,(D24-1000)/(1000/75)+75,IF(D24&gt;600,(D24-600)/(400/35)+40,D24/15)))))</f>
        <v>8.0666666666666664</v>
      </c>
      <c r="N24" s="5">
        <f>IF(ISBLANK(D24),"",Open_time Control_1+(INT(L24)&amp;":"&amp;IF(ROUND(((L24-INT(L24))*60),0)&lt;10,0,"")&amp;ROUND(((L24-INT(L24))*60),0)))</f>
        <v>44702.398611111108</v>
      </c>
      <c r="O24" s="5">
        <f>IF(ISBLANK(D24),"",Open_time Control_1+(INT(M24)&amp;":"&amp;IF(ROUND(((M24-INT(M24))*60),0)&lt;10,0,"")&amp;ROUND(((M24-INT(M24))*60),0)))</f>
        <v>44702.586111111108</v>
      </c>
    </row>
    <row r="25" spans="2:15" ht="17" customHeight="1" x14ac:dyDescent="0.2">
      <c r="D25" s="34">
        <v>209.6</v>
      </c>
      <c r="E25" s="98" t="s">
        <v>93</v>
      </c>
      <c r="F25" s="99" t="s">
        <v>74</v>
      </c>
      <c r="G25" s="99" t="s">
        <v>94</v>
      </c>
      <c r="H25" s="100"/>
      <c r="I25" s="105"/>
      <c r="J25" s="105"/>
      <c r="K25" s="107"/>
      <c r="L25">
        <f t="shared" si="2"/>
        <v>6.1823999999999995</v>
      </c>
      <c r="M25">
        <f t="shared" si="3"/>
        <v>13.973333333333333</v>
      </c>
      <c r="N25" s="5">
        <f>IF(ISBLANK(D25),"",Open_time Control_1+(INT(L25)&amp;":"&amp;IF(ROUND(((L25-INT(L25))*60),0)&lt;10,0,"")&amp;ROUND(((L25-INT(L25))*60),0)))</f>
        <v>44702.507638888892</v>
      </c>
      <c r="O25" s="5">
        <f>IF(ISBLANK(D25),"",Open_time Control_1+(INT(M25)&amp;":"&amp;IF(ROUND(((M25-INT(M25))*60),0)&lt;10,0,"")&amp;ROUND(((M25-INT(M25))*60),0)))</f>
        <v>44702.831944444442</v>
      </c>
    </row>
    <row r="26" spans="2:15" ht="17" customHeight="1" x14ac:dyDescent="0.2">
      <c r="D26" s="34">
        <v>261.5</v>
      </c>
      <c r="E26" s="98" t="s">
        <v>95</v>
      </c>
      <c r="F26" s="99" t="s">
        <v>96</v>
      </c>
      <c r="G26" s="99" t="s">
        <v>106</v>
      </c>
      <c r="H26" s="100"/>
      <c r="I26" s="105"/>
      <c r="J26" s="105"/>
      <c r="K26" s="106"/>
      <c r="L26">
        <f t="shared" si="2"/>
        <v>7.8042749999999996</v>
      </c>
      <c r="M26">
        <f t="shared" si="3"/>
        <v>17.433333333333334</v>
      </c>
      <c r="N26" s="5">
        <f>IF(ISBLANK(D26),"",Open_time Control_1+(INT(L26)&amp;":"&amp;IF(ROUND(((L26-INT(L26))*60),0)&lt;10,0,"")&amp;ROUND(((L26-INT(L26))*60),0)))</f>
        <v>44702.574999999997</v>
      </c>
      <c r="O26" s="5">
        <f>IF(ISBLANK(D26),"",Open_time Control_1+(INT(M26)&amp;":"&amp;IF(ROUND(((M26-INT(M26))*60),0)&lt;10,0,"")&amp;ROUND(((M26-INT(M26))*60),0)))</f>
        <v>44702.976388888892</v>
      </c>
    </row>
    <row r="27" spans="2:15" ht="17" customHeight="1" x14ac:dyDescent="0.2">
      <c r="D27" s="34">
        <v>358.2</v>
      </c>
      <c r="E27" s="98" t="s">
        <v>97</v>
      </c>
      <c r="F27" s="99" t="s">
        <v>81</v>
      </c>
      <c r="G27" s="99" t="s">
        <v>99</v>
      </c>
      <c r="H27" s="100" t="s">
        <v>92</v>
      </c>
      <c r="I27" s="105"/>
      <c r="J27" s="105"/>
      <c r="K27" s="106"/>
      <c r="L27">
        <f t="shared" si="2"/>
        <v>10.826149999999998</v>
      </c>
      <c r="M27">
        <f t="shared" si="3"/>
        <v>23.88</v>
      </c>
      <c r="N27" s="5">
        <f>IF(ISBLANK(D27),"",Open_time Control_1+(INT(L27)&amp;":"&amp;IF(ROUND(((L27-INT(L27))*60),0)&lt;10,0,"")&amp;ROUND(((L27-INT(L27))*60),0)))</f>
        <v>44702.701388888891</v>
      </c>
      <c r="O27" s="5">
        <f>IF(ISBLANK(D27),"",Open_time Control_1+(INT(M27)&amp;":"&amp;IF(ROUND(((M27-INT(M27))*60),0)&lt;10,0,"")&amp;ROUND(((M27-INT(M27))*60),0)))</f>
        <v>44703.245138888888</v>
      </c>
    </row>
    <row r="28" spans="2:15" ht="17" customHeight="1" x14ac:dyDescent="0.2">
      <c r="D28" s="34">
        <v>392.5</v>
      </c>
      <c r="E28" s="98" t="s">
        <v>79</v>
      </c>
      <c r="F28" s="99" t="s">
        <v>74</v>
      </c>
      <c r="G28" s="99" t="s">
        <v>80</v>
      </c>
      <c r="H28" s="100"/>
      <c r="I28" s="105"/>
      <c r="J28" s="105"/>
      <c r="K28" s="106"/>
      <c r="L28">
        <f t="shared" si="2"/>
        <v>11.898025000000001</v>
      </c>
      <c r="M28">
        <f t="shared" si="3"/>
        <v>26.166666666666668</v>
      </c>
      <c r="N28" s="5">
        <f>IF(ISBLANK(D28),"",Open_time Control_1+(INT(L28)&amp;":"&amp;IF(ROUND(((L28-INT(L28))*60),0)&lt;10,0,"")&amp;ROUND(((L28-INT(L28))*60),0)))</f>
        <v>44702.745833333334</v>
      </c>
      <c r="O28" s="5">
        <f>IF(ISBLANK(D28),"",Open_time Control_1+(INT(M28)&amp;":"&amp;IF(ROUND(((M28-INT(M28))*60),0)&lt;10,0,"")&amp;ROUND(((M28-INT(M28))*60),0)))</f>
        <v>44703.340277777781</v>
      </c>
    </row>
    <row r="29" spans="2:15" ht="17" customHeight="1" x14ac:dyDescent="0.2">
      <c r="D29" s="34">
        <v>411</v>
      </c>
      <c r="E29" s="98" t="s">
        <v>83</v>
      </c>
      <c r="F29" s="99" t="s">
        <v>101</v>
      </c>
      <c r="G29" s="99" t="s">
        <v>85</v>
      </c>
      <c r="H29" s="99" t="s">
        <v>108</v>
      </c>
      <c r="I29" s="105" t="s">
        <v>107</v>
      </c>
      <c r="J29" s="105"/>
      <c r="K29" s="107"/>
      <c r="L29">
        <f t="shared" si="2"/>
        <v>12.499066666666668</v>
      </c>
      <c r="M29">
        <f t="shared" si="3"/>
        <v>27.4</v>
      </c>
      <c r="N29" s="5">
        <f>IF(ISBLANK(D29),"",Open_time Control_1+(INT(L29)&amp;":"&amp;IF(ROUND(((L29-INT(L29))*60),0)&lt;10,0,"")&amp;ROUND(((L29-INT(L29))*60),0)))</f>
        <v>44702.770833333336</v>
      </c>
      <c r="O29" s="5">
        <f>IF(ISBLANK(D29),"",Open_time Control_1+(INT(M29)&amp;":"&amp;IF(ROUND(((M29-INT(M29))*60),0)&lt;10,0,"")&amp;ROUND(((M29-INT(M29))*60),0)))</f>
        <v>44703.39166666667</v>
      </c>
    </row>
    <row r="30" spans="2:15" ht="17" customHeight="1" x14ac:dyDescent="0.2">
      <c r="D30" s="34">
        <v>509.9</v>
      </c>
      <c r="E30" s="98" t="s">
        <v>86</v>
      </c>
      <c r="F30" s="99" t="s">
        <v>87</v>
      </c>
      <c r="G30" s="99" t="s">
        <v>88</v>
      </c>
      <c r="H30" s="100"/>
      <c r="I30" s="105"/>
      <c r="J30" s="105"/>
      <c r="K30" s="106"/>
      <c r="L30">
        <f t="shared" si="2"/>
        <v>15.795733333333333</v>
      </c>
      <c r="M30">
        <f t="shared" si="3"/>
        <v>33.993333333333332</v>
      </c>
      <c r="N30" s="5">
        <f>IF(ISBLANK(D30),"",Open_time Control_1+(INT(L30)&amp;":"&amp;IF(ROUND(((L30-INT(L30))*60),0)&lt;10,0,"")&amp;ROUND(((L30-INT(L30))*60),0)))</f>
        <v>44702.908333333333</v>
      </c>
      <c r="O30" s="5" t="e">
        <f>IF(ISBLANK(D30),"",Open_time Control_1+(INT(M30)&amp;":"&amp;IF(ROUND(((M30-INT(M30))*60),0)&lt;10,0,"")&amp;ROUND(((M30-INT(M30))*60),0)))</f>
        <v>#VALUE!</v>
      </c>
    </row>
    <row r="31" spans="2:15" ht="17" customHeight="1" x14ac:dyDescent="0.2">
      <c r="D31" s="34">
        <v>601.70000000000005</v>
      </c>
      <c r="E31" s="98" t="s">
        <v>76</v>
      </c>
      <c r="F31" s="99" t="s">
        <v>74</v>
      </c>
      <c r="G31" s="99" t="s">
        <v>77</v>
      </c>
      <c r="H31" s="100"/>
      <c r="I31" s="105"/>
      <c r="J31" s="105"/>
      <c r="K31" s="106"/>
      <c r="L31">
        <f t="shared" si="2"/>
        <v>18.859714285714286</v>
      </c>
      <c r="M31">
        <f t="shared" si="3"/>
        <v>40</v>
      </c>
      <c r="N31" s="5">
        <f>IF(ISBLANK(D31),"",Open_time Control_1+(INT(L31)&amp;":"&amp;IF(ROUND(((L31-INT(L31))*60),0)&lt;10,0,"")&amp;ROUND(((L31-INT(L31))*60),0)))</f>
        <v>44703.036111111112</v>
      </c>
      <c r="O31" s="5">
        <f>IF(ISBLANK(D31),"",Open_time Control_1+(INT(M31)&amp;":"&amp;IF(ROUND(((M31-INT(M31))*60),0)&lt;10,0,"")&amp;ROUND(((M31-INT(M31))*60),0)))</f>
        <v>44703.916666666664</v>
      </c>
    </row>
    <row r="32" spans="2:15" ht="17" customHeight="1" thickBot="1" x14ac:dyDescent="0.25">
      <c r="D32" s="64"/>
      <c r="E32" s="101"/>
      <c r="F32" s="102"/>
      <c r="G32" s="102"/>
      <c r="H32" s="103"/>
      <c r="I32" s="108"/>
      <c r="J32" s="108"/>
      <c r="K32" s="109"/>
      <c r="L32" t="str">
        <f t="shared" si="2"/>
        <v/>
      </c>
      <c r="M32" t="str">
        <f t="shared" si="3"/>
        <v/>
      </c>
      <c r="N32" s="5" t="str">
        <f>IF(ISBLANK(D32),"",Open_time Control_1+(INT(L32)&amp;":"&amp;IF(ROUND(((L32-INT(L32))*60),0)&lt;10,0,"")&amp;ROUND(((L32-INT(L32))*60),0)))</f>
        <v/>
      </c>
      <c r="O32" s="5" t="str">
        <f>IF(ISBLANK(D32),"",Open_time Control_1+(INT(M32)&amp;":"&amp;IF(ROUND(((M32-INT(M32))*60),0)&lt;10,0,"")&amp;ROUND(((M32-INT(M32))*60),0)))</f>
        <v/>
      </c>
    </row>
    <row r="33" spans="4:15" ht="7" customHeight="1" thickBot="1" x14ac:dyDescent="0.25">
      <c r="D33" s="85"/>
      <c r="E33" s="86"/>
      <c r="F33" s="87"/>
      <c r="G33" s="87"/>
      <c r="H33" s="87"/>
      <c r="I33" s="87"/>
      <c r="J33" s="87"/>
      <c r="K33" s="88"/>
      <c r="N33" s="5"/>
      <c r="O33" s="5"/>
    </row>
    <row r="34" spans="4:15" ht="14" thickBot="1" x14ac:dyDescent="0.2">
      <c r="D34" s="118" t="s">
        <v>82</v>
      </c>
      <c r="E34" s="119"/>
      <c r="F34" s="119"/>
      <c r="G34" s="119"/>
      <c r="H34" s="119"/>
      <c r="I34" s="120" t="s">
        <v>73</v>
      </c>
      <c r="J34" s="119"/>
      <c r="K34" s="121"/>
    </row>
    <row r="35" spans="4:15" ht="14" thickBot="1" x14ac:dyDescent="0.2">
      <c r="D35" s="6" t="s">
        <v>24</v>
      </c>
      <c r="E35" s="7" t="s">
        <v>25</v>
      </c>
      <c r="F35" s="83" t="s">
        <v>26</v>
      </c>
      <c r="G35" s="83" t="s">
        <v>27</v>
      </c>
      <c r="H35" s="84" t="s">
        <v>28</v>
      </c>
      <c r="I35" s="7" t="s">
        <v>60</v>
      </c>
      <c r="J35" s="7" t="s">
        <v>61</v>
      </c>
      <c r="K35" s="8" t="s">
        <v>62</v>
      </c>
      <c r="L35" t="s">
        <v>3</v>
      </c>
      <c r="M35" t="s">
        <v>4</v>
      </c>
      <c r="N35" t="s">
        <v>5</v>
      </c>
      <c r="O35" t="s">
        <v>6</v>
      </c>
    </row>
    <row r="36" spans="4:15" ht="16" x14ac:dyDescent="0.2">
      <c r="D36" s="34">
        <v>0</v>
      </c>
      <c r="E36" s="98" t="s">
        <v>83</v>
      </c>
      <c r="F36" s="99" t="s">
        <v>84</v>
      </c>
      <c r="G36" s="99" t="s">
        <v>85</v>
      </c>
      <c r="H36" s="99" t="s">
        <v>108</v>
      </c>
      <c r="I36" s="105" t="s">
        <v>107</v>
      </c>
      <c r="J36" s="105"/>
      <c r="K36" s="106"/>
      <c r="L36">
        <f>IF(ISBLANK(D36),"",IF(D36&gt;1000,(D36-1000)/26+33.0847,(IF(D36&gt;600,(D36-600)/28+18.799,(IF(D36&gt;400,(D36-400)/30+12.1324,(IF(D36&gt;200,(D36-200)/32+5.8824,D36/34))))))))</f>
        <v>0</v>
      </c>
      <c r="M36">
        <f>IF(ISBLANK(D36),"",IF((D36=0),1,IF(D36&gt;=brevet,IF(brevet&gt;1200,(brevet-1200)*75/1000+90,Max_time),IF(D36&gt;1200,(D36-1200)*75/1000+90,IF(D36&gt;1000,(D36-1000)/(1000/75)+75,IF(D36&gt;600,(D36-600)/(400/35)+40,D36/15))))))</f>
        <v>1</v>
      </c>
      <c r="N36" s="5">
        <f>IF(ISBLANK(D36),"",Open_time Control_1+(INT(L36)&amp;":"&amp;IF(ROUND(((L36-INT(L36))*60),0)&lt;10,0,"")&amp;ROUND(((L36-INT(L36))*60),0)))</f>
        <v>44702.25</v>
      </c>
      <c r="O36" s="5">
        <f>IF(ISBLANK(D36),"",Open_time Control_1+(INT(M36)&amp;":"&amp;IF(ROUND(((M36-INT(M36))*60),0)&lt;10,0,"")&amp;ROUND(((M36-INT(M36))*60),0)))</f>
        <v>44702.291666666664</v>
      </c>
    </row>
    <row r="37" spans="4:15" ht="16" x14ac:dyDescent="0.2">
      <c r="D37" s="34">
        <v>98.9</v>
      </c>
      <c r="E37" s="98" t="s">
        <v>86</v>
      </c>
      <c r="F37" s="99" t="s">
        <v>87</v>
      </c>
      <c r="G37" s="99" t="s">
        <v>88</v>
      </c>
      <c r="H37" s="100"/>
      <c r="I37" s="105"/>
      <c r="J37" s="105"/>
      <c r="K37" s="107"/>
      <c r="L37">
        <f t="shared" ref="L37:L45" si="4">IF(ISBLANK(D37),"",IF(D37&gt;1000,(D37-1000)/26+33.0847,(IF(D37&gt;600,(D37-600)/28+18.799,(IF(D37&gt;400,(D37-400)/30+12.1324,(IF(D37&gt;200,(D37-200)/32+5.8824,D37/34))))))))</f>
        <v>2.908823529411765</v>
      </c>
      <c r="M37">
        <f t="shared" ref="M37:M45" si="5">IF(ISBLANK(D37),"",IF(D37&gt;=brevet,IF(brevet&gt;1200,(brevet-1200)*75/1000+90,Max_time),IF(D37&gt;1200,(D37-1200)*75/1000+90,IF(D37&gt;1000,(D37-1000)/(1000/75)+75,IF(D37&gt;600,(D37-600)/(400/35)+40,D37/15)))))</f>
        <v>6.5933333333333337</v>
      </c>
      <c r="N37" s="5">
        <f>IF(ISBLANK(D37),"",Open_time Control_1+(INT(L37)&amp;":"&amp;IF(ROUND(((L37-INT(L37))*60),0)&lt;10,0,"")&amp;ROUND(((L37-INT(L37))*60),0)))</f>
        <v>44702.371527777781</v>
      </c>
      <c r="O37" s="5">
        <f>IF(ISBLANK(D37),"",Open_time Control_1+(INT(M37)&amp;":"&amp;IF(ROUND(((M37-INT(M37))*60),0)&lt;10,0,"")&amp;ROUND(((M37-INT(M37))*60),0)))</f>
        <v>44702.525000000001</v>
      </c>
    </row>
    <row r="38" spans="4:15" ht="16" x14ac:dyDescent="0.2">
      <c r="D38" s="34">
        <v>190.7</v>
      </c>
      <c r="E38" s="110" t="s">
        <v>76</v>
      </c>
      <c r="F38" s="99" t="s">
        <v>74</v>
      </c>
      <c r="G38" s="99" t="s">
        <v>77</v>
      </c>
      <c r="H38" s="100"/>
      <c r="I38" s="105"/>
      <c r="J38" s="105"/>
      <c r="K38" s="107"/>
      <c r="L38">
        <f t="shared" si="4"/>
        <v>5.6088235294117643</v>
      </c>
      <c r="M38">
        <f t="shared" si="5"/>
        <v>12.713333333333333</v>
      </c>
      <c r="N38" s="5">
        <f>IF(ISBLANK(D38),"",Open_time Control_1+(INT(L38)&amp;":"&amp;IF(ROUND(((L38-INT(L38))*60),0)&lt;10,0,"")&amp;ROUND(((L38-INT(L38))*60),0)))</f>
        <v>44702.484027777777</v>
      </c>
      <c r="O38" s="5">
        <f>IF(ISBLANK(D38),"",Open_time Control_1+(INT(M38)&amp;":"&amp;IF(ROUND(((M38-INT(M38))*60),0)&lt;10,0,"")&amp;ROUND(((M38-INT(M38))*60),0)))</f>
        <v>44702.779861111114</v>
      </c>
    </row>
    <row r="39" spans="4:15" ht="16" x14ac:dyDescent="0.2">
      <c r="D39" s="34">
        <v>311.7</v>
      </c>
      <c r="E39" s="98" t="s">
        <v>89</v>
      </c>
      <c r="F39" s="99" t="s">
        <v>90</v>
      </c>
      <c r="G39" s="99" t="s">
        <v>91</v>
      </c>
      <c r="H39" s="100" t="s">
        <v>92</v>
      </c>
      <c r="I39" s="105"/>
      <c r="J39" s="105"/>
      <c r="K39" s="106"/>
      <c r="L39">
        <f t="shared" si="4"/>
        <v>9.3730249999999984</v>
      </c>
      <c r="M39">
        <f t="shared" si="5"/>
        <v>20.779999999999998</v>
      </c>
      <c r="N39" s="5">
        <f>IF(ISBLANK(D39),"",Open_time Control_1+(INT(L39)&amp;":"&amp;IF(ROUND(((L39-INT(L39))*60),0)&lt;10,0,"")&amp;ROUND(((L39-INT(L39))*60),0)))</f>
        <v>44702.640277777777</v>
      </c>
      <c r="O39" s="5">
        <f>IF(ISBLANK(D39),"",Open_time Control_1+(INT(M39)&amp;":"&amp;IF(ROUND(((M39-INT(M39))*60),0)&lt;10,0,"")&amp;ROUND(((M39-INT(M39))*60),0)))</f>
        <v>44703.115972222222</v>
      </c>
    </row>
    <row r="40" spans="4:15" ht="16" x14ac:dyDescent="0.2">
      <c r="D40" s="34">
        <v>400.3</v>
      </c>
      <c r="E40" s="98" t="s">
        <v>93</v>
      </c>
      <c r="F40" s="99" t="s">
        <v>74</v>
      </c>
      <c r="G40" s="99" t="s">
        <v>94</v>
      </c>
      <c r="H40" s="100" t="s">
        <v>92</v>
      </c>
      <c r="I40" s="105"/>
      <c r="J40" s="105"/>
      <c r="K40" s="106"/>
      <c r="L40">
        <f t="shared" si="4"/>
        <v>12.1424</v>
      </c>
      <c r="M40">
        <f t="shared" si="5"/>
        <v>26.686666666666667</v>
      </c>
      <c r="N40" s="5">
        <f>IF(ISBLANK(D40),"",Open_time Control_1+(INT(L40)&amp;":"&amp;IF(ROUND(((L40-INT(L40))*60),0)&lt;10,0,"")&amp;ROUND(((L40-INT(L40))*60),0)))</f>
        <v>44702.756249999999</v>
      </c>
      <c r="O40" s="5">
        <f>IF(ISBLANK(D40),"",Open_time Control_1+(INT(M40)&amp;":"&amp;IF(ROUND(((M40-INT(M40))*60),0)&lt;10,0,"")&amp;ROUND(((M40-INT(M40))*60),0)))</f>
        <v>44703.361805555556</v>
      </c>
    </row>
    <row r="41" spans="4:15" ht="16" x14ac:dyDescent="0.2">
      <c r="D41" s="34">
        <v>452.2</v>
      </c>
      <c r="E41" s="98" t="s">
        <v>95</v>
      </c>
      <c r="F41" s="99" t="s">
        <v>96</v>
      </c>
      <c r="G41" s="99" t="s">
        <v>106</v>
      </c>
      <c r="H41" s="100"/>
      <c r="I41" s="105"/>
      <c r="J41" s="105"/>
      <c r="K41" s="106"/>
      <c r="L41">
        <f t="shared" si="4"/>
        <v>13.872400000000001</v>
      </c>
      <c r="M41">
        <f t="shared" si="5"/>
        <v>30.146666666666665</v>
      </c>
      <c r="N41" s="5">
        <f>IF(ISBLANK(D41),"",Open_time Control_1+(INT(L41)&amp;":"&amp;IF(ROUND(((L41-INT(L41))*60),0)&lt;10,0,"")&amp;ROUND(((L41-INT(L41))*60),0)))</f>
        <v>44702.827777777777</v>
      </c>
      <c r="O41" s="5">
        <f>IF(ISBLANK(D41),"",Open_time Control_1+(INT(M41)&amp;":"&amp;IF(ROUND(((M41-INT(M41))*60),0)&lt;10,0,"")&amp;ROUND(((M41-INT(M41))*60),0)))</f>
        <v>44703.506249999999</v>
      </c>
    </row>
    <row r="42" spans="4:15" ht="16" x14ac:dyDescent="0.2">
      <c r="D42" s="34">
        <v>548.9</v>
      </c>
      <c r="E42" s="98" t="s">
        <v>97</v>
      </c>
      <c r="F42" s="99" t="s">
        <v>81</v>
      </c>
      <c r="G42" s="99" t="s">
        <v>99</v>
      </c>
      <c r="H42" s="100" t="s">
        <v>92</v>
      </c>
      <c r="I42" s="105"/>
      <c r="J42" s="105"/>
      <c r="K42" s="107"/>
      <c r="L42">
        <f t="shared" si="4"/>
        <v>17.095733333333335</v>
      </c>
      <c r="M42">
        <f t="shared" si="5"/>
        <v>36.593333333333334</v>
      </c>
      <c r="N42" s="5">
        <f>IF(ISBLANK(D42),"",Open_time Control_1+(INT(L42)&amp;":"&amp;IF(ROUND(((L42-INT(L42))*60),0)&lt;10,0,"")&amp;ROUND(((L42-INT(L42))*60),0)))</f>
        <v>44702.962500000001</v>
      </c>
      <c r="O42" s="5">
        <f>IF(ISBLANK(D42),"",Open_time Control_1+(INT(M42)&amp;":"&amp;IF(ROUND(((M42-INT(M42))*60),0)&lt;10,0,"")&amp;ROUND(((M42-INT(M42))*60),0)))</f>
        <v>44703.775000000001</v>
      </c>
    </row>
    <row r="43" spans="4:15" ht="16" x14ac:dyDescent="0.2">
      <c r="D43" s="34">
        <v>583.20000000000005</v>
      </c>
      <c r="E43" s="98" t="s">
        <v>79</v>
      </c>
      <c r="F43" s="99" t="s">
        <v>74</v>
      </c>
      <c r="G43" s="99" t="s">
        <v>80</v>
      </c>
      <c r="H43" s="100"/>
      <c r="I43" s="105"/>
      <c r="J43" s="105"/>
      <c r="K43" s="106"/>
      <c r="L43">
        <f t="shared" si="4"/>
        <v>18.23906666666667</v>
      </c>
      <c r="M43">
        <f t="shared" si="5"/>
        <v>38.880000000000003</v>
      </c>
      <c r="N43" s="5">
        <f>IF(ISBLANK(D43),"",Open_time Control_1+(INT(L43)&amp;":"&amp;IF(ROUND(((L43-INT(L43))*60),0)&lt;10,0,"")&amp;ROUND(((L43-INT(L43))*60),0)))</f>
        <v>44703.009722222225</v>
      </c>
      <c r="O43" s="5">
        <f>IF(ISBLANK(D43),"",Open_time Control_1+(INT(M43)&amp;":"&amp;IF(ROUND(((M43-INT(M43))*60),0)&lt;10,0,"")&amp;ROUND(((M43-INT(M43))*60),0)))</f>
        <v>44703.870138888888</v>
      </c>
    </row>
    <row r="44" spans="4:15" ht="16" x14ac:dyDescent="0.2">
      <c r="D44" s="34">
        <v>601.70000000000005</v>
      </c>
      <c r="E44" s="98" t="s">
        <v>83</v>
      </c>
      <c r="F44" s="99"/>
      <c r="G44" s="99" t="s">
        <v>85</v>
      </c>
      <c r="H44" s="99" t="s">
        <v>98</v>
      </c>
      <c r="I44" s="105"/>
      <c r="J44" s="105"/>
      <c r="K44" s="106"/>
      <c r="L44">
        <f t="shared" si="4"/>
        <v>18.859714285714286</v>
      </c>
      <c r="M44">
        <f t="shared" si="5"/>
        <v>40</v>
      </c>
      <c r="N44" s="5">
        <f>IF(ISBLANK(D44),"",Open_time Control_1+(INT(L44)&amp;":"&amp;IF(ROUND(((L44-INT(L44))*60),0)&lt;10,0,"")&amp;ROUND(((L44-INT(L44))*60),0)))</f>
        <v>44703.036111111112</v>
      </c>
      <c r="O44" s="5">
        <f>IF(ISBLANK(D44),"",Open_time Control_1+(INT(M44)&amp;":"&amp;IF(ROUND(((M44-INT(M44))*60),0)&lt;10,0,"")&amp;ROUND(((M44-INT(M44))*60),0)))</f>
        <v>44703.916666666664</v>
      </c>
    </row>
    <row r="45" spans="4:15" ht="17" thickBot="1" x14ac:dyDescent="0.25">
      <c r="D45" s="64"/>
      <c r="E45" s="101"/>
      <c r="F45" s="102"/>
      <c r="G45" s="102"/>
      <c r="H45" s="103"/>
      <c r="I45" s="108"/>
      <c r="J45" s="108"/>
      <c r="K45" s="109"/>
      <c r="L45" t="str">
        <f t="shared" si="4"/>
        <v/>
      </c>
      <c r="M45" t="str">
        <f t="shared" si="5"/>
        <v/>
      </c>
      <c r="N45" s="5" t="str">
        <f>IF(ISBLANK(D45),"",Open_time Control_1+(INT(L45)&amp;":"&amp;IF(ROUND(((L45-INT(L45))*60),0)&lt;10,0,"")&amp;ROUND(((L45-INT(L45))*60),0)))</f>
        <v/>
      </c>
      <c r="O45" s="5" t="str">
        <f>IF(ISBLANK(D45),"",Open_time Control_1+(INT(M45)&amp;":"&amp;IF(ROUND(((M45-INT(M45))*60),0)&lt;10,0,"")&amp;ROUND(((M45-INT(M45))*60),0)))</f>
        <v/>
      </c>
    </row>
  </sheetData>
  <mergeCells count="7">
    <mergeCell ref="D34:H34"/>
    <mergeCell ref="I34:K34"/>
    <mergeCell ref="J1:K1"/>
    <mergeCell ref="D8:H8"/>
    <mergeCell ref="D21:H21"/>
    <mergeCell ref="I8:K8"/>
    <mergeCell ref="I21:K21"/>
  </mergeCells>
  <phoneticPr fontId="16"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A4" sqref="A4"/>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6" t="s">
        <v>102</v>
      </c>
      <c r="B1" s="126"/>
      <c r="C1" s="126"/>
      <c r="D1" s="126"/>
      <c r="E1" s="126"/>
      <c r="F1" s="126"/>
      <c r="G1" s="126"/>
      <c r="H1" s="35" t="s">
        <v>29</v>
      </c>
    </row>
    <row r="2" spans="1:22" ht="33.75" customHeight="1" thickBot="1" x14ac:dyDescent="0.25">
      <c r="A2" s="97" t="s">
        <v>30</v>
      </c>
      <c r="B2" s="9" t="s">
        <v>3</v>
      </c>
      <c r="C2" s="9" t="s">
        <v>4</v>
      </c>
      <c r="D2" s="9" t="s">
        <v>25</v>
      </c>
      <c r="E2" s="9" t="s">
        <v>31</v>
      </c>
      <c r="F2" s="9" t="s">
        <v>59</v>
      </c>
      <c r="G2" s="97" t="s">
        <v>32</v>
      </c>
      <c r="H2" s="35" t="s">
        <v>29</v>
      </c>
      <c r="K2" s="124" t="s">
        <v>55</v>
      </c>
      <c r="L2" s="124"/>
      <c r="M2" s="124"/>
      <c r="N2" s="124"/>
      <c r="O2" s="124"/>
      <c r="P2" s="124"/>
      <c r="Q2" s="124"/>
      <c r="R2" s="124"/>
      <c r="S2" s="124"/>
      <c r="T2" s="124"/>
      <c r="U2" s="124"/>
    </row>
    <row r="3" spans="1:22" ht="36" customHeight="1" x14ac:dyDescent="0.45">
      <c r="A3" s="39"/>
      <c r="B3" s="40">
        <f>Control_1 Open_time</f>
        <v>44702.25</v>
      </c>
      <c r="C3" s="40">
        <f>Control_1 Close_time</f>
        <v>44702.291666666664</v>
      </c>
      <c r="D3" s="41"/>
      <c r="E3" s="42" t="str">
        <f>IF(ISBLANK(Control_1 Establishment_1),"",Control_1 Establishment_1)</f>
        <v>Chevron Gas</v>
      </c>
      <c r="F3" s="42" t="str">
        <f>IF(ISBLANK('Control Entry'!I10),"",'Control Entry'!I10)</f>
        <v/>
      </c>
      <c r="G3" s="10"/>
      <c r="H3" s="35" t="s">
        <v>29</v>
      </c>
      <c r="K3" s="16"/>
      <c r="O3" s="133" t="s">
        <v>33</v>
      </c>
      <c r="P3" s="133"/>
      <c r="Q3" s="133"/>
      <c r="R3" s="133"/>
      <c r="S3" s="115" t="str">
        <f>IF('Control Entry'!D23=0,"","#1")</f>
        <v/>
      </c>
      <c r="U3" s="52"/>
    </row>
    <row r="4" spans="1:22" ht="36" customHeight="1" x14ac:dyDescent="0.2">
      <c r="A4" s="48">
        <f>IF(ISBLANK(Distance Control_1),"",Control_1 Distance)</f>
        <v>0</v>
      </c>
      <c r="B4" s="49">
        <f>Control_1 Open_time</f>
        <v>44702.25</v>
      </c>
      <c r="C4" s="49">
        <f>Control_1 Close_time</f>
        <v>44702.291666666664</v>
      </c>
      <c r="D4" s="50" t="str">
        <f>IF(ISBLANK(Locale Control_1),"",Locale Control_1)</f>
        <v>NANAIMO</v>
      </c>
      <c r="E4" s="42" t="str">
        <f>IF(ISBLANK(Control_1 Establishment_2),"",Control_1 Establishment_2)</f>
        <v>Woodgrove Centre</v>
      </c>
      <c r="F4" s="67" t="str">
        <f>IF(ISBLANK('Control Entry'!J10),"",'Control Entry'!J10)</f>
        <v/>
      </c>
      <c r="G4" s="10"/>
      <c r="H4" s="35" t="s">
        <v>29</v>
      </c>
      <c r="K4" s="16"/>
      <c r="M4" s="128" t="str">
        <f>IF(ISBLANK(brevet),"",brevet&amp;" km Randonnée")</f>
        <v>600 km Randonnée</v>
      </c>
      <c r="N4" s="128"/>
      <c r="O4" s="128"/>
      <c r="P4" s="128"/>
      <c r="Q4" s="128"/>
      <c r="R4" s="128"/>
      <c r="S4" s="128"/>
      <c r="T4" s="128"/>
      <c r="U4" s="53"/>
    </row>
    <row r="5" spans="1:22" ht="36" customHeight="1" thickBot="1" x14ac:dyDescent="0.25">
      <c r="A5" s="43"/>
      <c r="B5" s="44">
        <f>Control_1 Open_time</f>
        <v>44702.25</v>
      </c>
      <c r="C5" s="44">
        <f>Control_1 Close_time</f>
        <v>44702.291666666664</v>
      </c>
      <c r="D5" s="45"/>
      <c r="E5" s="46" t="str">
        <f>IF(ISBLANK(Control_1 Establishment_3),"",Control_1 Establishment_3)</f>
        <v/>
      </c>
      <c r="F5" s="104" t="str">
        <f>IF(ISBLANK('Control Entry'!K10),"",'Control Entry'!K10)</f>
        <v/>
      </c>
      <c r="G5" s="11"/>
      <c r="H5" s="35" t="s">
        <v>29</v>
      </c>
      <c r="K5" s="16"/>
      <c r="M5" s="17"/>
      <c r="N5" s="131" t="s">
        <v>47</v>
      </c>
      <c r="O5" s="131"/>
      <c r="P5" s="81">
        <f>IF(ISBLANK(Brevet_Number),"",Brevet_Number)</f>
        <v>5157</v>
      </c>
      <c r="Q5" s="82"/>
      <c r="R5" s="123">
        <f>IF(ISBLANK('Control Entry'!$B5),"",'Control Entry'!$B5)</f>
        <v>44702</v>
      </c>
      <c r="S5" s="123"/>
      <c r="T5" s="123"/>
      <c r="U5" s="123"/>
      <c r="V5" s="54"/>
    </row>
    <row r="6" spans="1:22" ht="36" customHeight="1" x14ac:dyDescent="0.2">
      <c r="A6" s="39"/>
      <c r="B6" s="40">
        <f>Control_2 Open_time</f>
        <v>44702.362500000003</v>
      </c>
      <c r="C6" s="40">
        <f>Control_2 Close_time</f>
        <v>44702.504861111112</v>
      </c>
      <c r="D6" s="47"/>
      <c r="E6" s="42" t="str">
        <f>IF(ISBLANK(Control_2 Establishment_1),"",Control_2 Establishment_1)</f>
        <v>Tim Hortons</v>
      </c>
      <c r="F6" s="42" t="str">
        <f>IF(ISBLANK('Control Entry'!I11),"",'Control Entry'!I11)</f>
        <v/>
      </c>
      <c r="G6" s="10"/>
      <c r="H6" s="35" t="s">
        <v>29</v>
      </c>
      <c r="K6" s="16"/>
      <c r="L6" s="136" t="str">
        <f>IF(ISBLANK(Brevet_Description),"",Brevet_Description)</f>
        <v>East Coast Renfrew</v>
      </c>
      <c r="M6" s="136"/>
      <c r="N6" s="136"/>
      <c r="O6" s="136"/>
      <c r="P6" s="136"/>
      <c r="Q6" s="136"/>
      <c r="R6" s="136"/>
      <c r="S6" s="136"/>
      <c r="T6" s="136"/>
      <c r="U6" s="136"/>
    </row>
    <row r="7" spans="1:22" ht="36" customHeight="1" x14ac:dyDescent="0.2">
      <c r="A7" s="48">
        <f>IF(ISBLANK(Distance Control_2),"",Control_2 Distance)</f>
        <v>91.8</v>
      </c>
      <c r="B7" s="49">
        <f>Control_2 Open_time</f>
        <v>44702.362500000003</v>
      </c>
      <c r="C7" s="49">
        <f>Control_2 Close_time</f>
        <v>44702.504861111112</v>
      </c>
      <c r="D7" s="50" t="str">
        <f>IF(ISBLANK(Locale Control_2),"",Locale Control_2)</f>
        <v>MILL BAY</v>
      </c>
      <c r="E7" s="67" t="str">
        <f>IF(ISBLANK(Control_2 Establishment_2),"",Control_2 Establishment_2)</f>
        <v>825 Deloume Rd</v>
      </c>
      <c r="F7" s="67" t="str">
        <f>IF(ISBLANK('Control Entry'!J11),"",'Control Entry'!J11)</f>
        <v/>
      </c>
      <c r="G7" s="10"/>
      <c r="H7" s="35" t="s">
        <v>29</v>
      </c>
      <c r="J7" s="114"/>
      <c r="L7" s="114"/>
    </row>
    <row r="8" spans="1:22" ht="36" customHeight="1" thickBot="1" x14ac:dyDescent="0.25">
      <c r="A8" s="43"/>
      <c r="B8" s="44">
        <f>Control_2 Open_time</f>
        <v>44702.362500000003</v>
      </c>
      <c r="C8" s="44">
        <f>Control_2 Close_time</f>
        <v>44702.504861111112</v>
      </c>
      <c r="D8" s="45"/>
      <c r="E8" s="113" t="str">
        <f>IF(ISBLANK(Control_2 Establishment_3),"",Control_2 Establishment_3)</f>
        <v/>
      </c>
      <c r="F8" s="104" t="str">
        <f>IF(ISBLANK('Control Entry'!K11),"",'Control Entry'!K11)</f>
        <v/>
      </c>
      <c r="G8" s="11"/>
      <c r="H8" s="35" t="s">
        <v>29</v>
      </c>
      <c r="J8" s="17" t="s">
        <v>34</v>
      </c>
      <c r="L8" s="125"/>
      <c r="M8" s="125"/>
      <c r="N8" s="125"/>
      <c r="O8" s="125"/>
      <c r="P8" s="125"/>
      <c r="Q8" s="125"/>
      <c r="R8" s="36"/>
      <c r="S8" s="55" t="s">
        <v>46</v>
      </c>
      <c r="T8" s="137"/>
      <c r="U8" s="137"/>
    </row>
    <row r="9" spans="1:22" ht="36" customHeight="1" thickBot="1" x14ac:dyDescent="0.3">
      <c r="A9" s="39"/>
      <c r="B9" s="40">
        <f>Control_3 Open_time</f>
        <v>44702.511805555558</v>
      </c>
      <c r="C9" s="40">
        <f>Control_3 Close_time</f>
        <v>44702.84097222222</v>
      </c>
      <c r="D9" s="47"/>
      <c r="E9" s="42" t="str">
        <f>IF(ISBLANK(Control_3 Establishment_1),"",Control_3 Establishment_1)</f>
        <v>The Renfrew Pub</v>
      </c>
      <c r="F9" s="42" t="str">
        <f>IF(ISBLANK('Control Entry'!I12),"",'Control Entry'!I12)</f>
        <v/>
      </c>
      <c r="G9" s="10"/>
      <c r="H9" s="35" t="s">
        <v>29</v>
      </c>
      <c r="J9" s="17" t="s">
        <v>35</v>
      </c>
      <c r="K9" s="17"/>
      <c r="L9" s="65" t="s">
        <v>54</v>
      </c>
      <c r="M9" s="23"/>
      <c r="N9" s="23"/>
      <c r="O9" s="23"/>
      <c r="P9" s="23"/>
      <c r="Q9" s="23"/>
      <c r="R9" s="23"/>
      <c r="S9" s="23"/>
      <c r="T9" s="23"/>
      <c r="U9" s="21"/>
    </row>
    <row r="10" spans="1:22" ht="36" customHeight="1" thickBot="1" x14ac:dyDescent="0.3">
      <c r="A10" s="48">
        <f>IF(ISBLANK(Distance Control_3),"",Control_3 Distance)</f>
        <v>212.8</v>
      </c>
      <c r="B10" s="49">
        <f>Control_3 Open_time</f>
        <v>44702.511805555558</v>
      </c>
      <c r="C10" s="49">
        <f>Control_3 Close_time</f>
        <v>44702.84097222222</v>
      </c>
      <c r="D10" s="50" t="str">
        <f>IF(ISBLANK(Locale Control_3),"",Locale Control_3)</f>
        <v>PORT RENFREW</v>
      </c>
      <c r="E10" s="67" t="str">
        <f>IF(ISBLANK(Control_3 Establishment_2),"",Control_3 Establishment_2)</f>
        <v>17310 Parkinson Rd</v>
      </c>
      <c r="F10" s="67" t="str">
        <f>IF(ISBLANK('Control Entry'!J12),"",'Control Entry'!J12)</f>
        <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44702.511805555558</v>
      </c>
      <c r="C11" s="44">
        <f>Control_3 Close_time</f>
        <v>44702.84097222222</v>
      </c>
      <c r="D11" s="45"/>
      <c r="E11" s="46" t="str">
        <f>IF(ISBLANK(Control_3 Establishment_3),"",Control_3 Establishment_3)</f>
        <v/>
      </c>
      <c r="F11" s="104"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44702.627083333333</v>
      </c>
      <c r="C12" s="40">
        <f>Control_4 Close_time</f>
        <v>44703.087500000001</v>
      </c>
      <c r="D12" s="47"/>
      <c r="E12" s="42" t="str">
        <f>IF(ISBLANK(Control_4 Establishment_1),"",Control_4 Establishment_1)</f>
        <v>Tim Hortons</v>
      </c>
      <c r="F12" s="42" t="str">
        <f>IF(ISBLANK('Control Entry'!I13),"",'Control Entry'!I13)</f>
        <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301.39999999999998</v>
      </c>
      <c r="B13" s="49">
        <f>Control_4 Open_time</f>
        <v>44702.627083333333</v>
      </c>
      <c r="C13" s="49">
        <f>Control_4 Close_time</f>
        <v>44703.087500000001</v>
      </c>
      <c r="D13" s="50" t="str">
        <f>IF(ISBLANK(Locale Control_4),"",Locale Control_4)</f>
        <v>DUNCAN</v>
      </c>
      <c r="E13" s="42" t="str">
        <f>IF(ISBLANK(Control_4 Establishment_2),"",Control_4 Establishment_2)</f>
        <v>3320 Cowichan Lake Rd</v>
      </c>
      <c r="F13" s="42" t="str">
        <f>IF(ISBLANK('Control Entry'!J13),"",'Control Entry'!J13)</f>
        <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44702.627083333333</v>
      </c>
      <c r="C14" s="44">
        <f>Control_4 Close_time</f>
        <v>44703.087500000001</v>
      </c>
      <c r="D14" s="45"/>
      <c r="E14" s="46" t="str">
        <f>IF(ISBLANK(Control_4 Establishment_3),"",Control_4 Establishment_3)</f>
        <v>Self sign outside hours</v>
      </c>
      <c r="F14" s="104" t="str">
        <f>IF(ISBLANK('Control Entry'!K13),"",'Control Entry'!K13)</f>
        <v/>
      </c>
      <c r="G14" s="11"/>
      <c r="H14" s="35" t="s">
        <v>29</v>
      </c>
    </row>
    <row r="15" spans="1:22" ht="36" customHeight="1" x14ac:dyDescent="0.2">
      <c r="A15" s="39"/>
      <c r="B15" s="40">
        <f>Control_5 Open_time</f>
        <v>44702.694444444445</v>
      </c>
      <c r="C15" s="40">
        <f>Control_5 Close_time</f>
        <v>44703.231249999997</v>
      </c>
      <c r="D15" s="47"/>
      <c r="E15" s="42" t="str">
        <f>IF(ISBLANK(Control_5 Establishment_1),"",Control_5 Establishment_1)</f>
        <v>Your choice</v>
      </c>
      <c r="F15" s="42" t="str">
        <f>IF(ISBLANK('Control Entry'!I14),"",'Control Entry'!I14)</f>
        <v/>
      </c>
      <c r="G15" s="10"/>
      <c r="H15" s="35" t="s">
        <v>29</v>
      </c>
      <c r="J15" s="17"/>
      <c r="L15" s="135" t="s">
        <v>58</v>
      </c>
      <c r="M15" s="135"/>
      <c r="N15" s="135"/>
      <c r="O15" s="135"/>
      <c r="P15" s="135"/>
      <c r="Q15" s="135"/>
      <c r="R15" s="135"/>
      <c r="S15" s="135"/>
      <c r="T15" s="135"/>
      <c r="U15" s="135"/>
    </row>
    <row r="16" spans="1:22" ht="36" customHeight="1" thickBot="1" x14ac:dyDescent="0.25">
      <c r="A16" s="48">
        <f>IF(ISBLANK(Distance Control_5),"",Control_5 Distance)</f>
        <v>353.3</v>
      </c>
      <c r="B16" s="49">
        <f>Control_5 Open_time</f>
        <v>44702.694444444445</v>
      </c>
      <c r="C16" s="49">
        <f>Control_5 Close_time</f>
        <v>44703.231249999997</v>
      </c>
      <c r="D16" s="50" t="str">
        <f>IF(ISBLANK(Locale Control_5),"",Locale Control_5)</f>
        <v>CHASE RIVER</v>
      </c>
      <c r="E16" s="42" t="str">
        <f>IF(ISBLANK(Control_5 Establishment_2),"",Control_5 Establishment_2)</f>
        <v>Tim Hortons or Petrocan or ?</v>
      </c>
      <c r="F16" s="42" t="str">
        <f>IF(ISBLANK('Control Entry'!J14),"",'Control Entry'!J14)</f>
        <v/>
      </c>
      <c r="G16" s="10"/>
      <c r="H16" s="35" t="s">
        <v>29</v>
      </c>
      <c r="L16" s="74"/>
      <c r="M16" s="74"/>
      <c r="N16" s="74"/>
      <c r="O16" s="74"/>
      <c r="P16" s="74"/>
      <c r="Q16" s="75"/>
      <c r="R16" s="75"/>
      <c r="S16" s="75"/>
      <c r="T16" s="75"/>
      <c r="U16" s="75"/>
    </row>
    <row r="17" spans="1:22" ht="36" customHeight="1" thickBot="1" x14ac:dyDescent="0.25">
      <c r="A17" s="43"/>
      <c r="B17" s="44">
        <f>Control_5 Open_time</f>
        <v>44702.694444444445</v>
      </c>
      <c r="C17" s="44">
        <f>Control_5 Close_time</f>
        <v>44703.231249999997</v>
      </c>
      <c r="D17" s="45"/>
      <c r="E17" s="46" t="str">
        <f>IF(ISBLANK(Control_5 Establishment_3),"",Control_5 Establishment_3)</f>
        <v/>
      </c>
      <c r="F17" s="46" t="str">
        <f>IF(ISBLANK('Control Entry'!K14),"",'Control Entry'!K14)</f>
        <v/>
      </c>
      <c r="G17" s="11"/>
      <c r="H17" s="35" t="s">
        <v>29</v>
      </c>
    </row>
    <row r="18" spans="1:22" ht="36" customHeight="1" x14ac:dyDescent="0.2">
      <c r="A18" s="39"/>
      <c r="B18" s="40">
        <f>Control_6 Open_time</f>
        <v>44702.824999999997</v>
      </c>
      <c r="C18" s="40">
        <f>Control_6 Close_time</f>
        <v>44703.5</v>
      </c>
      <c r="D18" s="47"/>
      <c r="E18" s="42" t="str">
        <f>IF(ISBLANK(Control_6 Establishment_1),"",Control_6 Establishment_1)</f>
        <v>Petrocan</v>
      </c>
      <c r="F18" s="42" t="str">
        <f>IF(ISBLANK('Control Entry'!I15),"",'Control Entry'!I15)</f>
        <v/>
      </c>
      <c r="G18" s="10"/>
      <c r="H18" s="35" t="s">
        <v>29</v>
      </c>
    </row>
    <row r="19" spans="1:22" ht="36" customHeight="1" x14ac:dyDescent="0.2">
      <c r="A19" s="48">
        <f>IF(ISBLANK(Distance Control_6),"",Control_6 Distance)</f>
        <v>450</v>
      </c>
      <c r="B19" s="49">
        <f>Control_6 Open_time</f>
        <v>44702.824999999997</v>
      </c>
      <c r="C19" s="49">
        <f>Control_6 Close_time</f>
        <v>44703.5</v>
      </c>
      <c r="D19" s="50" t="str">
        <f>IF(ISBLANK(Locale Control_6),"",Locale Control_6)</f>
        <v>BUCKLEY BAY</v>
      </c>
      <c r="E19" s="42" t="str">
        <f>IF(ISBLANK(Control_6 Establishment_2),"",Control_6 Establishment_2)</f>
        <v>6856 Island Hwy S</v>
      </c>
      <c r="F19" s="42" t="str">
        <f>IF(ISBLANK('Control Entry'!J15),"",'Control Entry'!J15)</f>
        <v/>
      </c>
      <c r="G19" s="10"/>
      <c r="H19" s="35" t="s">
        <v>29</v>
      </c>
    </row>
    <row r="20" spans="1:22" ht="36" customHeight="1" thickBot="1" x14ac:dyDescent="0.25">
      <c r="A20" s="43"/>
      <c r="B20" s="44">
        <f>Control_6 Open_time</f>
        <v>44702.824999999997</v>
      </c>
      <c r="C20" s="44">
        <f>Control_6 Close_time</f>
        <v>44703.5</v>
      </c>
      <c r="D20" s="45"/>
      <c r="E20" s="46" t="str">
        <f>IF(ISBLANK(Control_6 Establishment_3),"",Control_6 Establishment_3)</f>
        <v>Self sign outside hours</v>
      </c>
      <c r="F20" s="46" t="str">
        <f>IF(ISBLANK('Control Entry'!K15),"",'Control Entry'!K15)</f>
        <v/>
      </c>
      <c r="G20" s="11"/>
      <c r="H20" s="35" t="s">
        <v>29</v>
      </c>
      <c r="J20" s="73" t="s">
        <v>44</v>
      </c>
      <c r="K20" s="73"/>
      <c r="L20" s="76"/>
      <c r="M20" s="76"/>
      <c r="N20" s="76"/>
      <c r="P20" s="24" t="s">
        <v>0</v>
      </c>
      <c r="Q20" s="24"/>
      <c r="S20" s="134">
        <f>'Control Entry'!B8</f>
        <v>0.25</v>
      </c>
      <c r="T20" s="134"/>
      <c r="U20" s="134"/>
    </row>
    <row r="21" spans="1:22" ht="36" customHeight="1" x14ac:dyDescent="0.2">
      <c r="A21" s="39"/>
      <c r="B21" s="40">
        <f>Control_7 Open_time</f>
        <v>44702.872916666667</v>
      </c>
      <c r="C21" s="40">
        <f>Control_7 Close_time</f>
        <v>44703.595138888886</v>
      </c>
      <c r="D21" s="47"/>
      <c r="E21" s="42" t="str">
        <f>IF(ISBLANK(Control_7 Establishment_1),"",Control_7 Establishment_1)</f>
        <v>Tim Hortons</v>
      </c>
      <c r="F21" s="42" t="str">
        <f>IF(ISBLANK('Control Entry'!I16),"",'Control Entry'!I16)</f>
        <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484.3</v>
      </c>
      <c r="B22" s="49">
        <f>Control_7 Open_time</f>
        <v>44702.872916666667</v>
      </c>
      <c r="C22" s="49">
        <f>Control_7 Close_time</f>
        <v>44703.595138888886</v>
      </c>
      <c r="D22" s="50" t="str">
        <f>IF(ISBLANK(Locale Control_7),"",Locale Control_7)</f>
        <v>COMOX</v>
      </c>
      <c r="E22" s="42" t="str">
        <f>IF(ISBLANK(Control_7 Establishment_2),"",Control_7 Establishment_2)</f>
        <v>394 Lerwick Ave</v>
      </c>
      <c r="F22" s="42" t="str">
        <f>IF(ISBLANK('Control Entry'!J16),"",'Control Entry'!J16)</f>
        <v/>
      </c>
      <c r="G22" s="10"/>
      <c r="H22" s="35" t="s">
        <v>29</v>
      </c>
      <c r="J22" s="72" t="s">
        <v>45</v>
      </c>
      <c r="K22" s="72"/>
      <c r="L22" s="76"/>
      <c r="M22" s="76"/>
      <c r="N22" s="76"/>
      <c r="O22" s="25"/>
      <c r="P22" s="24" t="s">
        <v>1</v>
      </c>
      <c r="Q22" s="24"/>
      <c r="R22" s="25"/>
      <c r="S22" s="78"/>
      <c r="T22" s="78"/>
      <c r="U22" s="78"/>
    </row>
    <row r="23" spans="1:22" ht="36" customHeight="1" thickBot="1" x14ac:dyDescent="0.25">
      <c r="A23" s="43"/>
      <c r="B23" s="44">
        <f>Control_7 Open_time</f>
        <v>44702.872916666667</v>
      </c>
      <c r="C23" s="44">
        <f>Control_7 Close_time</f>
        <v>44703.595138888886</v>
      </c>
      <c r="D23" s="45"/>
      <c r="E23" s="46" t="str">
        <f>IF(ISBLANK(Control_7 Establishment_3),"",Control_7 Establishment_3)</f>
        <v/>
      </c>
      <c r="F23" s="46" t="str">
        <f>IF(ISBLANK('Control Entry'!K16),"",'Control Entry'!K16)</f>
        <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44702.898611111108</v>
      </c>
      <c r="C24" s="40">
        <f>Control_8 Close_time</f>
        <v>44703.646527777775</v>
      </c>
      <c r="D24" s="47"/>
      <c r="E24" s="42" t="str">
        <f>IF(ISBLANK(Control_8 Establishment_1),"",Control_8 Establishment_1)</f>
        <v>Information</v>
      </c>
      <c r="F24" s="42" t="str">
        <f>IF(ISBLANK('Control Entry'!I17),"",'Control Entry'!I17)</f>
        <v>Station ???</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502.8</v>
      </c>
      <c r="B25" s="49">
        <f>Control_8 Open_time</f>
        <v>44702.898611111108</v>
      </c>
      <c r="C25" s="49">
        <f>Control_8 Close_time</f>
        <v>44703.646527777775</v>
      </c>
      <c r="D25" s="50" t="str">
        <f>IF(ISBLANK(Locale Control_8),"",Locale Control_8)</f>
        <v>CUMBERLAND</v>
      </c>
      <c r="E25" s="67" t="str">
        <f>IF(ISBLANK(Control_8 Establishment_2),"",Control_8 Establishment_2)</f>
        <v>4th@Dunsmuir</v>
      </c>
      <c r="F25" s="42" t="str">
        <f>IF(ISBLANK('Control Entry'!J17),"",'Control Entry'!J17)</f>
        <v/>
      </c>
      <c r="G25" s="10"/>
      <c r="H25" s="35" t="s">
        <v>29</v>
      </c>
      <c r="J25" s="132" t="s">
        <v>17</v>
      </c>
      <c r="K25" s="132"/>
      <c r="L25" s="132"/>
      <c r="M25" s="132"/>
      <c r="N25" s="132"/>
      <c r="O25" s="63"/>
      <c r="P25" s="129"/>
      <c r="Q25" s="129"/>
      <c r="R25" s="63"/>
      <c r="S25" s="130"/>
      <c r="T25" s="130"/>
      <c r="U25" s="130"/>
      <c r="V25" s="130"/>
    </row>
    <row r="26" spans="1:22" ht="36" customHeight="1" thickBot="1" x14ac:dyDescent="0.25">
      <c r="A26" s="43"/>
      <c r="B26" s="44">
        <f>Control_8 Open_time</f>
        <v>44702.898611111108</v>
      </c>
      <c r="C26" s="44">
        <f>Control_8 Close_time</f>
        <v>44703.646527777775</v>
      </c>
      <c r="D26" s="45"/>
      <c r="E26" s="46" t="str">
        <f>IF(ISBLANK(Control_8 Establishment_3),"",Control_8 Establishment_3)</f>
        <v>Ambulance Station above windows</v>
      </c>
      <c r="F26" s="46" t="str">
        <f>IF(ISBLANK('Control Entry'!K17),"",'Control Entry'!K17)</f>
        <v/>
      </c>
      <c r="G26" s="11"/>
      <c r="H26" s="35" t="s">
        <v>29</v>
      </c>
    </row>
    <row r="27" spans="1:22" ht="36" customHeight="1" x14ac:dyDescent="0.2">
      <c r="A27" s="39"/>
      <c r="B27" s="40">
        <f>Control_9 Open_time</f>
        <v>44703.036111111112</v>
      </c>
      <c r="C27" s="40">
        <f>Control_9 Close_time</f>
        <v>44703.916666666664</v>
      </c>
      <c r="D27" s="47"/>
      <c r="E27" s="42" t="str">
        <f>IF(ISBLANK(Control_9 Establishment_1),"",Control_9 Establishment_1)</f>
        <v>Chevron Gas</v>
      </c>
      <c r="F27" s="42" t="str">
        <f>IF(ISBLANK('Control Entry'!I18),"",'Control Entry'!I18)</f>
        <v/>
      </c>
      <c r="G27" s="10"/>
      <c r="H27" s="35" t="s">
        <v>29</v>
      </c>
      <c r="K27" s="128" t="s">
        <v>56</v>
      </c>
      <c r="L27" s="129"/>
      <c r="M27" s="62" t="s">
        <v>57</v>
      </c>
      <c r="N27" s="129" t="s">
        <v>49</v>
      </c>
      <c r="O27" s="129"/>
      <c r="P27" s="129" t="s">
        <v>50</v>
      </c>
      <c r="Q27" s="129"/>
      <c r="R27" s="63" t="s">
        <v>51</v>
      </c>
      <c r="S27" s="130" t="s">
        <v>52</v>
      </c>
      <c r="T27" s="130"/>
      <c r="U27" s="130" t="s">
        <v>53</v>
      </c>
      <c r="V27" s="130"/>
    </row>
    <row r="28" spans="1:22" ht="36" customHeight="1" x14ac:dyDescent="0.2">
      <c r="A28" s="48">
        <f>IF(ISBLANK(Distance Control_9),"",Control_9 Distance)</f>
        <v>601.70000000000005</v>
      </c>
      <c r="B28" s="49">
        <f>Control_9 Open_time</f>
        <v>44703.036111111112</v>
      </c>
      <c r="C28" s="49">
        <f>Control_9 Close_time</f>
        <v>44703.916666666664</v>
      </c>
      <c r="D28" s="50" t="str">
        <f>IF(ISBLANK(Locale Control_9),"",Locale Control_9)</f>
        <v>NANAIMO</v>
      </c>
      <c r="E28" s="42" t="str">
        <f>IF(ISBLANK(Control_9 Establishment_2),"",Control_9 Establishment_2)</f>
        <v>Woodgrove Centre</v>
      </c>
      <c r="F28" s="42" t="str">
        <f>IF(ISBLANK('Control Entry'!J18),"",'Control Entry'!J18)</f>
        <v/>
      </c>
      <c r="G28" s="10"/>
      <c r="H28" s="35" t="s">
        <v>29</v>
      </c>
    </row>
    <row r="29" spans="1:22" ht="36" customHeight="1" thickBot="1" x14ac:dyDescent="0.25">
      <c r="A29" s="43"/>
      <c r="B29" s="44">
        <f>Control_9 Open_time</f>
        <v>44703.036111111112</v>
      </c>
      <c r="C29" s="44">
        <f>Control_9 Close_time</f>
        <v>44703.916666666664</v>
      </c>
      <c r="D29" s="45"/>
      <c r="E29" s="46" t="str">
        <f>IF(ISBLANK(Control_9 Establishment_3),"",Control_9 Establishment_3)</f>
        <v/>
      </c>
      <c r="F29" s="46" t="str">
        <f>IF(ISBLANK('Control Entry'!K18),"",'Control Entry'!K18)</f>
        <v/>
      </c>
      <c r="G29" s="11"/>
      <c r="H29" s="35" t="s">
        <v>29</v>
      </c>
      <c r="M29" s="138" t="s">
        <v>42</v>
      </c>
      <c r="N29" s="138"/>
      <c r="O29" s="138"/>
      <c r="P29" s="138"/>
      <c r="Q29" s="138"/>
      <c r="R29" s="138"/>
      <c r="S29" s="138"/>
      <c r="T29" s="138"/>
      <c r="U29" s="68"/>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27" t="s">
        <v>43</v>
      </c>
      <c r="B33" s="127"/>
      <c r="C33" s="127"/>
      <c r="D33" s="127"/>
      <c r="E33" s="127"/>
      <c r="F33" s="127"/>
      <c r="G33" s="127"/>
      <c r="H33" s="51"/>
      <c r="I33" s="51"/>
      <c r="N33" s="139"/>
      <c r="O33" s="139"/>
      <c r="P33" s="139"/>
      <c r="Q33" s="139"/>
      <c r="R33" s="139"/>
      <c r="S33" s="139"/>
      <c r="T33" s="139"/>
      <c r="U33" s="139"/>
      <c r="V33" s="61"/>
    </row>
    <row r="34" spans="1:22" ht="36" customHeight="1" x14ac:dyDescent="0.2">
      <c r="A34"/>
      <c r="O34" s="59"/>
      <c r="P34" s="59"/>
      <c r="Q34" s="59"/>
      <c r="R34" s="58"/>
    </row>
    <row r="35" spans="1:22" ht="36" customHeight="1" x14ac:dyDescent="0.2">
      <c r="A35"/>
      <c r="N35" s="138"/>
      <c r="O35" s="138"/>
      <c r="P35" s="138"/>
      <c r="Q35" s="138"/>
      <c r="R35" s="138"/>
      <c r="S35" s="138"/>
      <c r="T35" s="138"/>
      <c r="U35" s="13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A4" sqref="A4"/>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6" t="s">
        <v>102</v>
      </c>
      <c r="B1" s="126"/>
      <c r="C1" s="126"/>
      <c r="D1" s="126"/>
      <c r="E1" s="126"/>
      <c r="F1" s="126"/>
      <c r="G1" s="126"/>
      <c r="H1" s="35" t="s">
        <v>29</v>
      </c>
    </row>
    <row r="2" spans="1:22" ht="33.75" customHeight="1" thickBot="1" x14ac:dyDescent="0.25">
      <c r="A2" s="97" t="s">
        <v>30</v>
      </c>
      <c r="B2" s="9" t="s">
        <v>3</v>
      </c>
      <c r="C2" s="9" t="s">
        <v>4</v>
      </c>
      <c r="D2" s="9" t="s">
        <v>25</v>
      </c>
      <c r="E2" s="9" t="s">
        <v>31</v>
      </c>
      <c r="F2" s="9" t="s">
        <v>59</v>
      </c>
      <c r="G2" s="97" t="s">
        <v>32</v>
      </c>
      <c r="H2" s="35" t="s">
        <v>29</v>
      </c>
      <c r="K2" s="124" t="s">
        <v>55</v>
      </c>
      <c r="L2" s="124"/>
      <c r="M2" s="124"/>
      <c r="N2" s="124"/>
      <c r="O2" s="124"/>
      <c r="P2" s="124"/>
      <c r="Q2" s="124"/>
      <c r="R2" s="124"/>
      <c r="S2" s="124"/>
      <c r="T2" s="124"/>
      <c r="U2" s="124"/>
    </row>
    <row r="3" spans="1:22" ht="36" customHeight="1" x14ac:dyDescent="0.45">
      <c r="A3" s="39"/>
      <c r="B3" s="40">
        <f>'Control Entry'!N23</f>
        <v>44702.25</v>
      </c>
      <c r="C3" s="40">
        <f>'Control Entry'!O23</f>
        <v>44702.291666666664</v>
      </c>
      <c r="D3" s="41"/>
      <c r="E3" s="42" t="str">
        <f>IF(ISBLANK('Control Entry'!F23),"",'Control Entry'!F23)</f>
        <v>Tim Hortons</v>
      </c>
      <c r="F3" s="42" t="str">
        <f>IF(ISBLANK('Control Entry'!I23),"",'Control Entry'!I23)</f>
        <v/>
      </c>
      <c r="G3" s="10"/>
      <c r="H3" s="35" t="s">
        <v>29</v>
      </c>
      <c r="K3" s="16"/>
      <c r="O3" s="133" t="s">
        <v>75</v>
      </c>
      <c r="P3" s="133"/>
      <c r="Q3" s="133"/>
      <c r="R3" s="133"/>
      <c r="S3" s="115" t="str">
        <f>IF('Control Entry'!D23=0,"","#2")</f>
        <v/>
      </c>
      <c r="U3" s="52"/>
    </row>
    <row r="4" spans="1:22" ht="36" customHeight="1" x14ac:dyDescent="0.2">
      <c r="A4" s="48">
        <f>IF(ISBLANK('Control Entry'!D23),"",'Control Entry'!D23)</f>
        <v>0</v>
      </c>
      <c r="B4" s="49">
        <f>'Control Entry'!N23</f>
        <v>44702.25</v>
      </c>
      <c r="C4" s="49">
        <f>'Control Entry'!O23</f>
        <v>44702.291666666664</v>
      </c>
      <c r="D4" s="50" t="str">
        <f>IF(ISBLANK('Control Entry'!E23),"",'Control Entry'!E23)</f>
        <v>MILL BAY</v>
      </c>
      <c r="E4" s="42" t="str">
        <f>IF(ISBLANK('Control Entry'!G23),"",'Control Entry'!G23)</f>
        <v>825 Deloume Rd</v>
      </c>
      <c r="F4" s="42" t="str">
        <f>IF(ISBLANK('Control Entry'!J23),"",'Control Entry'!J23)</f>
        <v/>
      </c>
      <c r="G4" s="10"/>
      <c r="H4" s="35" t="s">
        <v>29</v>
      </c>
      <c r="K4" s="16"/>
      <c r="M4" s="128" t="str">
        <f>IF(ISBLANK(brevet),"",brevet&amp;" km Randonnée")</f>
        <v>600 km Randonnée</v>
      </c>
      <c r="N4" s="128"/>
      <c r="O4" s="128"/>
      <c r="P4" s="128"/>
      <c r="Q4" s="128"/>
      <c r="R4" s="128"/>
      <c r="S4" s="128"/>
      <c r="T4" s="128"/>
      <c r="U4" s="53"/>
    </row>
    <row r="5" spans="1:22" ht="36" customHeight="1" thickBot="1" x14ac:dyDescent="0.25">
      <c r="A5" s="43"/>
      <c r="B5" s="44">
        <f>'Control Entry'!N23</f>
        <v>44702.25</v>
      </c>
      <c r="C5" s="44">
        <f>'Control Entry'!O23</f>
        <v>44702.291666666664</v>
      </c>
      <c r="D5" s="45"/>
      <c r="E5" s="46" t="str">
        <f>IF(ISBLANK('Control Entry'!H23),"",'Control Entry'!H23)</f>
        <v/>
      </c>
      <c r="F5" s="46" t="str">
        <f>IF(ISBLANK('Control Entry'!K23),"",'Control Entry'!K23)</f>
        <v/>
      </c>
      <c r="G5" s="11"/>
      <c r="H5" s="35" t="s">
        <v>29</v>
      </c>
      <c r="K5" s="16"/>
      <c r="M5" s="17"/>
      <c r="N5" s="131" t="s">
        <v>47</v>
      </c>
      <c r="O5" s="131"/>
      <c r="P5" s="81">
        <f>IF(ISBLANK(Brevet_Number),"",Brevet_Number)</f>
        <v>5157</v>
      </c>
      <c r="Q5" s="82"/>
      <c r="R5" s="123">
        <f>IF(ISBLANK('Control Entry'!$B5),"",'Control Entry'!$B5)</f>
        <v>44702</v>
      </c>
      <c r="S5" s="123"/>
      <c r="T5" s="123"/>
      <c r="U5" s="123"/>
      <c r="V5" s="54"/>
    </row>
    <row r="6" spans="1:22" ht="36" customHeight="1" x14ac:dyDescent="0.2">
      <c r="A6" s="39"/>
      <c r="B6" s="40">
        <f>'Control Entry'!N24</f>
        <v>44702.398611111108</v>
      </c>
      <c r="C6" s="40">
        <f>'Control Entry'!O24</f>
        <v>44702.586111111108</v>
      </c>
      <c r="D6" s="47"/>
      <c r="E6" s="42" t="str">
        <f>IF(ISBLANK('Control Entry'!F24),"",'Control Entry'!F24)</f>
        <v>The Renfrew Pub</v>
      </c>
      <c r="F6" s="42" t="str">
        <f>IF(ISBLANK('Control Entry'!I24),"",'Control Entry'!I24)</f>
        <v/>
      </c>
      <c r="G6" s="10"/>
      <c r="H6" s="35" t="s">
        <v>29</v>
      </c>
      <c r="K6" s="16"/>
      <c r="L6" s="136" t="str">
        <f>IF(ISBLANK(Brevet_Description),"",Brevet_Description)</f>
        <v>East Coast Renfrew</v>
      </c>
      <c r="M6" s="136"/>
      <c r="N6" s="136"/>
      <c r="O6" s="136"/>
      <c r="P6" s="136"/>
      <c r="Q6" s="136"/>
      <c r="R6" s="136"/>
      <c r="S6" s="136"/>
      <c r="T6" s="136"/>
      <c r="U6" s="136"/>
    </row>
    <row r="7" spans="1:22" ht="36" customHeight="1" x14ac:dyDescent="0.2">
      <c r="A7" s="48">
        <f>IF(ISBLANK('Control Entry'!D24),"",'Control Entry'!D24)</f>
        <v>121</v>
      </c>
      <c r="B7" s="49">
        <f>'Control Entry'!N24</f>
        <v>44702.398611111108</v>
      </c>
      <c r="C7" s="49">
        <f>'Control Entry'!O24</f>
        <v>44702.586111111108</v>
      </c>
      <c r="D7" s="50" t="str">
        <f>IF(ISBLANK('Control Entry'!E24),"",'Control Entry'!E24)</f>
        <v>PORT RENFREW</v>
      </c>
      <c r="E7" s="42" t="str">
        <f>IF(ISBLANK('Control Entry'!G24),"",'Control Entry'!G24)</f>
        <v>17310 Parkinson Rd</v>
      </c>
      <c r="F7" s="42" t="str">
        <f>IF(ISBLANK('Control Entry'!J24),"",'Control Entry'!J24)</f>
        <v/>
      </c>
      <c r="G7" s="10"/>
      <c r="H7" s="35" t="s">
        <v>29</v>
      </c>
    </row>
    <row r="8" spans="1:22" ht="36" customHeight="1" thickBot="1" x14ac:dyDescent="0.25">
      <c r="A8" s="43"/>
      <c r="B8" s="44">
        <f>'Control Entry'!N24</f>
        <v>44702.398611111108</v>
      </c>
      <c r="C8" s="44">
        <f>'Control Entry'!O24</f>
        <v>44702.586111111108</v>
      </c>
      <c r="D8" s="45"/>
      <c r="E8" s="46" t="str">
        <f>IF(ISBLANK('Control Entry'!H24),"",'Control Entry'!H24)</f>
        <v>Self sign outside hours</v>
      </c>
      <c r="F8" s="46" t="str">
        <f>IF(ISBLANK('Control Entry'!K24),"",'Control Entry'!K24)</f>
        <v/>
      </c>
      <c r="G8" s="11"/>
      <c r="H8" s="35" t="s">
        <v>29</v>
      </c>
      <c r="J8" s="17" t="s">
        <v>34</v>
      </c>
      <c r="L8" s="125"/>
      <c r="M8" s="125"/>
      <c r="N8" s="125"/>
      <c r="O8" s="125"/>
      <c r="P8" s="125"/>
      <c r="Q8" s="125"/>
      <c r="R8" s="36"/>
      <c r="S8" s="55" t="s">
        <v>46</v>
      </c>
      <c r="T8" s="137"/>
      <c r="U8" s="137"/>
    </row>
    <row r="9" spans="1:22" ht="36" customHeight="1" thickBot="1" x14ac:dyDescent="0.3">
      <c r="A9" s="39"/>
      <c r="B9" s="40">
        <f>'Control Entry'!N25</f>
        <v>44702.507638888892</v>
      </c>
      <c r="C9" s="40">
        <f>'Control Entry'!O25</f>
        <v>44702.831944444442</v>
      </c>
      <c r="D9" s="47"/>
      <c r="E9" s="42" t="str">
        <f>IF(ISBLANK('Control Entry'!F25),"",'Control Entry'!F25)</f>
        <v>Tim Hortons</v>
      </c>
      <c r="F9" s="42" t="str">
        <f>IF(ISBLANK('Control Entry'!I25),"",'Control Entry'!I25)</f>
        <v/>
      </c>
      <c r="G9" s="10"/>
      <c r="H9" s="35" t="s">
        <v>29</v>
      </c>
      <c r="J9" s="17" t="s">
        <v>35</v>
      </c>
      <c r="K9" s="17"/>
      <c r="L9" s="65" t="s">
        <v>54</v>
      </c>
      <c r="M9" s="23"/>
      <c r="N9" s="23"/>
      <c r="O9" s="23"/>
      <c r="P9" s="23"/>
      <c r="Q9" s="23"/>
      <c r="R9" s="23"/>
      <c r="S9" s="23"/>
      <c r="T9" s="23"/>
      <c r="U9" s="21"/>
    </row>
    <row r="10" spans="1:22" ht="36" customHeight="1" thickBot="1" x14ac:dyDescent="0.3">
      <c r="A10" s="48">
        <f>IF(ISBLANK('Control Entry'!D25),"",'Control Entry'!D25)</f>
        <v>209.6</v>
      </c>
      <c r="B10" s="49">
        <f>'Control Entry'!N25</f>
        <v>44702.507638888892</v>
      </c>
      <c r="C10" s="49">
        <f>'Control Entry'!O25</f>
        <v>44702.831944444442</v>
      </c>
      <c r="D10" s="50" t="str">
        <f>IF(ISBLANK('Control Entry'!E25),"",'Control Entry'!E25)</f>
        <v>DUNCAN</v>
      </c>
      <c r="E10" s="42" t="str">
        <f>IF(ISBLANK('Control Entry'!G25),"",'Control Entry'!G25)</f>
        <v>3320 Cowichan Lake Rd</v>
      </c>
      <c r="F10" s="42" t="str">
        <f>IF(ISBLANK('Control Entry'!J25),"",'Control Entry'!J25)</f>
        <v/>
      </c>
      <c r="G10" s="10"/>
      <c r="H10" s="35" t="s">
        <v>29</v>
      </c>
      <c r="J10" s="17"/>
      <c r="K10" s="17"/>
      <c r="L10" s="37"/>
      <c r="M10" s="23"/>
      <c r="N10" s="23"/>
      <c r="O10" s="23"/>
      <c r="P10" s="23"/>
      <c r="Q10" s="23"/>
      <c r="R10" s="23"/>
      <c r="S10" s="23"/>
      <c r="T10" s="23"/>
      <c r="U10" s="21"/>
    </row>
    <row r="11" spans="1:22" ht="36" customHeight="1" thickBot="1" x14ac:dyDescent="0.3">
      <c r="A11" s="43"/>
      <c r="B11" s="44">
        <f>'Control Entry'!N25</f>
        <v>44702.507638888892</v>
      </c>
      <c r="C11" s="44">
        <f>'Control Entry'!O25</f>
        <v>44702.831944444442</v>
      </c>
      <c r="D11" s="45"/>
      <c r="E11" s="46" t="str">
        <f>IF(ISBLANK('Control Entry'!H25),"",'Control Entry'!H25)</f>
        <v/>
      </c>
      <c r="F11" s="46" t="str">
        <f>IF(ISBLANK('Control Entry'!K25),"",'Control Entry'!K25)</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44702.574999999997</v>
      </c>
      <c r="C12" s="40">
        <f>'Control Entry'!O26</f>
        <v>44702.976388888892</v>
      </c>
      <c r="D12" s="47"/>
      <c r="E12" s="42" t="str">
        <f>IF(ISBLANK('Control Entry'!F26),"",'Control Entry'!F26)</f>
        <v>Your choice</v>
      </c>
      <c r="F12" s="42" t="str">
        <f>IF(ISBLANK('Control Entry'!I26),"",'Control Entry'!I26)</f>
        <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261.5</v>
      </c>
      <c r="B13" s="49">
        <f>'Control Entry'!N26</f>
        <v>44702.574999999997</v>
      </c>
      <c r="C13" s="49">
        <f>'Control Entry'!O26</f>
        <v>44702.976388888892</v>
      </c>
      <c r="D13" s="50" t="str">
        <f>IF(ISBLANK('Control Entry'!E26),"",'Control Entry'!E26)</f>
        <v>CHASE RIVER</v>
      </c>
      <c r="E13" s="42" t="str">
        <f>IF(ISBLANK('Control Entry'!G26),"",'Control Entry'!G26)</f>
        <v>Tim Hortons or Petrocan or ?</v>
      </c>
      <c r="F13" s="42" t="str">
        <f>IF(ISBLANK('Control Entry'!J26),"",'Control Entry'!J26)</f>
        <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44702.574999999997</v>
      </c>
      <c r="C14" s="44">
        <f>'Control Entry'!O26</f>
        <v>44702.976388888892</v>
      </c>
      <c r="D14" s="45"/>
      <c r="E14" s="46" t="str">
        <f>IF(ISBLANK('Control Entry'!H26),"",'Control Entry'!H26)</f>
        <v/>
      </c>
      <c r="F14" s="46" t="str">
        <f>IF(ISBLANK('Control Entry'!K26),"",'Control Entry'!K26)</f>
        <v/>
      </c>
      <c r="G14" s="11"/>
      <c r="H14" s="35" t="s">
        <v>29</v>
      </c>
    </row>
    <row r="15" spans="1:22" ht="36" customHeight="1" x14ac:dyDescent="0.2">
      <c r="A15" s="39"/>
      <c r="B15" s="40">
        <f>'Control Entry'!N27</f>
        <v>44702.701388888891</v>
      </c>
      <c r="C15" s="40">
        <f>'Control Entry'!O27</f>
        <v>44703.245138888888</v>
      </c>
      <c r="D15" s="47"/>
      <c r="E15" s="42" t="str">
        <f>IF(ISBLANK('Control Entry'!F27),"",'Control Entry'!F27)</f>
        <v>Petrocan</v>
      </c>
      <c r="F15" s="42" t="str">
        <f>IF(ISBLANK('Control Entry'!I27),"",'Control Entry'!I27)</f>
        <v/>
      </c>
      <c r="G15" s="10"/>
      <c r="H15" s="35" t="s">
        <v>29</v>
      </c>
      <c r="J15" s="17"/>
      <c r="L15" s="135" t="s">
        <v>58</v>
      </c>
      <c r="M15" s="135"/>
      <c r="N15" s="135"/>
      <c r="O15" s="135"/>
      <c r="P15" s="135"/>
      <c r="Q15" s="135"/>
      <c r="R15" s="135"/>
      <c r="S15" s="135"/>
      <c r="T15" s="135"/>
      <c r="U15" s="135"/>
    </row>
    <row r="16" spans="1:22" ht="36" customHeight="1" thickBot="1" x14ac:dyDescent="0.25">
      <c r="A16" s="48">
        <f>IF(ISBLANK('Control Entry'!D27),"",'Control Entry'!D27)</f>
        <v>358.2</v>
      </c>
      <c r="B16" s="49">
        <f>'Control Entry'!N27</f>
        <v>44702.701388888891</v>
      </c>
      <c r="C16" s="49">
        <f>'Control Entry'!O27</f>
        <v>44703.245138888888</v>
      </c>
      <c r="D16" s="50" t="str">
        <f>IF(ISBLANK('Control Entry'!E27),"",'Control Entry'!E27)</f>
        <v>BUCKLEY BAY</v>
      </c>
      <c r="E16" s="42" t="str">
        <f>IF(ISBLANK('Control Entry'!G27),"",'Control Entry'!G27)</f>
        <v>6856 Island Hwy S</v>
      </c>
      <c r="F16" s="42" t="str">
        <f>IF(ISBLANK('Control Entry'!J27),"",'Control Entry'!J27)</f>
        <v/>
      </c>
      <c r="G16" s="10"/>
      <c r="H16" s="35" t="s">
        <v>29</v>
      </c>
      <c r="L16" s="74"/>
      <c r="M16" s="74"/>
      <c r="N16" s="74"/>
      <c r="O16" s="74"/>
      <c r="P16" s="74"/>
      <c r="Q16" s="75"/>
      <c r="R16" s="75"/>
      <c r="S16" s="75"/>
      <c r="T16" s="75"/>
      <c r="U16" s="75"/>
    </row>
    <row r="17" spans="1:22" ht="36" customHeight="1" thickBot="1" x14ac:dyDescent="0.25">
      <c r="A17" s="43"/>
      <c r="B17" s="44">
        <f>'Control Entry'!N27</f>
        <v>44702.701388888891</v>
      </c>
      <c r="C17" s="44">
        <f>'Control Entry'!O27</f>
        <v>44703.245138888888</v>
      </c>
      <c r="D17" s="45"/>
      <c r="E17" s="46" t="str">
        <f>IF(ISBLANK('Control Entry'!H27),"",'Control Entry'!H27)</f>
        <v>Self sign outside hours</v>
      </c>
      <c r="F17" s="46" t="str">
        <f>IF(ISBLANK('Control Entry'!K27),"",'Control Entry'!K27)</f>
        <v/>
      </c>
      <c r="G17" s="11"/>
      <c r="H17" s="35" t="s">
        <v>29</v>
      </c>
    </row>
    <row r="18" spans="1:22" ht="36" customHeight="1" x14ac:dyDescent="0.2">
      <c r="A18" s="39"/>
      <c r="B18" s="40">
        <f>'Control Entry'!N28</f>
        <v>44702.745833333334</v>
      </c>
      <c r="C18" s="40">
        <f>'Control Entry'!O28</f>
        <v>44703.340277777781</v>
      </c>
      <c r="D18" s="47"/>
      <c r="E18" s="42" t="str">
        <f>IF(ISBLANK('Control Entry'!F28),"",'Control Entry'!F28)</f>
        <v>Tim Hortons</v>
      </c>
      <c r="F18" s="42" t="str">
        <f>IF(ISBLANK('Control Entry'!I28),"",'Control Entry'!I28)</f>
        <v/>
      </c>
      <c r="G18" s="10"/>
      <c r="H18" s="35" t="s">
        <v>29</v>
      </c>
    </row>
    <row r="19" spans="1:22" ht="36" customHeight="1" x14ac:dyDescent="0.2">
      <c r="A19" s="48">
        <f>IF(ISBLANK('Control Entry'!D28),"",'Control Entry'!D28)</f>
        <v>392.5</v>
      </c>
      <c r="B19" s="49">
        <f>'Control Entry'!N28</f>
        <v>44702.745833333334</v>
      </c>
      <c r="C19" s="49">
        <f>'Control Entry'!O28</f>
        <v>44703.340277777781</v>
      </c>
      <c r="D19" s="50" t="str">
        <f>IF(ISBLANK('Control Entry'!E28),"",'Control Entry'!E28)</f>
        <v>COMOX</v>
      </c>
      <c r="E19" s="42" t="str">
        <f>IF(ISBLANK('Control Entry'!G28),"",'Control Entry'!G28)</f>
        <v>394 Lerwick Ave</v>
      </c>
      <c r="F19" s="42" t="str">
        <f>IF(ISBLANK('Control Entry'!J28),"",'Control Entry'!J28)</f>
        <v/>
      </c>
      <c r="G19" s="10"/>
      <c r="H19" s="35" t="s">
        <v>29</v>
      </c>
    </row>
    <row r="20" spans="1:22" ht="36" customHeight="1" thickBot="1" x14ac:dyDescent="0.25">
      <c r="A20" s="43"/>
      <c r="B20" s="44">
        <f>'Control Entry'!N28</f>
        <v>44702.745833333334</v>
      </c>
      <c r="C20" s="44">
        <f>'Control Entry'!O28</f>
        <v>44703.340277777781</v>
      </c>
      <c r="D20" s="45"/>
      <c r="E20" s="46" t="str">
        <f>IF(ISBLANK('Control Entry'!H28),"",'Control Entry'!H28)</f>
        <v/>
      </c>
      <c r="F20" s="46" t="str">
        <f>IF(ISBLANK('Control Entry'!K28),"",'Control Entry'!K28)</f>
        <v/>
      </c>
      <c r="G20" s="11"/>
      <c r="H20" s="35" t="s">
        <v>29</v>
      </c>
      <c r="J20" s="73" t="s">
        <v>44</v>
      </c>
      <c r="K20" s="73"/>
      <c r="L20" s="76"/>
      <c r="M20" s="76"/>
      <c r="N20" s="76"/>
      <c r="P20" s="24" t="s">
        <v>0</v>
      </c>
      <c r="Q20" s="24"/>
      <c r="S20" s="134">
        <f>'Control Entry'!B8</f>
        <v>0.25</v>
      </c>
      <c r="T20" s="134"/>
      <c r="U20" s="134"/>
    </row>
    <row r="21" spans="1:22" ht="36" customHeight="1" x14ac:dyDescent="0.2">
      <c r="A21" s="39"/>
      <c r="B21" s="40">
        <f>'Control Entry'!N29</f>
        <v>44702.770833333336</v>
      </c>
      <c r="C21" s="40">
        <f>'Control Entry'!O29</f>
        <v>44703.39166666667</v>
      </c>
      <c r="D21" s="47"/>
      <c r="E21" s="42" t="str">
        <f>IF(ISBLANK('Control Entry'!F29),"",'Control Entry'!F29)</f>
        <v>Information</v>
      </c>
      <c r="F21" s="42" t="str">
        <f>IF(ISBLANK('Control Entry'!I29),"",'Control Entry'!I29)</f>
        <v>Station ???</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411</v>
      </c>
      <c r="B22" s="49">
        <f>'Control Entry'!N29</f>
        <v>44702.770833333336</v>
      </c>
      <c r="C22" s="49">
        <f>'Control Entry'!O29</f>
        <v>44703.39166666667</v>
      </c>
      <c r="D22" s="50" t="str">
        <f>IF(ISBLANK('Control Entry'!E29),"",'Control Entry'!E29)</f>
        <v>CUMBERLAND</v>
      </c>
      <c r="E22" s="42" t="str">
        <f>IF(ISBLANK('Control Entry'!G29),"",'Control Entry'!G29)</f>
        <v>4th@Dunsmuir</v>
      </c>
      <c r="F22" s="42" t="str">
        <f>IF(ISBLANK('Control Entry'!J29),"",'Control Entry'!J29)</f>
        <v/>
      </c>
      <c r="G22" s="10"/>
      <c r="H22" s="35" t="s">
        <v>29</v>
      </c>
      <c r="J22" s="111" t="s">
        <v>45</v>
      </c>
      <c r="K22" s="111"/>
      <c r="L22" s="76"/>
      <c r="M22" s="76"/>
      <c r="N22" s="76"/>
      <c r="O22" s="25"/>
      <c r="P22" s="24" t="s">
        <v>1</v>
      </c>
      <c r="Q22" s="24"/>
      <c r="R22" s="25"/>
      <c r="S22" s="78"/>
      <c r="T22" s="78"/>
      <c r="U22" s="78"/>
    </row>
    <row r="23" spans="1:22" ht="36" customHeight="1" thickBot="1" x14ac:dyDescent="0.25">
      <c r="A23" s="43"/>
      <c r="B23" s="44">
        <f>'Control Entry'!N29</f>
        <v>44702.770833333336</v>
      </c>
      <c r="C23" s="44">
        <f>'Control Entry'!O29</f>
        <v>44703.39166666667</v>
      </c>
      <c r="D23" s="45"/>
      <c r="E23" s="46" t="str">
        <f>IF(ISBLANK('Control Entry'!H29),"",'Control Entry'!H29)</f>
        <v>Ambulance Station above windows</v>
      </c>
      <c r="F23" s="46" t="str">
        <f>IF(ISBLANK('Control Entry'!K29),"",'Control Entry'!K29)</f>
        <v/>
      </c>
      <c r="G23" s="11"/>
      <c r="H23" s="35" t="s">
        <v>29</v>
      </c>
      <c r="J23" s="111"/>
      <c r="K23" s="111"/>
      <c r="L23" s="71"/>
      <c r="M23" s="71"/>
      <c r="N23" s="71"/>
      <c r="O23" s="29"/>
      <c r="P23" s="70"/>
      <c r="Q23" s="70"/>
      <c r="R23" s="29"/>
      <c r="S23" s="29"/>
      <c r="T23" s="29"/>
      <c r="U23" s="29"/>
      <c r="V23" s="36"/>
    </row>
    <row r="24" spans="1:22" ht="36" customHeight="1" thickBot="1" x14ac:dyDescent="0.25">
      <c r="A24" s="39"/>
      <c r="B24" s="40">
        <f>'Control Entry'!N30</f>
        <v>44702.908333333333</v>
      </c>
      <c r="C24" s="40" t="e">
        <f>'Control Entry'!O30</f>
        <v>#VALUE!</v>
      </c>
      <c r="D24" s="47"/>
      <c r="E24" s="42" t="str">
        <f>IF(ISBLANK('Control Entry'!F30),"",'Control Entry'!F30)</f>
        <v>Chevron Gas</v>
      </c>
      <c r="F24" s="42" t="str">
        <f>IF(ISBLANK('Control Entry'!I30),"",'Control Entry'!I30)</f>
        <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509.9</v>
      </c>
      <c r="B25" s="49">
        <f>'Control Entry'!N30</f>
        <v>44702.908333333333</v>
      </c>
      <c r="C25" s="49" t="e">
        <f>'Control Entry'!O30</f>
        <v>#VALUE!</v>
      </c>
      <c r="D25" s="50" t="str">
        <f>IF(ISBLANK('Control Entry'!E30),"",'Control Entry'!E30)</f>
        <v>NANAIMO</v>
      </c>
      <c r="E25" s="42" t="str">
        <f>IF(ISBLANK('Control Entry'!G30),"",'Control Entry'!G30)</f>
        <v>Woodgrove Centre</v>
      </c>
      <c r="F25" s="42" t="str">
        <f>IF(ISBLANK('Control Entry'!J30),"",'Control Entry'!J30)</f>
        <v/>
      </c>
      <c r="G25" s="10"/>
      <c r="H25" s="35" t="s">
        <v>29</v>
      </c>
      <c r="J25" s="132" t="s">
        <v>17</v>
      </c>
      <c r="K25" s="132"/>
      <c r="L25" s="132"/>
      <c r="M25" s="132"/>
      <c r="N25" s="132"/>
      <c r="O25" s="63"/>
      <c r="P25" s="129"/>
      <c r="Q25" s="129"/>
      <c r="R25" s="63"/>
      <c r="S25" s="130"/>
      <c r="T25" s="130"/>
      <c r="U25" s="130"/>
      <c r="V25" s="130"/>
    </row>
    <row r="26" spans="1:22" ht="36" customHeight="1" thickBot="1" x14ac:dyDescent="0.25">
      <c r="A26" s="43"/>
      <c r="B26" s="44">
        <f>'Control Entry'!N30</f>
        <v>44702.908333333333</v>
      </c>
      <c r="C26" s="44" t="e">
        <f>'Control Entry'!O30</f>
        <v>#VALUE!</v>
      </c>
      <c r="D26" s="45"/>
      <c r="E26" s="46" t="str">
        <f>IF(ISBLANK('Control Entry'!H30),"",'Control Entry'!H30)</f>
        <v/>
      </c>
      <c r="F26" s="46" t="str">
        <f>IF(ISBLANK('Control Entry'!K30),"",'Control Entry'!K30)</f>
        <v/>
      </c>
      <c r="G26" s="11"/>
      <c r="H26" s="35" t="s">
        <v>29</v>
      </c>
    </row>
    <row r="27" spans="1:22" ht="36" customHeight="1" x14ac:dyDescent="0.2">
      <c r="A27" s="39"/>
      <c r="B27" s="40">
        <f>'Control Entry'!N31</f>
        <v>44703.036111111112</v>
      </c>
      <c r="C27" s="40">
        <f>'Control Entry'!O31</f>
        <v>44703.916666666664</v>
      </c>
      <c r="D27" s="47"/>
      <c r="E27" s="42" t="str">
        <f>IF(ISBLANK('Control Entry'!F31),"",'Control Entry'!F31)</f>
        <v>Tim Hortons</v>
      </c>
      <c r="F27" s="42" t="str">
        <f>IF(ISBLANK('Control Entry'!I31),"",'Control Entry'!I31)</f>
        <v/>
      </c>
      <c r="G27" s="10"/>
      <c r="H27" s="35" t="s">
        <v>29</v>
      </c>
      <c r="K27" s="128" t="s">
        <v>56</v>
      </c>
      <c r="L27" s="129"/>
      <c r="M27" s="62" t="s">
        <v>57</v>
      </c>
      <c r="N27" s="129" t="s">
        <v>49</v>
      </c>
      <c r="O27" s="129"/>
      <c r="P27" s="129" t="s">
        <v>50</v>
      </c>
      <c r="Q27" s="129"/>
      <c r="R27" s="63" t="s">
        <v>51</v>
      </c>
      <c r="S27" s="130" t="s">
        <v>52</v>
      </c>
      <c r="T27" s="130"/>
      <c r="U27" s="130" t="s">
        <v>53</v>
      </c>
      <c r="V27" s="130"/>
    </row>
    <row r="28" spans="1:22" ht="36" customHeight="1" x14ac:dyDescent="0.2">
      <c r="A28" s="48">
        <f>IF(ISBLANK('Control Entry'!D31),"",'Control Entry'!D31)</f>
        <v>601.70000000000005</v>
      </c>
      <c r="B28" s="49">
        <f>'Control Entry'!N31</f>
        <v>44703.036111111112</v>
      </c>
      <c r="C28" s="49">
        <f>'Control Entry'!O31</f>
        <v>44703.916666666664</v>
      </c>
      <c r="D28" s="50" t="str">
        <f>IF(ISBLANK('Control Entry'!E31),"",'Control Entry'!E31)</f>
        <v>MILL BAY</v>
      </c>
      <c r="E28" s="42" t="str">
        <f>IF(ISBLANK('Control Entry'!G31),"",'Control Entry'!G31)</f>
        <v>825 Deloume Rd</v>
      </c>
      <c r="F28" s="42" t="str">
        <f>IF(ISBLANK('Control Entry'!J31),"",'Control Entry'!J31)</f>
        <v/>
      </c>
      <c r="G28" s="10"/>
      <c r="H28" s="35" t="s">
        <v>29</v>
      </c>
    </row>
    <row r="29" spans="1:22" ht="36" customHeight="1" thickBot="1" x14ac:dyDescent="0.25">
      <c r="A29" s="43"/>
      <c r="B29" s="44">
        <f>'Control Entry'!N31</f>
        <v>44703.036111111112</v>
      </c>
      <c r="C29" s="44">
        <f>'Control Entry'!O31</f>
        <v>44703.916666666664</v>
      </c>
      <c r="D29" s="45"/>
      <c r="E29" s="46" t="str">
        <f>IF(ISBLANK('Control Entry'!H31),"",'Control Entry'!H31)</f>
        <v/>
      </c>
      <c r="F29" s="46" t="str">
        <f>IF(ISBLANK('Control Entry'!K31),"",'Control Entry'!K31)</f>
        <v/>
      </c>
      <c r="G29" s="11"/>
      <c r="H29" s="35" t="s">
        <v>29</v>
      </c>
      <c r="M29" s="138" t="s">
        <v>42</v>
      </c>
      <c r="N29" s="138"/>
      <c r="O29" s="138"/>
      <c r="P29" s="138"/>
      <c r="Q29" s="138"/>
      <c r="R29" s="138"/>
      <c r="S29" s="138"/>
      <c r="T29" s="138"/>
      <c r="U29" s="68"/>
    </row>
    <row r="30" spans="1:22"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2"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27" t="s">
        <v>43</v>
      </c>
      <c r="B33" s="127"/>
      <c r="C33" s="127"/>
      <c r="D33" s="127"/>
      <c r="E33" s="127"/>
      <c r="F33" s="127"/>
      <c r="G33" s="127"/>
      <c r="H33" s="51"/>
      <c r="I33" s="51"/>
      <c r="N33" s="139"/>
      <c r="O33" s="139"/>
      <c r="P33" s="139"/>
      <c r="Q33" s="139"/>
      <c r="R33" s="139"/>
      <c r="S33" s="139"/>
      <c r="T33" s="139"/>
      <c r="U33" s="139"/>
      <c r="V33" s="71"/>
    </row>
    <row r="34" spans="1:22" ht="36" customHeight="1" x14ac:dyDescent="0.2">
      <c r="A34"/>
      <c r="O34" s="59"/>
      <c r="P34" s="59"/>
      <c r="Q34" s="59"/>
      <c r="R34" s="58"/>
    </row>
    <row r="35" spans="1:22" ht="36" customHeight="1" x14ac:dyDescent="0.2">
      <c r="A35"/>
      <c r="N35" s="138"/>
      <c r="O35" s="138"/>
      <c r="P35" s="138"/>
      <c r="Q35" s="138"/>
      <c r="R35" s="138"/>
      <c r="S35" s="138"/>
      <c r="T35" s="138"/>
      <c r="U35" s="13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L6:U6"/>
    <mergeCell ref="T8:U8"/>
    <mergeCell ref="A1:G1"/>
    <mergeCell ref="K2:U2"/>
    <mergeCell ref="M4:T4"/>
    <mergeCell ref="N5:O5"/>
    <mergeCell ref="R5:U5"/>
    <mergeCell ref="O3:R3"/>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A4" sqref="A4"/>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6" t="s">
        <v>102</v>
      </c>
      <c r="B1" s="126"/>
      <c r="C1" s="126"/>
      <c r="D1" s="126"/>
      <c r="E1" s="126"/>
      <c r="F1" s="126"/>
      <c r="G1" s="126"/>
      <c r="H1" s="35" t="s">
        <v>29</v>
      </c>
    </row>
    <row r="2" spans="1:22" ht="33.75" customHeight="1" thickBot="1" x14ac:dyDescent="0.25">
      <c r="A2" s="97" t="s">
        <v>30</v>
      </c>
      <c r="B2" s="9" t="s">
        <v>3</v>
      </c>
      <c r="C2" s="9" t="s">
        <v>4</v>
      </c>
      <c r="D2" s="9" t="s">
        <v>25</v>
      </c>
      <c r="E2" s="9" t="s">
        <v>31</v>
      </c>
      <c r="F2" s="9" t="s">
        <v>59</v>
      </c>
      <c r="G2" s="97" t="s">
        <v>32</v>
      </c>
      <c r="H2" s="35" t="s">
        <v>29</v>
      </c>
      <c r="K2" s="124" t="s">
        <v>55</v>
      </c>
      <c r="L2" s="124"/>
      <c r="M2" s="124"/>
      <c r="N2" s="124"/>
      <c r="O2" s="124"/>
      <c r="P2" s="124"/>
      <c r="Q2" s="124"/>
      <c r="R2" s="124"/>
      <c r="S2" s="124"/>
      <c r="T2" s="124"/>
      <c r="U2" s="124"/>
    </row>
    <row r="3" spans="1:22" ht="36" customHeight="1" x14ac:dyDescent="0.45">
      <c r="A3" s="39"/>
      <c r="B3" s="40">
        <f>'Control Entry'!N36</f>
        <v>44702.25</v>
      </c>
      <c r="C3" s="40">
        <f>'Control Entry'!O36</f>
        <v>44702.291666666664</v>
      </c>
      <c r="D3" s="41"/>
      <c r="E3" s="42" t="str">
        <f>IF(ISBLANK('Control Entry'!F36),"",'Control Entry'!F36)</f>
        <v xml:space="preserve">Information </v>
      </c>
      <c r="F3" s="42" t="str">
        <f>IF(ISBLANK('Control Entry'!I36),"",'Control Entry'!I36)</f>
        <v>Station ???</v>
      </c>
      <c r="G3" s="10"/>
      <c r="H3" s="35" t="s">
        <v>29</v>
      </c>
      <c r="K3" s="16"/>
      <c r="O3" s="133" t="s">
        <v>75</v>
      </c>
      <c r="P3" s="133"/>
      <c r="Q3" s="133"/>
      <c r="R3" s="133"/>
      <c r="S3" s="115" t="str">
        <f>IF('Control Entry'!D36=0,"","#3")</f>
        <v/>
      </c>
      <c r="T3" s="116"/>
      <c r="U3" s="52"/>
    </row>
    <row r="4" spans="1:22" ht="36" customHeight="1" x14ac:dyDescent="0.2">
      <c r="A4" s="48">
        <f>IF(ISBLANK('Control Entry'!D36),"",'Control Entry'!D36)</f>
        <v>0</v>
      </c>
      <c r="B4" s="49">
        <f>'Control Entry'!N36</f>
        <v>44702.25</v>
      </c>
      <c r="C4" s="49">
        <f>'Control Entry'!O36</f>
        <v>44702.291666666664</v>
      </c>
      <c r="D4" s="50" t="str">
        <f>IF(ISBLANK('Control Entry'!E36),"",'Control Entry'!E36)</f>
        <v>CUMBERLAND</v>
      </c>
      <c r="E4" s="42" t="str">
        <f>IF(ISBLANK('Control Entry'!G36),"",'Control Entry'!G36)</f>
        <v>4th@Dunsmuir</v>
      </c>
      <c r="F4" s="42" t="str">
        <f>IF(ISBLANK('Control Entry'!J36),"",'Control Entry'!J36)</f>
        <v/>
      </c>
      <c r="G4" s="10"/>
      <c r="H4" s="35" t="s">
        <v>29</v>
      </c>
      <c r="K4" s="16"/>
      <c r="M4" s="128" t="str">
        <f>IF(ISBLANK(brevet),"",brevet&amp;" km Randonnée")</f>
        <v>600 km Randonnée</v>
      </c>
      <c r="N4" s="128"/>
      <c r="O4" s="128"/>
      <c r="P4" s="128"/>
      <c r="Q4" s="128"/>
      <c r="R4" s="128"/>
      <c r="S4" s="128"/>
      <c r="T4" s="128"/>
      <c r="U4" s="53"/>
    </row>
    <row r="5" spans="1:22" ht="36" customHeight="1" thickBot="1" x14ac:dyDescent="0.25">
      <c r="A5" s="43"/>
      <c r="B5" s="44">
        <f>'Control Entry'!N36</f>
        <v>44702.25</v>
      </c>
      <c r="C5" s="44">
        <f>'Control Entry'!O36</f>
        <v>44702.291666666664</v>
      </c>
      <c r="D5" s="45"/>
      <c r="E5" s="46" t="str">
        <f>IF(ISBLANK('Control Entry'!H23),"",'Control Entry'!H23)</f>
        <v/>
      </c>
      <c r="F5" s="46" t="str">
        <f>IF(ISBLANK('Control Entry'!K36),"",'Control Entry'!K36)</f>
        <v/>
      </c>
      <c r="G5" s="11"/>
      <c r="H5" s="35" t="s">
        <v>29</v>
      </c>
      <c r="K5" s="16"/>
      <c r="M5" s="17"/>
      <c r="N5" s="131" t="s">
        <v>47</v>
      </c>
      <c r="O5" s="131"/>
      <c r="P5" s="81">
        <f>IF(ISBLANK(Brevet_Number),"",Brevet_Number)</f>
        <v>5157</v>
      </c>
      <c r="Q5" s="82"/>
      <c r="R5" s="123">
        <f>IF(ISBLANK('Control Entry'!$B5),"",'Control Entry'!$B5)</f>
        <v>44702</v>
      </c>
      <c r="S5" s="123"/>
      <c r="T5" s="123"/>
      <c r="U5" s="123"/>
      <c r="V5" s="54"/>
    </row>
    <row r="6" spans="1:22" ht="36" customHeight="1" x14ac:dyDescent="0.2">
      <c r="A6" s="39"/>
      <c r="B6" s="40">
        <f>'Control Entry'!N37</f>
        <v>44702.371527777781</v>
      </c>
      <c r="C6" s="40">
        <f>'Control Entry'!O37</f>
        <v>44702.525000000001</v>
      </c>
      <c r="D6" s="47"/>
      <c r="E6" s="42" t="str">
        <f>IF(ISBLANK('Control Entry'!F37),"",'Control Entry'!F37)</f>
        <v>Chevron Gas</v>
      </c>
      <c r="F6" s="42" t="str">
        <f>IF(ISBLANK('Control Entry'!I37),"",'Control Entry'!I37)</f>
        <v/>
      </c>
      <c r="G6" s="10"/>
      <c r="H6" s="35" t="s">
        <v>29</v>
      </c>
      <c r="K6" s="16"/>
      <c r="L6" s="136" t="str">
        <f>IF(ISBLANK(Brevet_Description),"",Brevet_Description)</f>
        <v>East Coast Renfrew</v>
      </c>
      <c r="M6" s="136"/>
      <c r="N6" s="136"/>
      <c r="O6" s="136"/>
      <c r="P6" s="136"/>
      <c r="Q6" s="136"/>
      <c r="R6" s="136"/>
      <c r="S6" s="136"/>
      <c r="T6" s="136"/>
      <c r="U6" s="136"/>
    </row>
    <row r="7" spans="1:22" ht="36" customHeight="1" x14ac:dyDescent="0.2">
      <c r="A7" s="48">
        <f>IF(ISBLANK('Control Entry'!D37),"",'Control Entry'!D37)</f>
        <v>98.9</v>
      </c>
      <c r="B7" s="49">
        <f>'Control Entry'!N37</f>
        <v>44702.371527777781</v>
      </c>
      <c r="C7" s="49">
        <f>'Control Entry'!O37</f>
        <v>44702.525000000001</v>
      </c>
      <c r="D7" s="50" t="str">
        <f>IF(ISBLANK('Control Entry'!E37),"",'Control Entry'!E37)</f>
        <v>NANAIMO</v>
      </c>
      <c r="E7" s="42" t="str">
        <f>IF(ISBLANK('Control Entry'!G37),"",'Control Entry'!G37)</f>
        <v>Woodgrove Centre</v>
      </c>
      <c r="F7" s="42" t="str">
        <f>IF(ISBLANK('Control Entry'!J37),"",'Control Entry'!J37)</f>
        <v/>
      </c>
      <c r="G7" s="10"/>
      <c r="H7" s="35" t="s">
        <v>29</v>
      </c>
    </row>
    <row r="8" spans="1:22" ht="36" customHeight="1" thickBot="1" x14ac:dyDescent="0.25">
      <c r="A8" s="43"/>
      <c r="B8" s="44">
        <f>'Control Entry'!N37</f>
        <v>44702.371527777781</v>
      </c>
      <c r="C8" s="44">
        <f>'Control Entry'!O37</f>
        <v>44702.525000000001</v>
      </c>
      <c r="D8" s="45"/>
      <c r="E8" s="46" t="str">
        <f>IF(ISBLANK('Control Entry'!H37),"",'Control Entry'!H37)</f>
        <v/>
      </c>
      <c r="F8" s="46" t="str">
        <f>IF(ISBLANK('Control Entry'!K37),"",'Control Entry'!K37)</f>
        <v/>
      </c>
      <c r="G8" s="11"/>
      <c r="H8" s="35" t="s">
        <v>29</v>
      </c>
      <c r="J8" s="17" t="s">
        <v>34</v>
      </c>
      <c r="L8" s="125"/>
      <c r="M8" s="125"/>
      <c r="N8" s="125"/>
      <c r="O8" s="125"/>
      <c r="P8" s="125"/>
      <c r="Q8" s="125"/>
      <c r="R8" s="36"/>
      <c r="S8" s="55" t="s">
        <v>46</v>
      </c>
      <c r="T8" s="137"/>
      <c r="U8" s="137"/>
    </row>
    <row r="9" spans="1:22" ht="36" customHeight="1" thickBot="1" x14ac:dyDescent="0.3">
      <c r="A9" s="39"/>
      <c r="B9" s="40">
        <f>'Control Entry'!N38</f>
        <v>44702.484027777777</v>
      </c>
      <c r="C9" s="40">
        <f>'Control Entry'!O38</f>
        <v>44702.779861111114</v>
      </c>
      <c r="D9" s="47"/>
      <c r="E9" s="42" t="str">
        <f>IF(ISBLANK('Control Entry'!F38),"",'Control Entry'!F38)</f>
        <v>Tim Hortons</v>
      </c>
      <c r="F9" s="42" t="str">
        <f>IF(ISBLANK('Control Entry'!I38),"",'Control Entry'!I38)</f>
        <v/>
      </c>
      <c r="G9" s="10"/>
      <c r="H9" s="35" t="s">
        <v>29</v>
      </c>
      <c r="J9" s="17" t="s">
        <v>35</v>
      </c>
      <c r="K9" s="17"/>
      <c r="L9" s="65" t="s">
        <v>54</v>
      </c>
      <c r="M9" s="23"/>
      <c r="N9" s="23"/>
      <c r="O9" s="23"/>
      <c r="P9" s="23"/>
      <c r="Q9" s="23"/>
      <c r="R9" s="23"/>
      <c r="S9" s="23"/>
      <c r="T9" s="23"/>
      <c r="U9" s="21"/>
    </row>
    <row r="10" spans="1:22" ht="36" customHeight="1" thickBot="1" x14ac:dyDescent="0.3">
      <c r="A10" s="48">
        <f>IF(ISBLANK('Control Entry'!D38),"",'Control Entry'!D38)</f>
        <v>190.7</v>
      </c>
      <c r="B10" s="49">
        <f>'Control Entry'!N38</f>
        <v>44702.484027777777</v>
      </c>
      <c r="C10" s="49">
        <f>'Control Entry'!O38</f>
        <v>44702.779861111114</v>
      </c>
      <c r="D10" s="50" t="str">
        <f>IF(ISBLANK('Control Entry'!E38),"",'Control Entry'!E38)</f>
        <v>MILL BAY</v>
      </c>
      <c r="E10" s="42" t="str">
        <f>IF(ISBLANK('Control Entry'!G38),"",'Control Entry'!G38)</f>
        <v>825 Deloume Rd</v>
      </c>
      <c r="F10" s="42" t="str">
        <f>IF(ISBLANK('Control Entry'!J38),"",'Control Entry'!J38)</f>
        <v/>
      </c>
      <c r="G10" s="10"/>
      <c r="H10" s="35" t="s">
        <v>29</v>
      </c>
      <c r="J10" s="17"/>
      <c r="K10" s="17"/>
      <c r="L10" s="37"/>
      <c r="M10" s="23"/>
      <c r="N10" s="23"/>
      <c r="O10" s="23"/>
      <c r="P10" s="23"/>
      <c r="Q10" s="23"/>
      <c r="R10" s="23"/>
      <c r="S10" s="23"/>
      <c r="T10" s="23"/>
      <c r="U10" s="21"/>
    </row>
    <row r="11" spans="1:22" ht="36" customHeight="1" thickBot="1" x14ac:dyDescent="0.3">
      <c r="A11" s="43"/>
      <c r="B11" s="44">
        <f>'Control Entry'!N38</f>
        <v>44702.484027777777</v>
      </c>
      <c r="C11" s="44">
        <f>'Control Entry'!O38</f>
        <v>44702.779861111114</v>
      </c>
      <c r="D11" s="45"/>
      <c r="E11" s="46" t="str">
        <f>IF(ISBLANK('Control Entry'!H38),"",'Control Entry'!H38)</f>
        <v/>
      </c>
      <c r="F11" s="46" t="str">
        <f>IF(ISBLANK('Control Entry'!K38),"",'Control Entry'!K38)</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Entry'!N39</f>
        <v>44702.640277777777</v>
      </c>
      <c r="C12" s="40">
        <f>'Control Entry'!O39</f>
        <v>44703.115972222222</v>
      </c>
      <c r="D12" s="47"/>
      <c r="E12" s="42" t="str">
        <f>IF(ISBLANK('Control Entry'!F39),"",'Control Entry'!F39)</f>
        <v>The Renfrew Pub</v>
      </c>
      <c r="F12" s="42" t="str">
        <f>IF(ISBLANK('Control Entry'!I39),"",'Control Entry'!I39)</f>
        <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Entry'!D39),"",'Control Entry'!D39)</f>
        <v>311.7</v>
      </c>
      <c r="B13" s="49">
        <f>'Control Entry'!N39</f>
        <v>44702.640277777777</v>
      </c>
      <c r="C13" s="49">
        <f>'Control Entry'!O39</f>
        <v>44703.115972222222</v>
      </c>
      <c r="D13" s="50" t="str">
        <f>IF(ISBLANK('Control Entry'!E39),"",'Control Entry'!E39)</f>
        <v>PORT RENFREW</v>
      </c>
      <c r="E13" s="42" t="str">
        <f>IF(ISBLANK('Control Entry'!G39),"",'Control Entry'!G39)</f>
        <v>17310 Parkinson Rd</v>
      </c>
      <c r="F13" s="42" t="str">
        <f>IF(ISBLANK('Control Entry'!J39),"",'Control Entry'!J39)</f>
        <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Entry'!N39</f>
        <v>44702.640277777777</v>
      </c>
      <c r="C14" s="44">
        <f>'Control Entry'!O39</f>
        <v>44703.115972222222</v>
      </c>
      <c r="D14" s="45"/>
      <c r="E14" s="46" t="str">
        <f>IF(ISBLANK('Control Entry'!H39),"",'Control Entry'!H39)</f>
        <v>Self sign outside hours</v>
      </c>
      <c r="F14" s="46" t="str">
        <f>IF(ISBLANK('Control Entry'!K39),"",'Control Entry'!K39)</f>
        <v/>
      </c>
      <c r="G14" s="11"/>
      <c r="H14" s="35" t="s">
        <v>29</v>
      </c>
    </row>
    <row r="15" spans="1:22" ht="36" customHeight="1" x14ac:dyDescent="0.2">
      <c r="A15" s="39"/>
      <c r="B15" s="40">
        <f>'Control Entry'!N40</f>
        <v>44702.756249999999</v>
      </c>
      <c r="C15" s="40">
        <f>'Control Entry'!O40</f>
        <v>44703.361805555556</v>
      </c>
      <c r="D15" s="47"/>
      <c r="E15" s="42" t="str">
        <f>IF(ISBLANK('Control Entry'!F40),"",'Control Entry'!F40)</f>
        <v>Tim Hortons</v>
      </c>
      <c r="F15" s="42" t="str">
        <f>IF(ISBLANK('Control Entry'!I40),"",'Control Entry'!I40)</f>
        <v/>
      </c>
      <c r="G15" s="10"/>
      <c r="H15" s="35" t="s">
        <v>29</v>
      </c>
      <c r="J15" s="17"/>
      <c r="L15" s="135" t="s">
        <v>58</v>
      </c>
      <c r="M15" s="135"/>
      <c r="N15" s="135"/>
      <c r="O15" s="135"/>
      <c r="P15" s="135"/>
      <c r="Q15" s="135"/>
      <c r="R15" s="135"/>
      <c r="S15" s="135"/>
      <c r="T15" s="135"/>
      <c r="U15" s="135"/>
    </row>
    <row r="16" spans="1:22" ht="36" customHeight="1" thickBot="1" x14ac:dyDescent="0.25">
      <c r="A16" s="48">
        <f>IF(ISBLANK('Control Entry'!D40),"",'Control Entry'!D40)</f>
        <v>400.3</v>
      </c>
      <c r="B16" s="49">
        <f>'Control Entry'!N40</f>
        <v>44702.756249999999</v>
      </c>
      <c r="C16" s="49">
        <f>'Control Entry'!O40</f>
        <v>44703.361805555556</v>
      </c>
      <c r="D16" s="50" t="str">
        <f>IF(ISBLANK('Control Entry'!E40),"",'Control Entry'!E40)</f>
        <v>DUNCAN</v>
      </c>
      <c r="E16" s="42" t="str">
        <f>IF(ISBLANK('Control Entry'!G40),"",'Control Entry'!G40)</f>
        <v>3320 Cowichan Lake Rd</v>
      </c>
      <c r="F16" s="42" t="str">
        <f>IF(ISBLANK('Control Entry'!J40),"",'Control Entry'!J40)</f>
        <v/>
      </c>
      <c r="G16" s="10"/>
      <c r="H16" s="35" t="s">
        <v>29</v>
      </c>
      <c r="L16" s="74"/>
      <c r="M16" s="74"/>
      <c r="N16" s="74"/>
      <c r="O16" s="74"/>
      <c r="P16" s="74"/>
      <c r="Q16" s="75"/>
      <c r="R16" s="75"/>
      <c r="S16" s="75"/>
      <c r="T16" s="75"/>
      <c r="U16" s="75"/>
    </row>
    <row r="17" spans="1:22" ht="36" customHeight="1" thickBot="1" x14ac:dyDescent="0.25">
      <c r="A17" s="43"/>
      <c r="B17" s="44">
        <f>'Control Entry'!N40</f>
        <v>44702.756249999999</v>
      </c>
      <c r="C17" s="44">
        <f>'Control Entry'!O40</f>
        <v>44703.361805555556</v>
      </c>
      <c r="D17" s="45"/>
      <c r="E17" s="46" t="str">
        <f>IF(ISBLANK('Control Entry'!H40),"",'Control Entry'!H40)</f>
        <v>Self sign outside hours</v>
      </c>
      <c r="F17" s="46" t="str">
        <f>IF(ISBLANK('Control Entry'!K40),"",'Control Entry'!K40)</f>
        <v/>
      </c>
      <c r="G17" s="11"/>
      <c r="H17" s="35" t="s">
        <v>29</v>
      </c>
    </row>
    <row r="18" spans="1:22" ht="36" customHeight="1" x14ac:dyDescent="0.2">
      <c r="A18" s="39"/>
      <c r="B18" s="40">
        <f>'Control Entry'!N41</f>
        <v>44702.827777777777</v>
      </c>
      <c r="C18" s="40">
        <f>'Control Entry'!O41</f>
        <v>44703.506249999999</v>
      </c>
      <c r="D18" s="47"/>
      <c r="E18" s="42" t="str">
        <f>IF(ISBLANK('Control Entry'!F41),"",'Control Entry'!F41)</f>
        <v>Your choice</v>
      </c>
      <c r="F18" s="42" t="str">
        <f>IF(ISBLANK('Control Entry'!I41),"",'Control Entry'!I41)</f>
        <v/>
      </c>
      <c r="G18" s="10"/>
      <c r="H18" s="35" t="s">
        <v>29</v>
      </c>
    </row>
    <row r="19" spans="1:22" ht="36" customHeight="1" x14ac:dyDescent="0.2">
      <c r="A19" s="48">
        <f>IF(ISBLANK('Control Entry'!D41),"",'Control Entry'!D41)</f>
        <v>452.2</v>
      </c>
      <c r="B19" s="49">
        <f>'Control Entry'!N41</f>
        <v>44702.827777777777</v>
      </c>
      <c r="C19" s="49">
        <f>'Control Entry'!O41</f>
        <v>44703.506249999999</v>
      </c>
      <c r="D19" s="50" t="str">
        <f>IF(ISBLANK('Control Entry'!E41),"",'Control Entry'!E41)</f>
        <v>CHASE RIVER</v>
      </c>
      <c r="E19" s="42" t="str">
        <f>IF(ISBLANK('Control Entry'!G41),"",'Control Entry'!G41)</f>
        <v>Tim Hortons or Petrocan or ?</v>
      </c>
      <c r="F19" s="42" t="str">
        <f>IF(ISBLANK('Control Entry'!J41),"",'Control Entry'!J411)</f>
        <v/>
      </c>
      <c r="G19" s="10"/>
      <c r="H19" s="35" t="s">
        <v>29</v>
      </c>
    </row>
    <row r="20" spans="1:22" ht="36" customHeight="1" thickBot="1" x14ac:dyDescent="0.25">
      <c r="A20" s="43"/>
      <c r="B20" s="44">
        <f>'Control Entry'!N41</f>
        <v>44702.827777777777</v>
      </c>
      <c r="C20" s="44">
        <f>'Control Entry'!O41</f>
        <v>44703.506249999999</v>
      </c>
      <c r="D20" s="45"/>
      <c r="E20" s="46" t="str">
        <f>IF(ISBLANK('Control Entry'!H41),"",'Control Entry'!H41)</f>
        <v/>
      </c>
      <c r="F20" s="46" t="str">
        <f>IF(ISBLANK('Control Entry'!K41),"",'Control Entry'!K41)</f>
        <v/>
      </c>
      <c r="G20" s="11"/>
      <c r="H20" s="35" t="s">
        <v>29</v>
      </c>
      <c r="J20" s="73" t="s">
        <v>44</v>
      </c>
      <c r="K20" s="73"/>
      <c r="L20" s="76"/>
      <c r="M20" s="76"/>
      <c r="N20" s="76"/>
      <c r="P20" s="24" t="s">
        <v>0</v>
      </c>
      <c r="Q20" s="24"/>
      <c r="S20" s="134">
        <f>'Control Entry'!B8</f>
        <v>0.25</v>
      </c>
      <c r="T20" s="134"/>
      <c r="U20" s="134"/>
    </row>
    <row r="21" spans="1:22" ht="36" customHeight="1" x14ac:dyDescent="0.2">
      <c r="A21" s="39"/>
      <c r="B21" s="40">
        <f>'Control Entry'!N42</f>
        <v>44702.962500000001</v>
      </c>
      <c r="C21" s="40">
        <f>'Control Entry'!O42</f>
        <v>44703.775000000001</v>
      </c>
      <c r="D21" s="47"/>
      <c r="E21" s="42" t="str">
        <f>IF(ISBLANK('Control Entry'!F42),"",'Control Entry'!F42)</f>
        <v>Petrocan</v>
      </c>
      <c r="F21" s="42" t="str">
        <f>IF(ISBLANK('Control Entry'!I42),"",'Control Entry'!I42)</f>
        <v/>
      </c>
      <c r="G21" s="10"/>
      <c r="H21" s="35" t="s">
        <v>29</v>
      </c>
      <c r="J21" s="73"/>
      <c r="K21" s="73"/>
      <c r="L21" s="71"/>
      <c r="M21" s="71"/>
      <c r="N21" s="71"/>
      <c r="P21" s="24"/>
      <c r="Q21" s="24"/>
      <c r="R21" s="29"/>
      <c r="S21" s="77"/>
      <c r="T21" s="77"/>
      <c r="U21" s="77"/>
      <c r="V21" s="36"/>
    </row>
    <row r="22" spans="1:22" ht="36" customHeight="1" thickBot="1" x14ac:dyDescent="0.25">
      <c r="A22" s="48">
        <f>IF(ISBLANK('Control Entry'!D42),"",'Control Entry'!D42)</f>
        <v>548.9</v>
      </c>
      <c r="B22" s="49">
        <f>'Control Entry'!N42</f>
        <v>44702.962500000001</v>
      </c>
      <c r="C22" s="49">
        <f>'Control Entry'!O42</f>
        <v>44703.775000000001</v>
      </c>
      <c r="D22" s="50" t="str">
        <f>IF(ISBLANK('Control Entry'!E42),"",'Control Entry'!E42)</f>
        <v>BUCKLEY BAY</v>
      </c>
      <c r="E22" s="42" t="str">
        <f>IF(ISBLANK('Control Entry'!G42),"",'Control Entry'!G42)</f>
        <v>6856 Island Hwy S</v>
      </c>
      <c r="F22" s="42" t="str">
        <f>IF(ISBLANK('Control Entry'!J42),"",'Control Entry'!J42)</f>
        <v/>
      </c>
      <c r="G22" s="10"/>
      <c r="H22" s="35" t="s">
        <v>29</v>
      </c>
      <c r="J22" s="111" t="s">
        <v>45</v>
      </c>
      <c r="K22" s="111"/>
      <c r="L22" s="76"/>
      <c r="M22" s="76"/>
      <c r="N22" s="76"/>
      <c r="O22" s="25"/>
      <c r="P22" s="24" t="s">
        <v>1</v>
      </c>
      <c r="Q22" s="24"/>
      <c r="R22" s="25"/>
      <c r="S22" s="78"/>
      <c r="T22" s="78"/>
      <c r="U22" s="78"/>
    </row>
    <row r="23" spans="1:22" ht="36" customHeight="1" thickBot="1" x14ac:dyDescent="0.25">
      <c r="A23" s="43"/>
      <c r="B23" s="44">
        <f>'Control Entry'!N42</f>
        <v>44702.962500000001</v>
      </c>
      <c r="C23" s="44">
        <f>'Control Entry'!O42</f>
        <v>44703.775000000001</v>
      </c>
      <c r="D23" s="45"/>
      <c r="E23" s="46" t="str">
        <f>IF(ISBLANK('Control Entry'!H42),"",'Control Entry'!H42)</f>
        <v>Self sign outside hours</v>
      </c>
      <c r="F23" s="46" t="str">
        <f>IF(ISBLANK('Control Entry'!K42),"",'Control Entry'!K42)</f>
        <v/>
      </c>
      <c r="G23" s="11"/>
      <c r="H23" s="35" t="s">
        <v>29</v>
      </c>
      <c r="J23" s="111"/>
      <c r="K23" s="111"/>
      <c r="L23" s="71"/>
      <c r="M23" s="71"/>
      <c r="N23" s="71"/>
      <c r="O23" s="29"/>
      <c r="P23" s="70"/>
      <c r="Q23" s="70"/>
      <c r="R23" s="29"/>
      <c r="S23" s="29"/>
      <c r="T23" s="29"/>
      <c r="U23" s="29"/>
      <c r="V23" s="36"/>
    </row>
    <row r="24" spans="1:22" ht="36" customHeight="1" thickBot="1" x14ac:dyDescent="0.25">
      <c r="A24" s="39"/>
      <c r="B24" s="40">
        <f>'Control Entry'!N43</f>
        <v>44703.009722222225</v>
      </c>
      <c r="C24" s="40">
        <f>'Control Entry'!O43</f>
        <v>44703.870138888888</v>
      </c>
      <c r="D24" s="47"/>
      <c r="E24" s="42" t="str">
        <f>IF(ISBLANK('Control Entry'!F43),"",'Control Entry'!F43)</f>
        <v>Tim Hortons</v>
      </c>
      <c r="F24" s="42" t="str">
        <f>IF(ISBLANK('Control Entry'!I30),"",'Control Entry'!I30)</f>
        <v/>
      </c>
      <c r="G24" s="10"/>
      <c r="H24" s="35" t="s">
        <v>29</v>
      </c>
      <c r="J24" s="18"/>
      <c r="K24" s="18"/>
      <c r="L24" s="18"/>
      <c r="M24" s="26"/>
      <c r="N24" s="26"/>
      <c r="O24" s="25"/>
      <c r="P24" s="24" t="s">
        <v>2</v>
      </c>
      <c r="Q24" s="24"/>
      <c r="R24" s="25"/>
      <c r="S24" s="26"/>
      <c r="T24" s="26"/>
      <c r="U24" s="26"/>
    </row>
    <row r="25" spans="1:22" ht="36" customHeight="1" x14ac:dyDescent="0.2">
      <c r="A25" s="48">
        <f>IF(ISBLANK('Control Entry'!D43),"",'Control Entry'!D43)</f>
        <v>583.20000000000005</v>
      </c>
      <c r="B25" s="49">
        <f>'Control Entry'!N43</f>
        <v>44703.009722222225</v>
      </c>
      <c r="C25" s="49">
        <f>'Control Entry'!O43</f>
        <v>44703.870138888888</v>
      </c>
      <c r="D25" s="50" t="str">
        <f>IF(ISBLANK('Control Entry'!E43),"",'Control Entry'!E43)</f>
        <v>COMOX</v>
      </c>
      <c r="E25" s="42" t="str">
        <f>IF(ISBLANK('Control Entry'!G43),"",'Control Entry'!G43)</f>
        <v>394 Lerwick Ave</v>
      </c>
      <c r="F25" s="42" t="str">
        <f>IF(ISBLANK('Control Entry'!J30),"",'Control Entry'!J30)</f>
        <v/>
      </c>
      <c r="G25" s="10"/>
      <c r="H25" s="35" t="s">
        <v>29</v>
      </c>
      <c r="J25" s="132" t="s">
        <v>17</v>
      </c>
      <c r="K25" s="132"/>
      <c r="L25" s="132"/>
      <c r="M25" s="132"/>
      <c r="N25" s="132"/>
      <c r="O25" s="63"/>
      <c r="P25" s="129"/>
      <c r="Q25" s="129"/>
      <c r="R25" s="63"/>
      <c r="S25" s="130"/>
      <c r="T25" s="130"/>
      <c r="U25" s="130"/>
      <c r="V25" s="130"/>
    </row>
    <row r="26" spans="1:22" ht="36" customHeight="1" thickBot="1" x14ac:dyDescent="0.25">
      <c r="A26" s="43"/>
      <c r="B26" s="44">
        <f>'Control Entry'!N43</f>
        <v>44703.009722222225</v>
      </c>
      <c r="C26" s="44">
        <f>'Control Entry'!O43</f>
        <v>44703.870138888888</v>
      </c>
      <c r="D26" s="45"/>
      <c r="E26" s="46" t="str">
        <f>IF(ISBLANK('Control Entry'!H43),"",'Control Entry'!H43)</f>
        <v/>
      </c>
      <c r="F26" s="46" t="str">
        <f>IF(ISBLANK('Control Entry'!K30),"",'Control Entry'!K30)</f>
        <v/>
      </c>
      <c r="G26" s="11"/>
      <c r="H26" s="35" t="s">
        <v>29</v>
      </c>
    </row>
    <row r="27" spans="1:22" ht="36" customHeight="1" x14ac:dyDescent="0.2">
      <c r="A27" s="39"/>
      <c r="B27" s="40">
        <f>'Control Entry'!N44</f>
        <v>44703.036111111112</v>
      </c>
      <c r="C27" s="40">
        <f>'Control Entry'!O44</f>
        <v>44703.916666666664</v>
      </c>
      <c r="D27" s="47"/>
      <c r="E27" s="42" t="str">
        <f>IF(ISBLANK('Control Entry'!F44),"",'Control Entry'!F44)</f>
        <v/>
      </c>
      <c r="F27" s="42" t="str">
        <f>IF(ISBLANK('Control Entry'!I44),"",'Control Entry'!I44)</f>
        <v/>
      </c>
      <c r="G27" s="10"/>
      <c r="H27" s="35" t="s">
        <v>29</v>
      </c>
      <c r="K27" s="128" t="s">
        <v>56</v>
      </c>
      <c r="L27" s="129"/>
      <c r="M27" s="62" t="s">
        <v>57</v>
      </c>
      <c r="N27" s="129" t="s">
        <v>49</v>
      </c>
      <c r="O27" s="129"/>
      <c r="P27" s="129" t="s">
        <v>50</v>
      </c>
      <c r="Q27" s="129"/>
      <c r="R27" s="63" t="s">
        <v>51</v>
      </c>
      <c r="S27" s="130" t="s">
        <v>52</v>
      </c>
      <c r="T27" s="130"/>
      <c r="U27" s="130" t="s">
        <v>53</v>
      </c>
      <c r="V27" s="130"/>
    </row>
    <row r="28" spans="1:22" ht="36" customHeight="1" x14ac:dyDescent="0.2">
      <c r="A28" s="48">
        <f>IF(ISBLANK('Control Entry'!D44),"",'Control Entry'!D44)</f>
        <v>601.70000000000005</v>
      </c>
      <c r="B28" s="49">
        <f>'Control Entry'!N44</f>
        <v>44703.036111111112</v>
      </c>
      <c r="C28" s="49">
        <f>'Control Entry'!O44</f>
        <v>44703.916666666664</v>
      </c>
      <c r="D28" s="50" t="str">
        <f>IF(ISBLANK('Control Entry'!E44),"",'Control Entry'!E44)</f>
        <v>CUMBERLAND</v>
      </c>
      <c r="E28" s="42" t="str">
        <f>IF(ISBLANK('Control Entry'!G44),"",'Control Entry'!G44)</f>
        <v>4th@Dunsmuir</v>
      </c>
      <c r="F28" s="42" t="str">
        <f>IF(ISBLANK('Control Entry'!J44),"",'Control Entry'!J44)</f>
        <v/>
      </c>
      <c r="G28" s="10"/>
      <c r="H28" s="35" t="s">
        <v>29</v>
      </c>
    </row>
    <row r="29" spans="1:22" ht="36" customHeight="1" thickBot="1" x14ac:dyDescent="0.25">
      <c r="A29" s="43"/>
      <c r="B29" s="44">
        <f>'Control Entry'!N44</f>
        <v>44703.036111111112</v>
      </c>
      <c r="C29" s="44">
        <f>'Control Entry'!O44</f>
        <v>44703.916666666664</v>
      </c>
      <c r="D29" s="45"/>
      <c r="E29" s="46" t="str">
        <f>IF(ISBLANK('Control Entry'!H44),"",'Control Entry'!H44)</f>
        <v>Self sign</v>
      </c>
      <c r="F29" s="46" t="str">
        <f>IF(ISBLANK('Control Entry'!K44),"",'Control Entry'!K44)</f>
        <v/>
      </c>
      <c r="G29" s="11"/>
      <c r="H29" s="35" t="s">
        <v>29</v>
      </c>
      <c r="M29" s="138" t="s">
        <v>42</v>
      </c>
      <c r="N29" s="138"/>
      <c r="O29" s="138"/>
      <c r="P29" s="138"/>
      <c r="Q29" s="138"/>
      <c r="R29" s="138"/>
      <c r="S29" s="138"/>
      <c r="T29" s="138"/>
      <c r="U29" s="68"/>
    </row>
    <row r="30" spans="1:22" ht="36" customHeight="1" x14ac:dyDescent="0.2">
      <c r="A30" s="39"/>
      <c r="B30" s="40" t="str">
        <f>'Control Entry'!N45</f>
        <v/>
      </c>
      <c r="C30" s="40" t="str">
        <f>'Control Entry'!O45</f>
        <v/>
      </c>
      <c r="D30" s="47"/>
      <c r="E30" s="42" t="str">
        <f>IF(ISBLANK('Control Entry'!F45),"",'Control Entry'!F45)</f>
        <v/>
      </c>
      <c r="F30" s="42" t="str">
        <f>IF(ISBLANK('Control Entry'!I45),"",'Control Entry'!I45)</f>
        <v/>
      </c>
      <c r="G30" s="10"/>
      <c r="H30" s="35" t="s">
        <v>29</v>
      </c>
      <c r="M30" s="19"/>
      <c r="N30" s="27"/>
      <c r="O30" s="27"/>
      <c r="P30" s="28"/>
      <c r="Q30" s="27"/>
      <c r="R30" s="27"/>
      <c r="S30" s="27"/>
      <c r="T30" s="28"/>
      <c r="U30" s="29"/>
    </row>
    <row r="31" spans="1:22" ht="36" customHeight="1" x14ac:dyDescent="0.2">
      <c r="A31" s="48" t="str">
        <f>IF(ISBLANK('Control Entry'!D45),"",'Control Entry'!D45)</f>
        <v/>
      </c>
      <c r="B31" s="49" t="str">
        <f>'Control Entry'!N45</f>
        <v/>
      </c>
      <c r="C31" s="49" t="str">
        <f>'Control Entry'!O45</f>
        <v/>
      </c>
      <c r="D31" s="50" t="str">
        <f>IF(ISBLANK('Control Entry'!E45),"",'Control Entry'!E45)</f>
        <v/>
      </c>
      <c r="E31" s="42" t="str">
        <f>IF(ISBLANK('Control Entry'!G45),"",'Control Entry'!G45)</f>
        <v/>
      </c>
      <c r="F31" s="42" t="str">
        <f>IF(ISBLANK('Control Entry'!J45),"",'Control Entry'!J45)</f>
        <v/>
      </c>
      <c r="G31" s="10"/>
      <c r="H31" s="35" t="s">
        <v>29</v>
      </c>
      <c r="M31" s="20"/>
      <c r="N31" s="29"/>
      <c r="O31" s="29"/>
      <c r="P31" s="30"/>
      <c r="Q31" s="29"/>
      <c r="R31" s="29"/>
      <c r="S31" s="29"/>
      <c r="T31" s="30"/>
      <c r="U31" s="29"/>
    </row>
    <row r="32" spans="1:22" ht="36" customHeight="1" thickBot="1" x14ac:dyDescent="0.25">
      <c r="A32" s="43"/>
      <c r="B32" s="44" t="str">
        <f>'Control Entry'!N45</f>
        <v/>
      </c>
      <c r="C32" s="44" t="str">
        <f>'Control Entry'!O45</f>
        <v/>
      </c>
      <c r="D32" s="45"/>
      <c r="E32" s="46" t="str">
        <f>IF(ISBLANK('Control Entry'!H45),"",'Control Entry'!H45)</f>
        <v/>
      </c>
      <c r="F32" s="46" t="str">
        <f>IF(ISBLANK('Control Entry'!K45),"",'Control Entry'!K45)</f>
        <v/>
      </c>
      <c r="G32" s="11"/>
      <c r="H32" s="35" t="s">
        <v>29</v>
      </c>
      <c r="M32" s="66"/>
      <c r="N32" s="26"/>
      <c r="O32" s="26"/>
      <c r="P32" s="31"/>
      <c r="Q32" s="26"/>
      <c r="R32" s="26"/>
      <c r="S32" s="26"/>
      <c r="T32" s="31"/>
      <c r="U32" s="29"/>
    </row>
    <row r="33" spans="1:22" ht="36" customHeight="1" x14ac:dyDescent="0.2">
      <c r="A33" s="127" t="s">
        <v>43</v>
      </c>
      <c r="B33" s="127"/>
      <c r="C33" s="127"/>
      <c r="D33" s="127"/>
      <c r="E33" s="127"/>
      <c r="F33" s="127"/>
      <c r="G33" s="127"/>
      <c r="H33" s="51"/>
      <c r="I33" s="51"/>
      <c r="N33" s="139"/>
      <c r="O33" s="139"/>
      <c r="P33" s="139"/>
      <c r="Q33" s="139"/>
      <c r="R33" s="139"/>
      <c r="S33" s="139"/>
      <c r="T33" s="139"/>
      <c r="U33" s="139"/>
      <c r="V33" s="71"/>
    </row>
    <row r="34" spans="1:22" ht="36" customHeight="1" x14ac:dyDescent="0.2">
      <c r="A34"/>
      <c r="O34" s="59"/>
      <c r="P34" s="59"/>
      <c r="Q34" s="59"/>
      <c r="R34" s="58"/>
    </row>
    <row r="35" spans="1:22" ht="36" customHeight="1" x14ac:dyDescent="0.2">
      <c r="A35"/>
      <c r="N35" s="138"/>
      <c r="O35" s="138"/>
      <c r="P35" s="138"/>
      <c r="Q35" s="138"/>
      <c r="R35" s="138"/>
      <c r="S35" s="138"/>
      <c r="T35" s="138"/>
      <c r="U35" s="138"/>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P25:Q25"/>
    <mergeCell ref="S25:T25"/>
    <mergeCell ref="U25:V25"/>
    <mergeCell ref="A1:G1"/>
    <mergeCell ref="K2:U2"/>
    <mergeCell ref="M4:T4"/>
    <mergeCell ref="N5:O5"/>
    <mergeCell ref="R5:U5"/>
    <mergeCell ref="A33:G33"/>
    <mergeCell ref="N33:U33"/>
    <mergeCell ref="N35:U35"/>
    <mergeCell ref="O3:R3"/>
    <mergeCell ref="K27:L27"/>
    <mergeCell ref="N27:O27"/>
    <mergeCell ref="P27:Q27"/>
    <mergeCell ref="S27:T27"/>
    <mergeCell ref="U27:V27"/>
    <mergeCell ref="M29:T29"/>
    <mergeCell ref="L6:U6"/>
    <mergeCell ref="L8:Q8"/>
    <mergeCell ref="T8:U8"/>
    <mergeCell ref="L15:U15"/>
    <mergeCell ref="S20:U20"/>
    <mergeCell ref="J25:N25"/>
  </mergeCells>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Control Entry</vt:lpstr>
      <vt:lpstr>Control Card Nanaimo</vt:lpstr>
      <vt:lpstr>Control Card Mill Bay</vt:lpstr>
      <vt:lpstr>Control Card Cumberland</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Cumberland'!Print_Titles</vt:lpstr>
      <vt:lpstr>'Control Card Mill Bay'!Print_Titles</vt:lpstr>
      <vt:lpstr>'Control Card Nanaimo'!Print_Titles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2022-03-22T19:37:47Z</cp:lastPrinted>
  <dcterms:created xsi:type="dcterms:W3CDTF">1997-11-12T04:43:39Z</dcterms:created>
  <dcterms:modified xsi:type="dcterms:W3CDTF">2022-04-20T22:43:19Z</dcterms:modified>
</cp:coreProperties>
</file>