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hegidney/Documents/Cycling/Pathways to Paradise 200/"/>
    </mc:Choice>
  </mc:AlternateContent>
  <xr:revisionPtr revIDLastSave="0" documentId="13_ncr:1_{1996986E-3F69-7B47-9ECA-F27C2509486A}" xr6:coauthVersionLast="36" xr6:coauthVersionMax="36" xr10:uidLastSave="{00000000-0000-0000-0000-000000000000}"/>
  <bookViews>
    <workbookView xWindow="0" yWindow="500" windowWidth="28800" windowHeight="15420" tabRatio="509" xr2:uid="{00000000-000D-0000-FFFF-FFFF00000000}"/>
  </bookViews>
  <sheets>
    <sheet name="Control Entry" sheetId="1" r:id="rId1"/>
    <sheet name="Control Card #1" sheetId="2" r:id="rId2"/>
  </sheets>
  <definedNames>
    <definedName name="Address_1">#REF!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'Control Entry'!#REF!</definedName>
    <definedName name="Control_12">'Control Entry'!#REF!</definedName>
    <definedName name="Control_13">'Control Entry'!#REF!</definedName>
    <definedName name="Control_14">'Control Entry'!#REF!</definedName>
    <definedName name="Control_15">'Control Entry'!#REF!</definedName>
    <definedName name="Control_16">'Control Entry'!#REF!</definedName>
    <definedName name="Control_17">'Control Entry'!#REF!</definedName>
    <definedName name="Control_18">'Control Entry'!#REF!</definedName>
    <definedName name="Control_19">'Control Entry'!#REF!</definedName>
    <definedName name="Control_2">'Control Entry'!$D$11:$O$11</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#REF!</definedName>
    <definedName name="Distance">'Control Entry'!$D$10:$D$19</definedName>
    <definedName name="email">#REF!</definedName>
    <definedName name="Establishment_1">'Control Entry'!$F$10:$F$19</definedName>
    <definedName name="Establishment_2">'Control Entry'!$G$10:$G$19</definedName>
    <definedName name="Establishment_3">'Control Entry'!$H$10:$H$19</definedName>
    <definedName name="Fax">#REF!</definedName>
    <definedName name="First_Name">#REF!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#REF!</definedName>
    <definedName name="_xlnm.Print_Area" localSheetId="1">'Control Card #1'!$A$1:$V$33</definedName>
    <definedName name="_xlnm.Print_Titles" localSheetId="1">'Control Card #1'!$1:$2</definedName>
    <definedName name="Province_State">#REF!</definedName>
    <definedName name="Start_date">'Control Entry'!$B$7</definedName>
    <definedName name="Start_time">'Control Entry'!$B$8</definedName>
    <definedName name="surname">#REF!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12" i="2" l="1"/>
  <c r="E13" i="2" l="1"/>
  <c r="F19" i="2"/>
  <c r="F15" i="2"/>
  <c r="F11" i="2"/>
  <c r="F10" i="2"/>
  <c r="E14" i="2" l="1"/>
  <c r="F27" i="2"/>
  <c r="E22" i="2"/>
  <c r="M23" i="1"/>
  <c r="F5" i="2"/>
  <c r="S3" i="2"/>
  <c r="F32" i="2"/>
  <c r="F31" i="2"/>
  <c r="F30" i="2"/>
  <c r="F29" i="2"/>
  <c r="F28" i="2"/>
  <c r="F26" i="2"/>
  <c r="F25" i="2"/>
  <c r="F24" i="2"/>
  <c r="F23" i="2"/>
  <c r="F22" i="2"/>
  <c r="F21" i="2"/>
  <c r="F20" i="2"/>
  <c r="F18" i="2"/>
  <c r="F17" i="2"/>
  <c r="F16" i="2"/>
  <c r="F14" i="2"/>
  <c r="F13" i="2"/>
  <c r="F9" i="2"/>
  <c r="F8" i="2"/>
  <c r="F7" i="2"/>
  <c r="F4" i="2"/>
  <c r="F3" i="2"/>
  <c r="L10" i="1"/>
  <c r="N10" i="1" s="1"/>
  <c r="C1" i="1"/>
  <c r="M12" i="1" s="1"/>
  <c r="L24" i="1"/>
  <c r="M24" i="1"/>
  <c r="L25" i="1"/>
  <c r="M25" i="1"/>
  <c r="L26" i="1"/>
  <c r="M26" i="1"/>
  <c r="L27" i="1"/>
  <c r="M27" i="1"/>
  <c r="L28" i="1"/>
  <c r="M28" i="1"/>
  <c r="L29" i="1"/>
  <c r="M29" i="1"/>
  <c r="L30" i="1"/>
  <c r="M30" i="1"/>
  <c r="L31" i="1"/>
  <c r="M31" i="1"/>
  <c r="L32" i="1"/>
  <c r="M32" i="1"/>
  <c r="L23" i="1"/>
  <c r="M19" i="1"/>
  <c r="L19" i="1"/>
  <c r="M18" i="1"/>
  <c r="L18" i="1"/>
  <c r="M17" i="1"/>
  <c r="L17" i="1"/>
  <c r="L16" i="1"/>
  <c r="L15" i="1"/>
  <c r="L14" i="1"/>
  <c r="L13" i="1"/>
  <c r="L12" i="1"/>
  <c r="M11" i="1"/>
  <c r="L11" i="1"/>
  <c r="L6" i="2"/>
  <c r="S20" i="2"/>
  <c r="R5" i="2"/>
  <c r="P5" i="2"/>
  <c r="A7" i="2"/>
  <c r="E32" i="2"/>
  <c r="E31" i="2"/>
  <c r="E30" i="2"/>
  <c r="E29" i="2"/>
  <c r="E28" i="2"/>
  <c r="E27" i="2"/>
  <c r="E26" i="2"/>
  <c r="E25" i="2"/>
  <c r="E24" i="2"/>
  <c r="E21" i="2"/>
  <c r="E20" i="2"/>
  <c r="E19" i="2"/>
  <c r="E18" i="2"/>
  <c r="E17" i="2"/>
  <c r="E16" i="2"/>
  <c r="E15"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23" i="1"/>
  <c r="N31" i="1"/>
  <c r="N29" i="1"/>
  <c r="N27" i="1"/>
  <c r="N25" i="1"/>
  <c r="O32" i="1"/>
  <c r="O30" i="1"/>
  <c r="O28" i="1"/>
  <c r="O26" i="1"/>
  <c r="O24" i="1"/>
  <c r="N32" i="1"/>
  <c r="N28" i="1"/>
  <c r="N24" i="1"/>
  <c r="N26" i="1"/>
  <c r="N23" i="1"/>
  <c r="O31" i="1"/>
  <c r="O29" i="1"/>
  <c r="O27" i="1"/>
  <c r="O25" i="1"/>
  <c r="N30" i="1"/>
  <c r="N19" i="1"/>
  <c r="B32" i="2" s="1"/>
  <c r="O19" i="1"/>
  <c r="C32" i="2" s="1"/>
  <c r="N18" i="1"/>
  <c r="B27" i="2" s="1"/>
  <c r="O18" i="1"/>
  <c r="C29" i="2" s="1"/>
  <c r="N17" i="1"/>
  <c r="B24" i="2" s="1"/>
  <c r="O17" i="1"/>
  <c r="C26" i="2" s="1"/>
  <c r="M14" i="1" l="1"/>
  <c r="M4" i="2"/>
  <c r="M13" i="1"/>
  <c r="O13" i="1" s="1"/>
  <c r="C14" i="2" s="1"/>
  <c r="B2" i="1"/>
  <c r="M16" i="1" s="1"/>
  <c r="B26" i="2"/>
  <c r="M10" i="1"/>
  <c r="O10" i="1" s="1"/>
  <c r="C5" i="2" s="1"/>
  <c r="N12" i="1"/>
  <c r="B10" i="2" s="1"/>
  <c r="O11" i="1"/>
  <c r="C7" i="2" s="1"/>
  <c r="B5" i="2"/>
  <c r="O16" i="1"/>
  <c r="C21" i="2" s="1"/>
  <c r="N15" i="1"/>
  <c r="B20" i="2" s="1"/>
  <c r="B4" i="2"/>
  <c r="N16" i="1"/>
  <c r="B22" i="2" s="1"/>
  <c r="B30" i="2"/>
  <c r="C24" i="2"/>
  <c r="O14" i="1"/>
  <c r="C15" i="2" s="1"/>
  <c r="C25" i="2"/>
  <c r="B3" i="2"/>
  <c r="N14" i="1"/>
  <c r="B16" i="2" s="1"/>
  <c r="N13" i="1"/>
  <c r="C31" i="2"/>
  <c r="N11" i="1"/>
  <c r="B7" i="2" s="1"/>
  <c r="C28" i="2"/>
  <c r="B31" i="2"/>
  <c r="C3" i="2"/>
  <c r="B25" i="2"/>
  <c r="O12" i="1"/>
  <c r="C11" i="2" s="1"/>
  <c r="C30" i="2"/>
  <c r="C27" i="2"/>
  <c r="B29" i="2"/>
  <c r="B28" i="2"/>
  <c r="C4" i="2" l="1"/>
  <c r="C6" i="2"/>
  <c r="M15" i="1"/>
  <c r="O15" i="1" s="1"/>
  <c r="C23" i="2"/>
  <c r="B9" i="2"/>
  <c r="C8" i="2"/>
  <c r="B11" i="2"/>
  <c r="C22" i="2"/>
  <c r="B21" i="2"/>
  <c r="B23" i="2"/>
  <c r="B19" i="2"/>
  <c r="B17" i="2"/>
  <c r="B18" i="2"/>
  <c r="C17" i="2"/>
  <c r="C16" i="2"/>
  <c r="B15" i="2"/>
  <c r="C12" i="2"/>
  <c r="C13" i="2"/>
  <c r="B14" i="2"/>
  <c r="B13" i="2"/>
  <c r="B12" i="2"/>
  <c r="B8" i="2"/>
  <c r="B6" i="2"/>
  <c r="C9" i="2"/>
  <c r="C10" i="2"/>
  <c r="C20" i="2" l="1"/>
  <c r="C19" i="2"/>
  <c r="C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<sst xmlns="http://schemas.openxmlformats.org/spreadsheetml/2006/main" count="151" uniqueCount="104">
  <si>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</si>
  <si>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</si>
  <si>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</si>
  <si>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</si>
  <si>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</si>
  <si>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</si>
  <si>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</si>
  <si>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</si>
  <si>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</si>
  <si>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</si>
  <si>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</si>
  <si>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</si>
  <si>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</si>
  <si>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</si>
  <si>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</si>
  <si>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</si>
  <si>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</si>
  <si>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</si>
  <si>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</si>
  <si>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</si>
  <si>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</si>
  <si>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</si>
  <si>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</si>
  <si>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</si>
  <si>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</si>
  <si>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</si>
  <si>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</si>
  <si>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</si>
  <si>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</si>
  <si>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</si>
  <si>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</si>
  <si>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</si>
  <si>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</si>
  <si>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</si>
  <si>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</si>
  <si>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</si>
  <si>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</si>
  <si>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</si>
  <si>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</si>
  <si>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</si>
  <si>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</si>
  <si>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</si>
  <si>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</si>
  <si>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</si>
  <si>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</si>
  <si>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</si>
  <si>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</si>
  <si>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</si>
  <si>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</si>
  <si>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</si>
  <si>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</si>
  <si>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</si>
  <si>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</si>
  <si>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</si>
  <si>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</si>
  <si>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</si>
  <si>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</si>
  <si>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</si>
  <si>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Control Card #1</t>
  </si>
  <si>
    <t>Control Card #2</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</si>
  <si>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</si>
  <si>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</si>
  <si>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</si>
  <si>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</si>
  <si>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</si>
  <si>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</si>
  <si>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</si>
  <si>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</si>
  <si>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</si>
  <si>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</si>
  <si>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</si>
  <si>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</si>
  <si>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</si>
  <si>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</si>
  <si>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</si>
  <si>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</si>
  <si>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</si>
  <si>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Oak Bay</t>
  </si>
  <si>
    <t>Windsor Park Pavilion</t>
  </si>
  <si>
    <t>North Saanich</t>
  </si>
  <si>
    <t>IN CASE OF ABANDONMENT OR EMERGENCY, 
PHONE: Holland Gidney - 250-886-9284</t>
  </si>
  <si>
    <r>
      <t xml:space="preserve">Please </t>
    </r>
    <r>
      <rPr>
        <b/>
        <i/>
        <sz val="16"/>
        <rFont val="Arial"/>
        <family val="2"/>
      </rPr>
      <t>answer question or collect signature/stamp</t>
    </r>
    <r>
      <rPr>
        <i/>
        <sz val="16"/>
        <rFont val="Arial"/>
        <family val="2"/>
      </rPr>
      <t xml:space="preserve"> and</t>
    </r>
    <r>
      <rPr>
        <b/>
        <i/>
        <sz val="16"/>
        <rFont val="Arial"/>
        <family val="2"/>
      </rPr>
      <t xml:space="preserve"> note time of day</t>
    </r>
  </si>
  <si>
    <t>Signature/Stamp/Answer</t>
  </si>
  <si>
    <t>Penny Farthing Pub 2228 Oak Bay Avenue</t>
  </si>
  <si>
    <t>Sooke</t>
  </si>
  <si>
    <t xml:space="preserve">Sooke River Road </t>
  </si>
  <si>
    <t>Leechtown</t>
  </si>
  <si>
    <t>The Red Gate</t>
  </si>
  <si>
    <t>What does the sign on the gate say?</t>
  </si>
  <si>
    <t>View Royal</t>
  </si>
  <si>
    <t>VI Spring 200: Pathways to Paradise</t>
  </si>
  <si>
    <t>____K Gate</t>
  </si>
  <si>
    <t>Parking Lot for</t>
  </si>
  <si>
    <t>Galloping Goose Trail</t>
  </si>
  <si>
    <t>(only open til 4pm)</t>
  </si>
  <si>
    <t>After 4pm, sign own own card</t>
  </si>
  <si>
    <t>Nest Café</t>
  </si>
  <si>
    <t>2311 Watkiss Way #102</t>
  </si>
  <si>
    <t>If prefer not to enter pub, sign own card</t>
  </si>
  <si>
    <t>Where Land's End Rd becomes Chalet Rd</t>
  </si>
  <si>
    <t>White &amp; Red</t>
  </si>
  <si>
    <t xml:space="preserve">Red                       Red &amp; Blue        </t>
  </si>
  <si>
    <t>Staffed control</t>
  </si>
  <si>
    <t>Colour of fire hydrant on left side of road? (circle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</si>
</sst>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22"/>
      <name val="Arial Narrow"/>
      <family val="2"/>
    </font>
    <font>
      <b/>
      <sz val="13"/>
      <name val="Arial Narrow"/>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style="thin">
        <color auto="1"/>
      </right>
      <top style="medium">
        <color auto="1"/>
      </top>
      <bottom/>
      <diagonal/>
    </border>
  </borders>
  <cellStyleXfs count="342">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5">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5" xfId="0" applyFont="1" applyBorder="1" applyAlignment="1"/>
    <xf numFmtId="0" fontId="13" fillId="0" borderId="10" xfId="0" applyFont="1" applyBorder="1" applyAlignment="1"/>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14" fillId="0" borderId="7" xfId="0" applyFont="1" applyBorder="1" applyAlignment="1">
      <alignment horizontal="center" wrapText="1"/>
    </xf>
    <xf numFmtId="15" fontId="30" fillId="0" borderId="4" xfId="0" applyNumberFormat="1" applyFont="1" applyBorder="1" applyProtection="1">
      <protection locked="0"/>
    </xf>
    <xf numFmtId="1" fontId="30" fillId="0" borderId="4" xfId="0" applyNumberFormat="1" applyFont="1" applyBorder="1" applyProtection="1">
      <protection locked="0"/>
    </xf>
    <xf numFmtId="0" fontId="30" fillId="0" borderId="9" xfId="0" applyFont="1" applyBorder="1" applyAlignment="1"/>
    <xf numFmtId="15" fontId="30" fillId="0" borderId="23" xfId="0" applyNumberFormat="1" applyFont="1" applyBorder="1" applyProtection="1">
      <protection locked="0"/>
    </xf>
    <xf numFmtId="20" fontId="30" fillId="0" borderId="8" xfId="0" applyNumberFormat="1" applyFont="1" applyBorder="1" applyProtection="1">
      <protection locked="0"/>
    </xf>
    <xf numFmtId="49" fontId="30"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0" fontId="28" fillId="0" borderId="27" xfId="0" applyFont="1" applyBorder="1" applyProtection="1">
      <protection locked="0"/>
    </xf>
    <xf numFmtId="49" fontId="28" fillId="0" borderId="27" xfId="0" applyNumberFormat="1" applyFont="1" applyBorder="1" applyAlignment="1" applyProtection="1">
      <alignment horizontal="center"/>
      <protection locked="0"/>
    </xf>
    <xf numFmtId="49" fontId="28" fillId="0" borderId="24" xfId="0" applyNumberFormat="1" applyFont="1" applyBorder="1" applyAlignment="1" applyProtection="1">
      <alignment horizontal="center"/>
      <protection locked="0"/>
    </xf>
    <xf numFmtId="0" fontId="0" fillId="0" borderId="28" xfId="0" applyBorder="1"/>
    <xf numFmtId="49" fontId="5" fillId="0" borderId="28" xfId="0" applyNumberFormat="1" applyFont="1" applyBorder="1" applyAlignment="1" applyProtection="1">
      <alignment horizontal="center"/>
      <protection locked="0"/>
    </xf>
    <xf numFmtId="0" fontId="28" fillId="2" borderId="29" xfId="0" applyFont="1" applyFill="1" applyBorder="1"/>
    <xf numFmtId="49" fontId="14" fillId="0" borderId="7" xfId="0" applyNumberFormat="1" applyFont="1" applyBorder="1" applyAlignment="1">
      <alignment horizontal="center" vertical="center" wrapText="1"/>
    </xf>
    <xf numFmtId="0" fontId="14" fillId="0" borderId="16" xfId="0" applyFont="1" applyBorder="1" applyAlignment="1">
      <alignment horizontal="center" vertical="top" wrapText="1"/>
    </xf>
    <xf numFmtId="0" fontId="14" fillId="0" borderId="16" xfId="0" applyFont="1" applyBorder="1" applyAlignment="1">
      <alignment horizontal="center" wrapText="1"/>
    </xf>
    <xf numFmtId="0" fontId="31" fillId="0" borderId="7" xfId="0" applyFont="1" applyBorder="1" applyAlignment="1">
      <alignment horizontal="center" vertical="top" wrapText="1"/>
    </xf>
    <xf numFmtId="0" fontId="14" fillId="0" borderId="7" xfId="0" applyFont="1" applyBorder="1" applyAlignment="1">
      <alignment horizontal="center" vertical="top" wrapText="1"/>
    </xf>
    <xf numFmtId="0" fontId="32" fillId="0" borderId="7" xfId="0" applyFont="1" applyBorder="1" applyAlignment="1">
      <alignment horizontal="center" vertical="center" wrapText="1"/>
    </xf>
    <xf numFmtId="167" fontId="0" fillId="0" borderId="28" xfId="0" applyNumberFormat="1" applyBorder="1" applyProtection="1">
      <protection locked="0"/>
    </xf>
    <xf numFmtId="0" fontId="5" fillId="0" borderId="28" xfId="0" applyFont="1" applyBorder="1" applyProtection="1">
      <protection locked="0"/>
    </xf>
    <xf numFmtId="0" fontId="5" fillId="0" borderId="0" xfId="0" applyFont="1" applyAlignment="1">
      <alignment horizontal="center"/>
    </xf>
    <xf numFmtId="0" fontId="29" fillId="0" borderId="0" xfId="0" applyFont="1" applyAlignment="1">
      <alignment horizontal="right"/>
    </xf>
    <xf numFmtId="0" fontId="0" fillId="2" borderId="9"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5" fillId="0" borderId="0" xfId="0" applyFont="1" applyAlignment="1">
      <alignment horizontal="left" vertical="top"/>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0" fontId="9" fillId="0" borderId="0" xfId="0" applyFont="1" applyAlignment="1">
      <alignment horizontal="center"/>
    </xf>
    <xf numFmtId="167" fontId="12" fillId="0" borderId="20" xfId="0" applyNumberFormat="1" applyFont="1" applyBorder="1" applyAlignment="1">
      <alignment horizontal="center" vertical="center" wrapText="1"/>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xf>
    <xf numFmtId="0" fontId="6" fillId="0" borderId="20" xfId="0" applyFont="1" applyBorder="1" applyAlignment="1">
      <alignment horizontal="center" vertical="top"/>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xf numFmtId="0" fontId="0" fillId="0" borderId="0" xfId="0" applyAlignment="1">
      <alignment horizontal="center" wrapText="1"/>
    </xf>
    <xf numFmtId="168" fontId="10" fillId="0" borderId="0" xfId="0" applyNumberFormat="1" applyFont="1" applyBorder="1" applyAlignment="1">
      <alignment horizontal="left" vertical="center"/>
    </xf>
    <xf numFmtId="0" fontId="6" fillId="0" borderId="0" xfId="0" applyFont="1" applyBorder="1" applyAlignment="1" applyProtection="1">
      <alignment horizontal="center" wrapText="1"/>
    </xf>
    <xf numFmtId="0" fontId="6" fillId="0" borderId="0" xfId="0" applyFont="1" applyBorder="1" applyAlignment="1" applyProtection="1">
      <alignment horizontal="center" vertical="top" wrapText="1"/>
    </xf>
  </cellXfs>
  <cellStyles count="34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Normal" xfId="0" builtinId="0"/>
    <cellStyle name="Normal 2" xfId="282" xr:uid="{00000000-0005-0000-0000-000050010000}"/>
    <cellStyle name="Normal 3" xfId="283" xr:uid="{00000000-0005-0000-0000-000051010000}"/>
    <cellStyle name="Normal 3 2" xfId="285" xr:uid="{00000000-0005-0000-0000-000052010000}"/>
    <cellStyle name="Normal 3 2 2" xfId="286" xr:uid="{00000000-0005-0000-0000-000053010000}"/>
    <cellStyle name="Normal 3 2 3" xfId="287" xr:uid="{00000000-0005-0000-0000-000054010000}"/>
    <cellStyle name="Normal 4" xfId="284" xr:uid="{00000000-0005-0000-0000-000055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577576</xdr:colOff>
      <xdr:row>1</xdr:row>
      <xdr:rowOff>224693</xdr:rowOff>
    </xdr:from>
    <xdr:to>
      <xdr:col>11</xdr:col>
      <xdr:colOff>323576</xdr:colOff>
      <xdr:row>4</xdr:row>
      <xdr:rowOff>331579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013663" y="486976"/>
          <a:ext cx="2009913" cy="15563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abSelected="1" zoomScale="135" zoomScaleNormal="135" zoomScalePageLayoutView="135" workbookViewId="0">
      <selection activeCell="D16" sqref="D16"/>
    </sheetView>
  </sheetViews>
  <sheetFormatPr baseColWidth="10" defaultColWidth="8.83203125" defaultRowHeight="13" x14ac:dyDescent="0.15"/>
  <cols>
    <col min="1" max="1" width="16.5" style="2" customWidth="1"/>
    <col min="2" max="2" width="9.83203125" bestFit="1" customWidth="1"/>
    <col min="3" max="3" width="0" style="3" hidden="1" customWidth="1"/>
    <col min="4" max="4" width="8.33203125" customWidth="1"/>
    <col min="5" max="5" width="17" bestFit="1" customWidth="1"/>
    <col min="6" max="6" width="18" bestFit="1" customWidth="1"/>
    <col min="7" max="7" width="22.1640625" bestFit="1" customWidth="1"/>
    <col min="8" max="8" width="25.1640625" bestFit="1" customWidth="1"/>
    <col min="9" max="11" width="31.1640625" customWidth="1"/>
    <col min="12" max="12" width="17.33203125" hidden="1" customWidth="1"/>
    <col min="13" max="15" width="17.83203125" hidden="1" customWidth="1"/>
  </cols>
  <sheetData>
    <row r="1" spans="1:23" ht="18" x14ac:dyDescent="0.2">
      <c r="A1" s="13" t="s">
        <v>18</v>
      </c>
      <c r="B1" s="89">
        <v>200</v>
      </c>
      <c r="C1">
        <f>IF(Brevet_Length&gt;=1200,Brevet_Length,IF(Brevet_Length&gt;=1000,1000,IF(Brevet_Length&gt;=600,600,IF(Brevet_Length&gt;=400,400,IF(Brevet_Length&gt;=300,300,IF(Brevet_Length&gt;=200,200,100))))))</f>
        <v>200</v>
      </c>
      <c r="J1" s="121" t="s">
        <v>63</v>
      </c>
      <c r="K1" s="121"/>
      <c r="Q1" s="92" t="s">
        <v>64</v>
      </c>
      <c r="R1" s="92"/>
      <c r="S1" s="92"/>
      <c r="T1" s="92"/>
      <c r="U1" s="92"/>
      <c r="V1" s="92"/>
      <c r="W1" s="92"/>
    </row>
    <row r="2" spans="1:23" ht="14" thickBot="1" x14ac:dyDescent="0.2">
      <c r="A2" s="14" t="s">
        <v>19</v>
      </c>
      <c r="B2" s="15">
        <f>IF(brevet=1200,90,IF(brevet=1000,75,IF(brevet=600,40,IF(brevet=400,27,IF(brevet=300,20,IF(brevet=200,13.5,IF(brevet=100,7,0)))))))</f>
        <v>13.5</v>
      </c>
      <c r="Q2" t="s">
        <v>65</v>
      </c>
    </row>
    <row r="3" spans="1:23" ht="19" thickBot="1" x14ac:dyDescent="0.25">
      <c r="A3" s="14" t="s">
        <v>20</v>
      </c>
      <c r="B3" s="101" t="s">
        <v>90</v>
      </c>
      <c r="C3" s="90"/>
      <c r="D3" s="90"/>
      <c r="E3" s="90"/>
      <c r="F3" s="90"/>
      <c r="G3" s="90"/>
      <c r="H3" s="91"/>
      <c r="I3" s="35"/>
      <c r="J3" s="35"/>
      <c r="K3" s="35"/>
      <c r="O3" s="36"/>
      <c r="P3" s="36"/>
      <c r="Q3" s="92" t="s">
        <v>66</v>
      </c>
    </row>
    <row r="4" spans="1:23" ht="16" x14ac:dyDescent="0.2">
      <c r="A4" s="14" t="s">
        <v>21</v>
      </c>
      <c r="B4" s="100">
        <v>5154</v>
      </c>
      <c r="C4" s="32"/>
      <c r="F4" s="33"/>
      <c r="G4" s="33"/>
      <c r="H4" s="33"/>
      <c r="I4" s="33"/>
      <c r="J4" s="33"/>
      <c r="K4" s="33"/>
      <c r="Q4" s="92" t="s">
        <v>67</v>
      </c>
    </row>
    <row r="5" spans="1:23" ht="16" x14ac:dyDescent="0.2">
      <c r="A5" s="60" t="s">
        <v>47</v>
      </c>
      <c r="B5" s="99">
        <v>44653</v>
      </c>
      <c r="Q5" s="92" t="s">
        <v>68</v>
      </c>
    </row>
    <row r="6" spans="1:23" ht="6" customHeight="1" x14ac:dyDescent="0.15"/>
    <row r="7" spans="1:23" ht="17" thickBot="1" x14ac:dyDescent="0.25">
      <c r="A7" s="56" t="s">
        <v>22</v>
      </c>
      <c r="B7" s="102">
        <v>44653</v>
      </c>
      <c r="Q7" s="92" t="s">
        <v>69</v>
      </c>
    </row>
    <row r="8" spans="1:23" ht="17" thickBot="1" x14ac:dyDescent="0.25">
      <c r="A8" s="12" t="s">
        <v>23</v>
      </c>
      <c r="B8" s="103">
        <v>0.29166666666666669</v>
      </c>
      <c r="D8" s="122" t="s">
        <v>58</v>
      </c>
      <c r="E8" s="123"/>
      <c r="F8" s="123"/>
      <c r="G8" s="123"/>
      <c r="H8" s="123"/>
      <c r="I8" s="122" t="s">
        <v>74</v>
      </c>
      <c r="J8" s="123"/>
      <c r="K8" s="124"/>
      <c r="Q8" s="92" t="s">
        <v>70</v>
      </c>
    </row>
    <row r="9" spans="1:23" ht="14" thickBot="1" x14ac:dyDescent="0.2">
      <c r="D9" s="6" t="s">
        <v>24</v>
      </c>
      <c r="E9" s="7" t="s">
        <v>25</v>
      </c>
      <c r="F9" s="111" t="s">
        <v>26</v>
      </c>
      <c r="G9" s="83" t="s">
        <v>27</v>
      </c>
      <c r="H9" s="84" t="s">
        <v>28</v>
      </c>
      <c r="I9" s="7" t="s">
        <v>60</v>
      </c>
      <c r="J9" s="7" t="s">
        <v>61</v>
      </c>
      <c r="K9" s="8" t="s">
        <v>62</v>
      </c>
      <c r="L9" t="s">
        <v>3</v>
      </c>
      <c r="M9" t="s">
        <v>4</v>
      </c>
      <c r="N9" t="s">
        <v>5</v>
      </c>
      <c r="O9" t="s">
        <v>6</v>
      </c>
      <c r="Q9" s="92" t="s">
        <v>71</v>
      </c>
    </row>
    <row r="10" spans="1:23" ht="17" customHeight="1" x14ac:dyDescent="0.2">
      <c r="C10" s="3" t="s">
        <v>7</v>
      </c>
      <c r="D10" s="34">
        <v>0</v>
      </c>
      <c r="E10" s="95" t="s">
        <v>77</v>
      </c>
      <c r="F10" s="109"/>
      <c r="G10" s="96" t="s">
        <v>78</v>
      </c>
      <c r="H10" s="97"/>
      <c r="I10" s="104"/>
      <c r="J10" s="104"/>
      <c r="K10" s="105"/>
      <c r="L10" s="4">
        <f>Start_date+Start_time</f>
        <v>44653.291666666664</v>
      </c>
      <c r="M10" s="4">
        <f>L10+"1:00"</f>
        <v>44653.333333333328</v>
      </c>
      <c r="N10" s="5">
        <f>IF(ISBLANK(Distance),"",Open Control_1)</f>
        <v>44653.291666666664</v>
      </c>
      <c r="O10" s="5">
        <f>IF(ISBLANK(Distance),"",Close Control_1)</f>
        <v>44653.333333333328</v>
      </c>
      <c r="Q10" s="92" t="s">
        <v>72</v>
      </c>
    </row>
    <row r="11" spans="1:23" ht="17" customHeight="1" x14ac:dyDescent="0.2">
      <c r="C11" s="3" t="s">
        <v>8</v>
      </c>
      <c r="D11" s="34">
        <v>49</v>
      </c>
      <c r="E11" s="95" t="s">
        <v>84</v>
      </c>
      <c r="F11" s="110" t="s">
        <v>85</v>
      </c>
      <c r="G11" s="120" t="s">
        <v>92</v>
      </c>
      <c r="H11" s="96" t="s">
        <v>93</v>
      </c>
      <c r="I11" s="104"/>
      <c r="J11" s="104"/>
      <c r="K11" s="105"/>
      <c r="L11">
        <f>IF(ISBLANK(Distance),"",IF(Distance&gt;1000,(Distance-1000)/26+33.0847,(IF(Distance&gt;600,(Distance-600)/28+18.799,(IF(Distance&gt;400,(Distance-400)/30+12.1324,(IF(Distance&gt;200,(Distance-200)/32+5.8824,Distance/34))))))))</f>
        <v>1.4411764705882353</v>
      </c>
      <c r="M11">
        <f>IF(ISBLANK(Distance),"",IF(Distance&gt;=brevet,IF(brevet&gt;1200,(brevet-1200)*75/1000+90,Max_time),IF(Distance&gt;1200,(Distance-1200)*75/1000+90,IF(Distance&gt;1000,(Distance-1000)/(1000/75)+75,IF(Distance&gt;600,(Distance-600)/(400/35)+40,Distance/15)))))</f>
        <v>3.2666666666666666</v>
      </c>
      <c r="N11" s="5">
        <f>IF(ISBLANK(Distance),"",Open_time Control_1+(INT(Open)&amp;":"&amp;IF(ROUND(((Open-INT(Open))*60),0)&lt;10,0,"")&amp;ROUND(((Open-INT(Open))*60),0)))</f>
        <v>44653.351388888885</v>
      </c>
      <c r="O11" s="5">
        <f>IF(ISBLANK(Distance),"",Open_time Control_1+(INT(Close)&amp;":"&amp;IF(ROUND(((Close-INT(Close))*60),0)&lt;10,0,"")&amp;ROUND(((Close-INT(Close))*60),0)))</f>
        <v>44653.427777777775</v>
      </c>
      <c r="Q11" s="92" t="s">
        <v>73</v>
      </c>
    </row>
    <row r="12" spans="1:23" ht="17" customHeight="1" x14ac:dyDescent="0.2">
      <c r="C12" s="3" t="s">
        <v>9</v>
      </c>
      <c r="D12" s="34">
        <v>61.7</v>
      </c>
      <c r="E12" s="95" t="s">
        <v>86</v>
      </c>
      <c r="F12" s="110"/>
      <c r="G12" s="110" t="s">
        <v>87</v>
      </c>
      <c r="H12" s="97"/>
      <c r="I12" s="104" t="s">
        <v>88</v>
      </c>
      <c r="J12" s="104"/>
      <c r="K12" s="105" t="s">
        <v>91</v>
      </c>
      <c r="L12">
        <f>IF(ISBLANK(Distance),"",IF(Distance&gt;1000,(Distance-1000)/26+33.0847,(IF(Distance&gt;600,(Distance-600)/28+18.799,(IF(Distance&gt;400,(Distance-400)/30+12.1324,(IF(Distance&gt;200,(Distance-200)/32+5.8824,Distance/34))))))))</f>
        <v>1.8147058823529412</v>
      </c>
      <c r="M12">
        <f t="shared" ref="M12:M19" si="0">IF(ISBLANK(Distance),"",IF(Distance&gt;=brevet,IF(brevet&gt;1200,(brevet-1200)*75/1000+90,Max_time),IF(Distance&gt;1200,(Distance-1200)*75/1000+90,IF(Distance&gt;1000,(Distance-1000)/(1000/75)+75,IF(Distance&gt;600,(Distance-600)/(400/35)+40,Distance/15)))))</f>
        <v>4.1133333333333333</v>
      </c>
      <c r="N12" s="5">
        <f>IF(ISBLANK(Distance),"",Open_time Control_1+(INT(Open)&amp;":"&amp;IF(ROUND(((Open-INT(Open))*60),0)&lt;10,0,"")&amp;ROUND(((Open-INT(Open))*60),0)))</f>
        <v>44653.367361111108</v>
      </c>
      <c r="O12" s="5">
        <f>IF(ISBLANK(Distance),"",Open_time Control_1+(INT(Close)&amp;":"&amp;IF(ROUND(((Close-INT(Close))*60),0)&lt;10,0,"")&amp;ROUND(((Close-INT(Close))*60),0)))</f>
        <v>44653.463194444441</v>
      </c>
    </row>
    <row r="13" spans="1:23" ht="17" customHeight="1" x14ac:dyDescent="0.2">
      <c r="C13" s="3" t="s">
        <v>10</v>
      </c>
      <c r="D13" s="34">
        <v>151.4</v>
      </c>
      <c r="E13" s="95" t="s">
        <v>79</v>
      </c>
      <c r="F13" s="96"/>
      <c r="G13" s="96" t="s">
        <v>99</v>
      </c>
      <c r="H13" s="97"/>
      <c r="I13" s="104" t="s">
        <v>103</v>
      </c>
      <c r="J13" s="104" t="s">
        <v>101</v>
      </c>
      <c r="K13" s="105" t="s">
        <v>100</v>
      </c>
      <c r="L13">
        <f t="shared" ref="L13:L19" si="1">IF(ISBLANK(Distance),"",IF(Distance&gt;1000,(Distance-1000)/26+33.0847,(IF(Distance&gt;600,(Distance-600)/28+18.799,(IF(Distance&gt;400,(Distance-400)/30+12.1324,(IF(Distance&gt;200,(Distance-200)/32+5.8824,Distance/34))))))))</f>
        <v>4.4529411764705884</v>
      </c>
      <c r="M13">
        <f t="shared" si="0"/>
        <v>10.093333333333334</v>
      </c>
      <c r="N13" s="5">
        <f>IF(ISBLANK(Distance),"",Open_time Control_1+(INT(Open)&amp;":"&amp;IF(ROUND(((Open-INT(Open))*60),0)&lt;10,0,"")&amp;ROUND(((Open-INT(Open))*60),0)))</f>
        <v>44653.477083333331</v>
      </c>
      <c r="O13" s="5">
        <f>IF(ISBLANK(Distance),"",Open_time Control_1+(INT(Close)&amp;":"&amp;IF(ROUND(((Close-INT(Close))*60),0)&lt;10,0,"")&amp;ROUND(((Close-INT(Close))*60),0)))</f>
        <v>44653.712499999994</v>
      </c>
    </row>
    <row r="14" spans="1:23" ht="17" customHeight="1" x14ac:dyDescent="0.2">
      <c r="C14" s="3" t="s">
        <v>11</v>
      </c>
      <c r="D14" s="34">
        <v>188</v>
      </c>
      <c r="E14" s="95" t="s">
        <v>89</v>
      </c>
      <c r="F14" s="96" t="s">
        <v>96</v>
      </c>
      <c r="G14" s="96" t="s">
        <v>97</v>
      </c>
      <c r="H14" s="97" t="s">
        <v>94</v>
      </c>
      <c r="I14" s="104" t="s">
        <v>95</v>
      </c>
      <c r="J14" s="104"/>
      <c r="K14" s="105"/>
      <c r="L14">
        <f t="shared" si="1"/>
        <v>5.5294117647058822</v>
      </c>
      <c r="M14">
        <f t="shared" si="0"/>
        <v>12.533333333333333</v>
      </c>
      <c r="N14" s="5">
        <f>IF(ISBLANK(Distance),"",Open_time Control_1+(INT(Open)&amp;":"&amp;IF(ROUND(((Open-INT(Open))*60),0)&lt;10,0,"")&amp;ROUND(((Open-INT(Open))*60),0)))</f>
        <v>44653.522222222222</v>
      </c>
      <c r="O14" s="5">
        <f>IF(ISBLANK(Distance),"",Open_time Control_1+(INT(Close)&amp;":"&amp;IF(ROUND(((Close-INT(Close))*60),0)&lt;10,0,"")&amp;ROUND(((Close-INT(Close))*60),0)))</f>
        <v>44653.813888888886</v>
      </c>
      <c r="Q14" s="93" t="s">
        <v>75</v>
      </c>
    </row>
    <row r="15" spans="1:23" ht="17" customHeight="1" x14ac:dyDescent="0.2">
      <c r="C15" s="3" t="s">
        <v>12</v>
      </c>
      <c r="D15" s="34">
        <v>202.1</v>
      </c>
      <c r="E15" s="95" t="s">
        <v>77</v>
      </c>
      <c r="F15" s="96"/>
      <c r="G15" s="96" t="s">
        <v>83</v>
      </c>
      <c r="H15" s="97"/>
      <c r="I15" s="104" t="s">
        <v>98</v>
      </c>
      <c r="J15" s="104"/>
      <c r="K15" s="105"/>
      <c r="L15">
        <f t="shared" si="1"/>
        <v>5.9480249999999995</v>
      </c>
      <c r="M15">
        <f t="shared" si="0"/>
        <v>13.5</v>
      </c>
      <c r="N15" s="5">
        <f>IF(ISBLANK(Distance),"",Open_time Control_1+(INT(Open)&amp;":"&amp;IF(ROUND(((Open-INT(Open))*60),0)&lt;10,0,"")&amp;ROUND(((Open-INT(Open))*60),0)))</f>
        <v>44653.539583333331</v>
      </c>
      <c r="O15" s="5">
        <f>IF(ISBLANK(Distance),"",Open_time Control_1+(INT(Close)&amp;":"&amp;IF(ROUND(((Close-INT(Close))*60),0)&lt;10,0,"")&amp;ROUND(((Close-INT(Close))*60),0)))</f>
        <v>44653.854166666664</v>
      </c>
    </row>
    <row r="16" spans="1:23" ht="17" customHeight="1" x14ac:dyDescent="0.2">
      <c r="C16" s="3" t="s">
        <v>13</v>
      </c>
      <c r="D16" s="109"/>
      <c r="E16" s="109"/>
      <c r="F16" s="109"/>
      <c r="G16" s="109"/>
      <c r="H16" s="110"/>
      <c r="I16" s="104"/>
      <c r="J16" s="104"/>
      <c r="K16" s="105"/>
      <c r="L16" t="str">
        <f t="shared" si="1"/>
        <v/>
      </c>
      <c r="M16" t="str">
        <f t="shared" si="0"/>
        <v/>
      </c>
      <c r="N16" s="5" t="str">
        <f>IF(ISBLANK(Distance),"",Open_time Control_1+(INT(Open)&amp;":"&amp;IF(ROUND(((Open-INT(Open))*60),0)&lt;10,0,"")&amp;ROUND(((Open-INT(Open))*60),0)))</f>
        <v/>
      </c>
      <c r="O16" s="5" t="str">
        <f>IF(ISBLANK(Distance),"",Open_time Control_1+(INT(Close)&amp;":"&amp;IF(ROUND(((Close-INT(Close))*60),0)&lt;10,0,"")&amp;ROUND(((Close-INT(Close))*60),0)))</f>
        <v/>
      </c>
    </row>
    <row r="17" spans="3:15" ht="17" customHeight="1" x14ac:dyDescent="0.2">
      <c r="C17" s="3" t="s">
        <v>14</v>
      </c>
      <c r="D17" s="118"/>
      <c r="E17" s="119"/>
      <c r="F17" s="110"/>
      <c r="G17" s="110"/>
      <c r="H17" s="110"/>
      <c r="I17" s="104"/>
      <c r="J17" s="104"/>
      <c r="K17" s="105"/>
      <c r="L17" t="str">
        <f t="shared" si="1"/>
        <v/>
      </c>
      <c r="M17" t="str">
        <f t="shared" si="0"/>
        <v/>
      </c>
      <c r="N17" s="5" t="str">
        <f>IF(ISBLANK(Distance),"",Open_time Control_1+(INT(Open)&amp;":"&amp;IF(ROUND(((Open-INT(Open))*60),0)&lt;10,0,"")&amp;ROUND(((Open-INT(Open))*60),0)))</f>
        <v/>
      </c>
      <c r="O17" s="5" t="str">
        <f>IF(ISBLANK(Distance),"",Open_time Control_1+(INT(Close)&amp;":"&amp;IF(ROUND(((Close-INT(Close))*60),0)&lt;10,0,"")&amp;ROUND(((Close-INT(Close))*60),0)))</f>
        <v/>
      </c>
    </row>
    <row r="18" spans="3:15" ht="17" customHeight="1" x14ac:dyDescent="0.2">
      <c r="C18" s="3" t="s">
        <v>15</v>
      </c>
      <c r="D18" s="34"/>
      <c r="E18" s="95"/>
      <c r="F18" s="96"/>
      <c r="G18" s="96"/>
      <c r="H18" s="97"/>
      <c r="I18" s="104"/>
      <c r="J18" s="104"/>
      <c r="K18" s="105"/>
      <c r="L18" t="str">
        <f t="shared" si="1"/>
        <v/>
      </c>
      <c r="M18" t="str">
        <f t="shared" si="0"/>
        <v/>
      </c>
      <c r="N18" s="5" t="str">
        <f>IF(ISBLANK(Distance),"",Open_time Control_1+(INT(Open)&amp;":"&amp;IF(ROUND(((Open-INT(Open))*60),0)&lt;10,0,"")&amp;ROUND(((Open-INT(Open))*60),0)))</f>
        <v/>
      </c>
      <c r="O18" s="5" t="str">
        <f>IF(ISBLANK(Distance),"",Open_time Control_1+(INT(Close)&amp;":"&amp;IF(ROUND(((Close-INT(Close))*60),0)&lt;10,0,"")&amp;ROUND(((Close-INT(Close))*60),0)))</f>
        <v/>
      </c>
    </row>
    <row r="19" spans="3:15" ht="17" customHeight="1" thickBot="1" x14ac:dyDescent="0.2">
      <c r="C19" s="3" t="s">
        <v>16</v>
      </c>
      <c r="D19" s="64"/>
      <c r="E19" s="106"/>
      <c r="F19" s="107"/>
      <c r="G19" s="107"/>
      <c r="H19" s="108"/>
      <c r="I19" s="107"/>
      <c r="J19" s="107"/>
      <c r="K19" s="108"/>
      <c r="L19" t="str">
        <f t="shared" si="1"/>
        <v/>
      </c>
      <c r="M19" t="str">
        <f t="shared" si="0"/>
        <v/>
      </c>
      <c r="N19" s="5" t="str">
        <f>IF(ISBLANK(Distance),"",Open_time Control_1+(INT(Open)&amp;":"&amp;IF(ROUND(((Open-INT(Open))*60),0)&lt;10,0,"")&amp;ROUND(((Open-INT(Open))*60),0)))</f>
        <v/>
      </c>
      <c r="O19" s="5" t="str">
        <f>IF(ISBLANK(Distance),"",Open_time Control_1+(INT(Close)&amp;":"&amp;IF(ROUND(((Close-INT(Close))*60),0)&lt;10,0,"")&amp;ROUND(((Close-INT(Close))*60),0)))</f>
        <v/>
      </c>
    </row>
    <row r="20" spans="3:15" ht="7" customHeight="1" thickBot="1" x14ac:dyDescent="0.25">
      <c r="D20" s="85"/>
      <c r="E20" s="86"/>
      <c r="F20" s="87"/>
      <c r="G20" s="87"/>
      <c r="H20" s="87"/>
      <c r="I20" s="87"/>
      <c r="J20" s="87"/>
      <c r="K20" s="88"/>
      <c r="N20" s="5"/>
      <c r="O20" s="5"/>
    </row>
    <row r="21" spans="3:15" ht="14" thickBot="1" x14ac:dyDescent="0.2">
      <c r="D21" s="122" t="s">
        <v>59</v>
      </c>
      <c r="E21" s="123"/>
      <c r="F21" s="123"/>
      <c r="G21" s="123"/>
      <c r="H21" s="123"/>
      <c r="I21" s="122" t="s">
        <v>76</v>
      </c>
      <c r="J21" s="123"/>
      <c r="K21" s="124"/>
    </row>
    <row r="22" spans="3:15" ht="14" thickBot="1" x14ac:dyDescent="0.2">
      <c r="D22" s="6" t="s">
        <v>24</v>
      </c>
      <c r="E22" s="7" t="s">
        <v>25</v>
      </c>
      <c r="F22" s="83" t="s">
        <v>26</v>
      </c>
      <c r="G22" s="83" t="s">
        <v>27</v>
      </c>
      <c r="H22" s="84" t="s">
        <v>28</v>
      </c>
      <c r="I22" s="7" t="s">
        <v>60</v>
      </c>
      <c r="J22" s="7" t="s">
        <v>61</v>
      </c>
      <c r="K22" s="8" t="s">
        <v>62</v>
      </c>
      <c r="L22" t="s">
        <v>3</v>
      </c>
      <c r="M22" t="s">
        <v>4</v>
      </c>
      <c r="N22" t="s">
        <v>5</v>
      </c>
      <c r="O22" t="s">
        <v>6</v>
      </c>
    </row>
    <row r="23" spans="3:15" ht="16" x14ac:dyDescent="0.2">
      <c r="D23" s="34"/>
      <c r="E23" s="95"/>
      <c r="F23" s="96"/>
      <c r="G23" s="96"/>
      <c r="H23" s="97"/>
      <c r="I23" s="104"/>
      <c r="J23" s="104"/>
      <c r="K23" s="105"/>
      <c r="L23" t="str">
        <f>IF(ISBLANK(D23),"",IF(D23&gt;1000,(D23-1000)/26+33.0847,(IF(D23&gt;600,(D23-600)/28+18.799,(IF(D23&gt;400,(D23-400)/30+12.1324,(IF(D23&gt;200,(D23-200)/32+5.8824,D23/34))))))))</f>
        <v/>
      </c>
      <c r="M23" t="str">
        <f>IF(ISBLANK(D23),"",IF(D23=0,(L23+1),IF(D23&gt;=brevet,IF(brevet&gt;1200,(brevet-1200)*75/1000+90,Max_time),IF(D23&gt;1200,(D23-1200)*75/1000+90,IF(D23&gt;1000,(D23-1000)/(1000/75)+75,IF(D23&gt;600,(D23-600)/(400/35)+40,D23/15))))))</f>
        <v/>
      </c>
      <c r="N23" s="5" t="str">
        <f>IF(ISBLANK(D23),"",Open_time Control_1+(INT(L23)&amp;":"&amp;IF(ROUND(((L23-INT(L23))*60),0)&lt;10,0,"")&amp;ROUND(((L23-INT(L23))*60),0)))</f>
        <v/>
      </c>
      <c r="O23" s="5" t="str">
        <f>IF(ISBLANK(D23),"",Open_time Control_1+(INT(M23)&amp;":"&amp;IF(ROUND(((M23-INT(M23))*60),0)&lt;10,0,"")&amp;ROUND(((M23-INT(M23))*60),0)))</f>
        <v/>
      </c>
    </row>
    <row r="24" spans="3:15" ht="17" customHeight="1" x14ac:dyDescent="0.2">
      <c r="D24" s="34"/>
      <c r="E24" s="95"/>
      <c r="F24" s="96"/>
      <c r="G24" s="96"/>
      <c r="H24" s="97"/>
      <c r="I24" s="104"/>
      <c r="J24" s="104"/>
      <c r="K24" s="105"/>
      <c r="L24" t="str">
        <f t="shared" ref="L24:L32" si="2">IF(ISBLANK(D24),"",IF(D24&gt;1000,(D24-1000)/26+33.0847,(IF(D24&gt;600,(D24-600)/28+18.799,(IF(D24&gt;400,(D24-400)/30+12.1324,(IF(D24&gt;200,(D24-200)/32+5.8824,D24/34))))))))</f>
        <v/>
      </c>
      <c r="M24" t="str">
        <f t="shared" ref="M24:M32" si="3">IF(ISBLANK(D24),"",IF(D24&gt;=brevet,IF(brevet&gt;1200,(brevet-1200)*75/1000+90,Max_time),IF(D24&gt;1200,(D24-1200)*75/1000+90,IF(D24&gt;1000,(D24-1000)/(1000/75)+75,IF(D24&gt;600,(D24-600)/(400/35)+40,D24/15)))))</f>
        <v/>
      </c>
      <c r="N24" s="5" t="str">
        <f>IF(ISBLANK(D24),"",Open_time Control_1+(INT(L24)&amp;":"&amp;IF(ROUND(((L24-INT(L24))*60),0)&lt;10,0,"")&amp;ROUND(((L24-INT(L24))*60),0)))</f>
        <v/>
      </c>
      <c r="O24" s="5" t="str">
        <f>IF(ISBLANK(D24),"",Open_time Control_1+(INT(M24)&amp;":"&amp;IF(ROUND(((M24-INT(M24))*60),0)&lt;10,0,"")&amp;ROUND(((M24-INT(M24))*60),0)))</f>
        <v/>
      </c>
    </row>
    <row r="25" spans="3:15" ht="17" customHeight="1" x14ac:dyDescent="0.2">
      <c r="D25" s="34"/>
      <c r="E25" s="95"/>
      <c r="F25" s="96"/>
      <c r="G25" s="96"/>
      <c r="H25" s="97"/>
      <c r="I25" s="104"/>
      <c r="J25" s="104"/>
      <c r="K25" s="105"/>
      <c r="L25" t="str">
        <f t="shared" si="2"/>
        <v/>
      </c>
      <c r="M25" t="str">
        <f t="shared" si="3"/>
        <v/>
      </c>
      <c r="N25" s="5" t="str">
        <f>IF(ISBLANK(D25),"",Open_time Control_1+(INT(L25)&amp;":"&amp;IF(ROUND(((L25-INT(L25))*60),0)&lt;10,0,"")&amp;ROUND(((L25-INT(L25))*60),0)))</f>
        <v/>
      </c>
      <c r="O25" s="5" t="str">
        <f>IF(ISBLANK(D25),"",Open_time Control_1+(INT(M25)&amp;":"&amp;IF(ROUND(((M25-INT(M25))*60),0)&lt;10,0,"")&amp;ROUND(((M25-INT(M25))*60),0)))</f>
        <v/>
      </c>
    </row>
    <row r="26" spans="3:15" ht="17" customHeight="1" x14ac:dyDescent="0.2">
      <c r="D26" s="34"/>
      <c r="E26" s="95"/>
      <c r="F26" s="96"/>
      <c r="G26" s="96"/>
      <c r="H26" s="97"/>
      <c r="I26" s="104"/>
      <c r="J26" s="104"/>
      <c r="K26" s="105"/>
      <c r="L26" t="str">
        <f t="shared" si="2"/>
        <v/>
      </c>
      <c r="M26" t="str">
        <f t="shared" si="3"/>
        <v/>
      </c>
      <c r="N26" s="5" t="str">
        <f>IF(ISBLANK(D26),"",Open_time Control_1+(INT(L26)&amp;":"&amp;IF(ROUND(((L26-INT(L26))*60),0)&lt;10,0,"")&amp;ROUND(((L26-INT(L26))*60),0)))</f>
        <v/>
      </c>
      <c r="O26" s="5" t="str">
        <f>IF(ISBLANK(D26),"",Open_time Control_1+(INT(M26)&amp;":"&amp;IF(ROUND(((M26-INT(M26))*60),0)&lt;10,0,"")&amp;ROUND(((M26-INT(M26))*60),0)))</f>
        <v/>
      </c>
    </row>
    <row r="27" spans="3:15" ht="17" customHeight="1" x14ac:dyDescent="0.2">
      <c r="D27" s="34"/>
      <c r="E27" s="95"/>
      <c r="F27" s="96"/>
      <c r="G27" s="96"/>
      <c r="H27" s="97"/>
      <c r="I27" s="104"/>
      <c r="J27" s="104"/>
      <c r="K27" s="105"/>
      <c r="L27" t="str">
        <f t="shared" si="2"/>
        <v/>
      </c>
      <c r="M27" t="str">
        <f t="shared" si="3"/>
        <v/>
      </c>
      <c r="N27" s="5" t="str">
        <f>IF(ISBLANK(D27),"",Open_time Control_1+(INT(L27)&amp;":"&amp;IF(ROUND(((L27-INT(L27))*60),0)&lt;10,0,"")&amp;ROUND(((L27-INT(L27))*60),0)))</f>
        <v/>
      </c>
      <c r="O27" s="5" t="str">
        <f>IF(ISBLANK(D27),"",Open_time Control_1+(INT(M27)&amp;":"&amp;IF(ROUND(((M27-INT(M27))*60),0)&lt;10,0,"")&amp;ROUND(((M27-INT(M27))*60),0)))</f>
        <v/>
      </c>
    </row>
    <row r="28" spans="3:15" ht="17" customHeight="1" x14ac:dyDescent="0.2">
      <c r="D28" s="34"/>
      <c r="E28" s="95"/>
      <c r="F28" s="96"/>
      <c r="G28" s="96"/>
      <c r="H28" s="97"/>
      <c r="I28" s="104"/>
      <c r="J28" s="104"/>
      <c r="K28" s="105"/>
      <c r="L28" t="str">
        <f t="shared" si="2"/>
        <v/>
      </c>
      <c r="M28" t="str">
        <f t="shared" si="3"/>
        <v/>
      </c>
      <c r="N28" s="5" t="str">
        <f>IF(ISBLANK(D28),"",Open_time Control_1+(INT(L28)&amp;":"&amp;IF(ROUND(((L28-INT(L28))*60),0)&lt;10,0,"")&amp;ROUND(((L28-INT(L28))*60),0)))</f>
        <v/>
      </c>
      <c r="O28" s="5" t="str">
        <f>IF(ISBLANK(D28),"",Open_time Control_1+(INT(M28)&amp;":"&amp;IF(ROUND(((M28-INT(M28))*60),0)&lt;10,0,"")&amp;ROUND(((M28-INT(M28))*60),0)))</f>
        <v/>
      </c>
    </row>
    <row r="29" spans="3:15" ht="17" customHeight="1" x14ac:dyDescent="0.2">
      <c r="D29" s="34"/>
      <c r="E29" s="95"/>
      <c r="F29" s="96"/>
      <c r="G29" s="96"/>
      <c r="H29" s="97"/>
      <c r="I29" s="104"/>
      <c r="J29" s="104"/>
      <c r="K29" s="105"/>
      <c r="L29" t="str">
        <f t="shared" si="2"/>
        <v/>
      </c>
      <c r="M29" t="str">
        <f t="shared" si="3"/>
        <v/>
      </c>
      <c r="N29" s="5" t="str">
        <f>IF(ISBLANK(D29),"",Open_time Control_1+(INT(L29)&amp;":"&amp;IF(ROUND(((L29-INT(L29))*60),0)&lt;10,0,"")&amp;ROUND(((L29-INT(L29))*60),0)))</f>
        <v/>
      </c>
      <c r="O29" s="5" t="str">
        <f>IF(ISBLANK(D29),"",Open_time Control_1+(INT(M29)&amp;":"&amp;IF(ROUND(((M29-INT(M29))*60),0)&lt;10,0,"")&amp;ROUND(((M29-INT(M29))*60),0)))</f>
        <v/>
      </c>
    </row>
    <row r="30" spans="3:15" ht="17" customHeight="1" x14ac:dyDescent="0.2">
      <c r="D30" s="34"/>
      <c r="E30" s="95"/>
      <c r="F30" s="96"/>
      <c r="G30" s="96"/>
      <c r="H30" s="97"/>
      <c r="I30" s="104"/>
      <c r="J30" s="104"/>
      <c r="K30" s="105"/>
      <c r="L30" t="str">
        <f t="shared" si="2"/>
        <v/>
      </c>
      <c r="M30" t="str">
        <f t="shared" si="3"/>
        <v/>
      </c>
      <c r="N30" s="5" t="str">
        <f>IF(ISBLANK(D30),"",Open_time Control_1+(INT(L30)&amp;":"&amp;IF(ROUND(((L30-INT(L30))*60),0)&lt;10,0,"")&amp;ROUND(((L30-INT(L30))*60),0)))</f>
        <v/>
      </c>
      <c r="O30" s="5" t="str">
        <f>IF(ISBLANK(D30),"",Open_time Control_1+(INT(M30)&amp;":"&amp;IF(ROUND(((M30-INT(M30))*60),0)&lt;10,0,"")&amp;ROUND(((M30-INT(M30))*60),0)))</f>
        <v/>
      </c>
    </row>
    <row r="31" spans="3:15" ht="17" customHeight="1" x14ac:dyDescent="0.2">
      <c r="D31" s="34"/>
      <c r="E31" s="95"/>
      <c r="F31" s="96"/>
      <c r="G31" s="96"/>
      <c r="H31" s="97"/>
      <c r="I31" s="104"/>
      <c r="J31" s="104"/>
      <c r="K31" s="105"/>
      <c r="L31" t="str">
        <f t="shared" si="2"/>
        <v/>
      </c>
      <c r="M31" t="str">
        <f t="shared" si="3"/>
        <v/>
      </c>
      <c r="N31" s="5" t="str">
        <f>IF(ISBLANK(D31),"",Open_time Control_1+(INT(L31)&amp;":"&amp;IF(ROUND(((L31-INT(L31))*60),0)&lt;10,0,"")&amp;ROUND(((L31-INT(L31))*60),0)))</f>
        <v/>
      </c>
      <c r="O31" s="5" t="str">
        <f>IF(ISBLANK(D31),"",Open_time Control_1+(INT(M31)&amp;":"&amp;IF(ROUND(((M31-INT(M31))*60),0)&lt;10,0,"")&amp;ROUND(((M31-INT(M31))*60),0)))</f>
        <v/>
      </c>
    </row>
    <row r="32" spans="3:15" ht="17" customHeight="1" thickBot="1" x14ac:dyDescent="0.2">
      <c r="D32" s="64"/>
      <c r="E32" s="106"/>
      <c r="F32" s="107"/>
      <c r="G32" s="107"/>
      <c r="H32" s="108"/>
      <c r="I32" s="107"/>
      <c r="J32" s="107"/>
      <c r="K32" s="108"/>
      <c r="L32" t="str">
        <f t="shared" si="2"/>
        <v/>
      </c>
      <c r="M32" t="str">
        <f t="shared" si="3"/>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pageMargins left="0.75" right="0.75" top="1" bottom="1" header="0.5" footer="0.5"/>
  <pageSetup orientation="landscape"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view="pageLayout" topLeftCell="A2" zoomScale="75" zoomScaleNormal="50" zoomScalePageLayoutView="75" workbookViewId="0">
      <selection activeCell="F12" sqref="F12"/>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8" t="s">
        <v>81</v>
      </c>
      <c r="B1" s="128"/>
      <c r="C1" s="128"/>
      <c r="D1" s="128"/>
      <c r="E1" s="128"/>
      <c r="F1" s="128"/>
      <c r="G1" s="128"/>
      <c r="H1" s="35" t="s">
        <v>29</v>
      </c>
    </row>
    <row r="2" spans="1:22" ht="42" customHeight="1" thickBot="1" x14ac:dyDescent="0.25">
      <c r="A2" s="94" t="s">
        <v>30</v>
      </c>
      <c r="B2" s="9" t="s">
        <v>3</v>
      </c>
      <c r="C2" s="9" t="s">
        <v>4</v>
      </c>
      <c r="D2" s="9" t="s">
        <v>25</v>
      </c>
      <c r="E2" s="9" t="s">
        <v>31</v>
      </c>
      <c r="F2" s="9" t="s">
        <v>82</v>
      </c>
      <c r="G2" s="94" t="s">
        <v>32</v>
      </c>
      <c r="H2" s="35" t="s">
        <v>29</v>
      </c>
      <c r="K2" s="125"/>
      <c r="L2" s="126"/>
      <c r="M2" s="126"/>
      <c r="N2" s="126"/>
      <c r="O2" s="126"/>
      <c r="P2" s="126"/>
      <c r="Q2" s="126"/>
      <c r="R2" s="126"/>
      <c r="S2" s="126"/>
      <c r="T2" s="126"/>
      <c r="U2" s="126"/>
    </row>
    <row r="3" spans="1:22" ht="36" customHeight="1" x14ac:dyDescent="0.45">
      <c r="A3" s="39"/>
      <c r="B3" s="40">
        <f>Control_1 Open_time</f>
        <v>44653.291666666664</v>
      </c>
      <c r="C3" s="40">
        <f>Control_1 Close_time</f>
        <v>44653.333333333328</v>
      </c>
      <c r="D3" s="41"/>
      <c r="E3" s="42" t="str">
        <f>IF(ISBLANK(Control_1 Establishment_1),"",Control_1 Establishment_1)</f>
        <v/>
      </c>
      <c r="F3" s="42" t="str">
        <f>IF(ISBLANK('Control Entry'!I10),"",'Control Entry'!I10)</f>
        <v/>
      </c>
      <c r="G3" s="10"/>
      <c r="H3" s="35" t="s">
        <v>29</v>
      </c>
      <c r="K3" s="16"/>
      <c r="O3" s="129" t="s">
        <v>33</v>
      </c>
      <c r="P3" s="129"/>
      <c r="Q3" s="129"/>
      <c r="R3" s="129"/>
      <c r="S3" s="82" t="str">
        <f>IF(ISBLANK('Control Entry'!D23),"","#1")</f>
        <v/>
      </c>
      <c r="U3" s="52"/>
    </row>
    <row r="4" spans="1:22" ht="36" customHeight="1" x14ac:dyDescent="0.2">
      <c r="A4" s="48">
        <f>IF(ISBLANK(Distance Control_1),"",Control_1 Distance)</f>
        <v>0</v>
      </c>
      <c r="B4" s="49">
        <f>Control_1 Open_time</f>
        <v>44653.291666666664</v>
      </c>
      <c r="C4" s="49">
        <f>Control_1 Close_time</f>
        <v>44653.333333333328</v>
      </c>
      <c r="D4" s="50" t="str">
        <f>IF(ISBLANK(Locale Control_1),"",Locale Control_1)</f>
        <v>Oak Bay</v>
      </c>
      <c r="E4" s="42" t="str">
        <f>IF(ISBLANK(Control_1 Establishment_2),"",Control_1 Establishment_2)</f>
        <v>Windsor Park Pavilion</v>
      </c>
      <c r="F4" s="42" t="str">
        <f>IF(ISBLANK('Control Entry'!J10),"",'Control Entry'!J10)</f>
        <v/>
      </c>
      <c r="G4" s="10"/>
      <c r="H4" s="35" t="s">
        <v>29</v>
      </c>
      <c r="K4" s="16"/>
      <c r="M4" s="132" t="str">
        <f>IF(ISBLANK(brevet),"",brevet&amp;" km Randonnée")</f>
        <v>200 km Randonnée</v>
      </c>
      <c r="N4" s="132"/>
      <c r="O4" s="132"/>
      <c r="P4" s="132"/>
      <c r="Q4" s="132"/>
      <c r="R4" s="132"/>
      <c r="S4" s="132"/>
      <c r="T4" s="132"/>
      <c r="U4" s="53"/>
    </row>
    <row r="5" spans="1:22" ht="40" customHeight="1" thickBot="1" x14ac:dyDescent="0.25">
      <c r="A5" s="43"/>
      <c r="B5" s="44">
        <f>Control_1 Open_time</f>
        <v>44653.291666666664</v>
      </c>
      <c r="C5" s="44">
        <f>Control_1 Close_time</f>
        <v>44653.333333333328</v>
      </c>
      <c r="D5" s="45"/>
      <c r="E5" s="46" t="str">
        <f>IF(ISBLANK(Control_1 Establishment_3),"",Control_1 Establishment_3)</f>
        <v/>
      </c>
      <c r="F5" s="98" t="str">
        <f>IF(ISBLANK('Control Entry'!K10),"",'Control Entry'!K10)</f>
        <v/>
      </c>
      <c r="G5" s="11"/>
      <c r="H5" s="35" t="s">
        <v>29</v>
      </c>
      <c r="K5" s="16"/>
      <c r="M5" s="17"/>
      <c r="N5" s="135" t="s">
        <v>46</v>
      </c>
      <c r="O5" s="135"/>
      <c r="P5" s="80">
        <f>IF(ISBLANK(Brevet_Number),"",Brevet_Number)</f>
        <v>5154</v>
      </c>
      <c r="Q5" s="81"/>
      <c r="R5" s="142">
        <f>IF(ISBLANK('Control Entry'!$B5),"",'Control Entry'!$B5)</f>
        <v>44653</v>
      </c>
      <c r="S5" s="142"/>
      <c r="T5" s="142"/>
      <c r="U5" s="142"/>
      <c r="V5" s="54"/>
    </row>
    <row r="6" spans="1:22" ht="40" customHeight="1" x14ac:dyDescent="0.2">
      <c r="A6" s="39"/>
      <c r="B6" s="40">
        <f>Control_2 Open_time</f>
        <v>44653.351388888885</v>
      </c>
      <c r="C6" s="40">
        <f>Control_2 Close_time</f>
        <v>44653.427777777775</v>
      </c>
      <c r="D6" s="47"/>
      <c r="E6" s="114" t="str">
        <f>IF(ISBLANK(Control_2 Establishment_1),"",Control_2 Establishment_1)</f>
        <v xml:space="preserve">Sooke River Road </v>
      </c>
      <c r="F6" s="42" t="s">
        <v>102</v>
      </c>
      <c r="G6" s="10"/>
      <c r="H6" s="35" t="s">
        <v>29</v>
      </c>
      <c r="J6" s="141" t="s">
        <v>54</v>
      </c>
      <c r="K6" s="141"/>
      <c r="L6" s="139" t="str">
        <f>IF(ISBLANK(Brevet_Description),"",Brevet_Description)</f>
        <v>VI Spring 200: Pathways to Paradise</v>
      </c>
      <c r="M6" s="139"/>
      <c r="N6" s="139"/>
      <c r="O6" s="139"/>
      <c r="P6" s="139"/>
      <c r="Q6" s="139"/>
      <c r="R6" s="139"/>
      <c r="S6" s="139"/>
      <c r="T6" s="139"/>
      <c r="U6" s="139"/>
    </row>
    <row r="7" spans="1:22" ht="36" customHeight="1" x14ac:dyDescent="0.2">
      <c r="A7" s="48">
        <f>IF(ISBLANK(Distance Control_2),"",Control_2 Distance)</f>
        <v>49</v>
      </c>
      <c r="B7" s="49">
        <f>Control_2 Open_time</f>
        <v>44653.351388888885</v>
      </c>
      <c r="C7" s="49">
        <f>Control_2 Close_time</f>
        <v>44653.427777777775</v>
      </c>
      <c r="D7" s="50" t="str">
        <f>IF(ISBLANK(Locale Control_2),"",Locale Control_2)</f>
        <v>Sooke</v>
      </c>
      <c r="E7" s="42" t="str">
        <f>IF(ISBLANK(Control_2 Establishment_2),"",Control_2 Establishment_2)</f>
        <v>Parking Lot for</v>
      </c>
      <c r="F7" s="42" t="str">
        <f>IF(ISBLANK('Control Entry'!J11),"",'Control Entry'!J11)</f>
        <v/>
      </c>
      <c r="G7" s="10"/>
      <c r="H7" s="35" t="s">
        <v>29</v>
      </c>
    </row>
    <row r="8" spans="1:22" ht="36" customHeight="1" thickBot="1" x14ac:dyDescent="0.25">
      <c r="A8" s="43"/>
      <c r="B8" s="44">
        <f>Control_2 Open_time</f>
        <v>44653.351388888885</v>
      </c>
      <c r="C8" s="44">
        <f>Control_2 Close_time</f>
        <v>44653.427777777775</v>
      </c>
      <c r="D8" s="45"/>
      <c r="E8" s="116" t="str">
        <f>IF(ISBLANK(Control_2 Establishment_3),"",Control_2 Establishment_3)</f>
        <v>Galloping Goose Trail</v>
      </c>
      <c r="F8" s="46" t="str">
        <f>IF(ISBLANK('Control Entry'!K11),"",'Control Entry'!K11)</f>
        <v/>
      </c>
      <c r="G8" s="11"/>
      <c r="H8" s="35" t="s">
        <v>29</v>
      </c>
      <c r="J8" s="17" t="s">
        <v>34</v>
      </c>
      <c r="L8" s="127"/>
      <c r="M8" s="127"/>
      <c r="N8" s="127"/>
      <c r="O8" s="127"/>
      <c r="P8" s="127"/>
      <c r="Q8" s="127"/>
      <c r="R8" s="36"/>
      <c r="S8" s="55" t="s">
        <v>45</v>
      </c>
      <c r="T8" s="140"/>
      <c r="U8" s="140"/>
    </row>
    <row r="9" spans="1:22" ht="36" customHeight="1" thickBot="1" x14ac:dyDescent="0.3">
      <c r="A9" s="39"/>
      <c r="B9" s="40">
        <f>Control_3 Open_time</f>
        <v>44653.367361111108</v>
      </c>
      <c r="C9" s="40">
        <f>Control_3 Close_time</f>
        <v>44653.463194444441</v>
      </c>
      <c r="D9" s="47"/>
      <c r="E9" s="42" t="str">
        <f>IF(ISBLANK(Control_3 Establishment_1),"",Control_3 Establishment_1)</f>
        <v/>
      </c>
      <c r="F9" s="114" t="str">
        <f>IF(ISBLANK('Control Entry'!I12),"",'Control Entry'!I12)</f>
        <v>What does the sign on the gate say?</v>
      </c>
      <c r="G9" s="10"/>
      <c r="H9" s="35" t="s">
        <v>29</v>
      </c>
      <c r="J9" s="17" t="s">
        <v>35</v>
      </c>
      <c r="K9" s="17"/>
      <c r="L9" s="65" t="s">
        <v>53</v>
      </c>
      <c r="M9" s="23"/>
      <c r="N9" s="23"/>
      <c r="O9" s="23"/>
      <c r="P9" s="23"/>
      <c r="Q9" s="23"/>
      <c r="R9" s="23"/>
      <c r="S9" s="23"/>
      <c r="T9" s="23"/>
      <c r="U9" s="21"/>
    </row>
    <row r="10" spans="1:22" ht="36" customHeight="1" thickBot="1" x14ac:dyDescent="0.3">
      <c r="A10" s="48">
        <f>IF(ISBLANK(Distance Control_3),"",Control_3 Distance)</f>
        <v>61.7</v>
      </c>
      <c r="B10" s="49">
        <f>Control_3 Open_time</f>
        <v>44653.367361111108</v>
      </c>
      <c r="C10" s="49">
        <f>Control_3 Close_time</f>
        <v>44653.463194444441</v>
      </c>
      <c r="D10" s="50" t="str">
        <f>IF(ISBLANK(Locale Control_3),"",Locale Control_3)</f>
        <v>Leechtown</v>
      </c>
      <c r="E10" s="42" t="str">
        <f>IF(ISBLANK(Control_3 Establishment_2),"",Control_3 Establishment_2)</f>
        <v>The Red Gate</v>
      </c>
      <c r="F10" s="113" t="str">
        <f>IF(ISBLANK('Control Entry'!J12),"",'Control Entry'!J12)</f>
        <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44653.367361111108</v>
      </c>
      <c r="C11" s="44">
        <f>Control_3 Close_time</f>
        <v>44653.463194444441</v>
      </c>
      <c r="D11" s="45"/>
      <c r="E11" s="116" t="str">
        <f>IF(ISBLANK(Control_3 Establishment_3),"",Control_3 Establishment_3)</f>
        <v/>
      </c>
      <c r="F11" s="115" t="str">
        <f>IF(ISBLANK('Control Entry'!K12),"",'Control Entry'!K12)</f>
        <v>____K Gate</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44653.477083333331</v>
      </c>
      <c r="C12" s="40">
        <f>Control_4 Close_time</f>
        <v>44653.712499999994</v>
      </c>
      <c r="D12" s="47"/>
      <c r="E12" s="42" t="str">
        <f>IF(ISBLANK(Control_4 Establishment_1),"",Control_4 Establishment_1)</f>
        <v/>
      </c>
      <c r="F12" s="42" t="str">
        <f>IF(ISBLANK('Control Entry'!I13),"",'Control Entry'!I13)</f>
        <v>Colour of fire hydrant on left side of road? (circle answer)</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151.4</v>
      </c>
      <c r="B13" s="49">
        <f>Control_4 Open_time</f>
        <v>44653.477083333331</v>
      </c>
      <c r="C13" s="49">
        <f>Control_4 Close_time</f>
        <v>44653.712499999994</v>
      </c>
      <c r="D13" s="50" t="str">
        <f>IF(ISBLANK(Locale Control_4),"",Locale Control_4)</f>
        <v>North Saanich</v>
      </c>
      <c r="E13" s="42" t="str">
        <f>IF(ISBLANK(Control_4 Establishment_2),"",Control_4 Establishment_2)</f>
        <v>Where Land's End Rd becomes Chalet Rd</v>
      </c>
      <c r="F13" s="42" t="str">
        <f>IF(ISBLANK('Control Entry'!J13),"",'Control Entry'!J13)</f>
        <v xml:space="preserve">Red                       Red &amp; Blue        </v>
      </c>
      <c r="G13" s="10"/>
      <c r="H13" s="35" t="s">
        <v>29</v>
      </c>
      <c r="J13" s="17" t="s">
        <v>40</v>
      </c>
      <c r="L13" s="78"/>
      <c r="M13" s="79"/>
      <c r="N13" s="79"/>
      <c r="O13" s="25"/>
      <c r="P13" s="24" t="s">
        <v>41</v>
      </c>
      <c r="Q13" s="24"/>
      <c r="R13" s="38"/>
      <c r="S13" s="26"/>
      <c r="T13" s="26"/>
      <c r="U13" s="22"/>
    </row>
    <row r="14" spans="1:22" ht="36" customHeight="1" thickBot="1" x14ac:dyDescent="0.25">
      <c r="A14" s="43"/>
      <c r="B14" s="44">
        <f>Control_4 Open_time</f>
        <v>44653.477083333331</v>
      </c>
      <c r="C14" s="44">
        <f>Control_4 Close_time</f>
        <v>44653.712499999994</v>
      </c>
      <c r="D14" s="45"/>
      <c r="E14" s="117" t="str">
        <f>IF(ISBLANK(Control_4 Establishment_3),"",Control_4 Establishment_3)</f>
        <v/>
      </c>
      <c r="F14" s="46" t="str">
        <f>IF(ISBLANK('Control Entry'!K13),"",'Control Entry'!K13)</f>
        <v>White &amp; Red</v>
      </c>
      <c r="G14" s="11"/>
      <c r="H14" s="35" t="s">
        <v>29</v>
      </c>
    </row>
    <row r="15" spans="1:22" ht="36" customHeight="1" x14ac:dyDescent="0.2">
      <c r="A15" s="39"/>
      <c r="B15" s="40">
        <f>Control_5 Open_time</f>
        <v>44653.522222222222</v>
      </c>
      <c r="C15" s="40">
        <f>Control_5 Close_time</f>
        <v>44653.813888888886</v>
      </c>
      <c r="D15" s="47"/>
      <c r="E15" s="114" t="str">
        <f>IF(ISBLANK(Control_5 Establishment_1),"",Control_5 Establishment_1)</f>
        <v>Nest Café</v>
      </c>
      <c r="F15" s="114" t="str">
        <f>IF(ISBLANK('Control Entry'!I14),"",'Control Entry'!I14)</f>
        <v>After 4pm, sign own own card</v>
      </c>
      <c r="G15" s="10"/>
      <c r="H15" s="35" t="s">
        <v>29</v>
      </c>
      <c r="J15" s="17"/>
      <c r="L15" s="138" t="s">
        <v>57</v>
      </c>
      <c r="M15" s="138"/>
      <c r="N15" s="138"/>
      <c r="O15" s="138"/>
      <c r="P15" s="138"/>
      <c r="Q15" s="138"/>
      <c r="R15" s="138"/>
      <c r="S15" s="138"/>
      <c r="T15" s="138"/>
      <c r="U15" s="138"/>
    </row>
    <row r="16" spans="1:22" ht="36" customHeight="1" thickBot="1" x14ac:dyDescent="0.25">
      <c r="A16" s="48">
        <f>IF(ISBLANK(Distance Control_5),"",Control_5 Distance)</f>
        <v>188</v>
      </c>
      <c r="B16" s="49">
        <f>Control_5 Open_time</f>
        <v>44653.522222222222</v>
      </c>
      <c r="C16" s="49">
        <f>Control_5 Close_time</f>
        <v>44653.813888888886</v>
      </c>
      <c r="D16" s="50" t="str">
        <f>IF(ISBLANK(Locale Control_5),"",Locale Control_5)</f>
        <v>View Royal</v>
      </c>
      <c r="E16" s="42" t="str">
        <f>IF(ISBLANK(Control_5 Establishment_2),"",Control_5 Establishment_2)</f>
        <v>2311 Watkiss Way #102</v>
      </c>
      <c r="F16" s="42" t="str">
        <f>IF(ISBLANK('Control Entry'!J14),"",'Control Entry'!J14)</f>
        <v/>
      </c>
      <c r="G16" s="10"/>
      <c r="H16" s="35" t="s">
        <v>29</v>
      </c>
      <c r="L16" s="73"/>
      <c r="M16" s="73"/>
      <c r="N16" s="73"/>
      <c r="O16" s="73"/>
      <c r="P16" s="73"/>
      <c r="Q16" s="74"/>
      <c r="R16" s="74"/>
      <c r="S16" s="74"/>
      <c r="T16" s="74"/>
      <c r="U16" s="74"/>
    </row>
    <row r="17" spans="1:22" ht="36" customHeight="1" thickBot="1" x14ac:dyDescent="0.25">
      <c r="A17" s="43"/>
      <c r="B17" s="44">
        <f>Control_5 Open_time</f>
        <v>44653.522222222222</v>
      </c>
      <c r="C17" s="44">
        <f>Control_5 Close_time</f>
        <v>44653.813888888886</v>
      </c>
      <c r="D17" s="45"/>
      <c r="E17" s="116" t="str">
        <f>IF(ISBLANK(Control_5 Establishment_3),"",Control_5 Establishment_3)</f>
        <v>(only open til 4pm)</v>
      </c>
      <c r="F17" s="46" t="str">
        <f>IF(ISBLANK('Control Entry'!K14),"",'Control Entry'!K14)</f>
        <v/>
      </c>
      <c r="G17" s="11"/>
      <c r="H17" s="35" t="s">
        <v>29</v>
      </c>
    </row>
    <row r="18" spans="1:22" ht="36" customHeight="1" x14ac:dyDescent="0.2">
      <c r="A18" s="39"/>
      <c r="B18" s="40">
        <f>Control_6 Open_time</f>
        <v>44653.539583333331</v>
      </c>
      <c r="C18" s="40">
        <f>Control_6 Close_time</f>
        <v>44653.854166666664</v>
      </c>
      <c r="D18" s="47"/>
      <c r="E18" s="42" t="str">
        <f>IF(ISBLANK(Control_6 Establishment_1),"",Control_6 Establishment_1)</f>
        <v/>
      </c>
      <c r="F18" s="114" t="str">
        <f>IF(ISBLANK('Control Entry'!I15),"",'Control Entry'!I15)</f>
        <v>If prefer not to enter pub, sign own card</v>
      </c>
      <c r="G18" s="10"/>
      <c r="H18" s="35" t="s">
        <v>29</v>
      </c>
    </row>
    <row r="19" spans="1:22" ht="36" customHeight="1" x14ac:dyDescent="0.2">
      <c r="A19" s="48">
        <f>IF(ISBLANK(Distance Control_6),"",Control_6 Distance)</f>
        <v>202.1</v>
      </c>
      <c r="B19" s="49">
        <f>Control_6 Open_time</f>
        <v>44653.539583333331</v>
      </c>
      <c r="C19" s="49">
        <f>Control_6 Close_time</f>
        <v>44653.854166666664</v>
      </c>
      <c r="D19" s="50" t="str">
        <f>IF(ISBLANK(Locale Control_6),"",Locale Control_6)</f>
        <v>Oak Bay</v>
      </c>
      <c r="E19" s="42" t="str">
        <f>IF(ISBLANK(Control_6 Establishment_2),"",Control_6 Establishment_2)</f>
        <v>Penny Farthing Pub 2228 Oak Bay Avenue</v>
      </c>
      <c r="F19" s="113" t="str">
        <f>IF(ISBLANK('Control Entry'!J15),"",'Control Entry'!J15)</f>
        <v/>
      </c>
      <c r="G19" s="10"/>
      <c r="H19" s="35" t="s">
        <v>29</v>
      </c>
    </row>
    <row r="20" spans="1:22" ht="36" customHeight="1" thickBot="1" x14ac:dyDescent="0.25">
      <c r="A20" s="43"/>
      <c r="B20" s="44">
        <f>Control_6 Open_time</f>
        <v>44653.539583333331</v>
      </c>
      <c r="C20" s="44">
        <f>Control_6 Close_time</f>
        <v>44653.854166666664</v>
      </c>
      <c r="D20" s="45"/>
      <c r="E20" s="46" t="str">
        <f>IF(ISBLANK(Control_6 Establishment_3),"",Control_6 Establishment_3)</f>
        <v/>
      </c>
      <c r="F20" s="46" t="str">
        <f>IF(ISBLANK('Control Entry'!K15),"",'Control Entry'!K15)</f>
        <v/>
      </c>
      <c r="G20" s="11"/>
      <c r="H20" s="35" t="s">
        <v>29</v>
      </c>
      <c r="J20" s="72" t="s">
        <v>43</v>
      </c>
      <c r="K20" s="72"/>
      <c r="L20" s="75"/>
      <c r="M20" s="75"/>
      <c r="N20" s="75"/>
      <c r="P20" s="24" t="s">
        <v>0</v>
      </c>
      <c r="Q20" s="24"/>
      <c r="S20" s="137">
        <f>'Control Entry'!B8</f>
        <v>0.29166666666666669</v>
      </c>
      <c r="T20" s="137"/>
      <c r="U20" s="137"/>
    </row>
    <row r="21" spans="1:22" ht="36" customHeight="1" x14ac:dyDescent="0.2">
      <c r="A21" s="39"/>
      <c r="B21" s="40" t="str">
        <f>Control_7 Open_time</f>
        <v/>
      </c>
      <c r="C21" s="40" t="str">
        <f>Control_7 Close_time</f>
        <v/>
      </c>
      <c r="D21" s="47"/>
      <c r="E21" s="42" t="str">
        <f>IF(ISBLANK(Control_7 Establishment_1),"",Control_7 Establishment_1)</f>
        <v/>
      </c>
      <c r="F21" s="42" t="str">
        <f>IF(ISBLANK('Control Entry'!I16),"",'Control Entry'!I16)</f>
        <v/>
      </c>
      <c r="G21" s="10"/>
      <c r="H21" s="35" t="s">
        <v>29</v>
      </c>
      <c r="J21" s="72"/>
      <c r="K21" s="72"/>
      <c r="L21" s="70"/>
      <c r="M21" s="70"/>
      <c r="N21" s="70"/>
      <c r="P21" s="24"/>
      <c r="Q21" s="24"/>
      <c r="R21" s="29"/>
      <c r="S21" s="76"/>
      <c r="T21" s="76"/>
      <c r="U21" s="76"/>
      <c r="V21" s="36"/>
    </row>
    <row r="22" spans="1:22" ht="36" customHeight="1" thickBot="1" x14ac:dyDescent="0.25">
      <c r="A22" s="48" t="str">
        <f>IF(ISBLANK(Distance Control_7),"",Control_7 Distance)</f>
        <v/>
      </c>
      <c r="B22" s="49" t="str">
        <f>Control_7 Open_time</f>
        <v/>
      </c>
      <c r="C22" s="49" t="str">
        <f>Control_7 Close_time</f>
        <v/>
      </c>
      <c r="D22" s="50" t="str">
        <f>IF(ISBLANK(Locale Control_7),"",Locale Control_7)</f>
        <v/>
      </c>
      <c r="E22" s="42" t="str">
        <f>IF(ISBLANK(Control_7 Establishment_2),"",Control_7 Establishment_2)</f>
        <v/>
      </c>
      <c r="F22" s="42" t="str">
        <f>IF(ISBLANK('Control Entry'!J16),"",'Control Entry'!J16)</f>
        <v/>
      </c>
      <c r="G22" s="10"/>
      <c r="H22" s="35" t="s">
        <v>29</v>
      </c>
      <c r="J22" s="71" t="s">
        <v>44</v>
      </c>
      <c r="K22" s="71"/>
      <c r="L22" s="75"/>
      <c r="M22" s="75"/>
      <c r="N22" s="75"/>
      <c r="O22" s="25"/>
      <c r="P22" s="24" t="s">
        <v>1</v>
      </c>
      <c r="Q22" s="24"/>
      <c r="R22" s="25"/>
      <c r="S22" s="77"/>
      <c r="T22" s="77"/>
      <c r="U22" s="77"/>
    </row>
    <row r="23" spans="1:22" ht="36" customHeight="1" thickBot="1" x14ac:dyDescent="0.25">
      <c r="A23" s="43"/>
      <c r="B23" s="44" t="str">
        <f>Control_7 Open_time</f>
        <v/>
      </c>
      <c r="C23" s="44" t="str">
        <f>Control_7 Close_time</f>
        <v/>
      </c>
      <c r="D23" s="45"/>
      <c r="E23" s="112"/>
      <c r="F23" s="46" t="str">
        <f>IF(ISBLANK('Control Entry'!K16),"",'Control Entry'!K16)</f>
        <v/>
      </c>
      <c r="G23" s="11"/>
      <c r="H23" s="35" t="s">
        <v>29</v>
      </c>
      <c r="J23" s="71"/>
      <c r="K23" s="71"/>
      <c r="L23" s="70"/>
      <c r="M23" s="70"/>
      <c r="N23" s="70"/>
      <c r="O23" s="29"/>
      <c r="P23" s="69"/>
      <c r="Q23" s="69"/>
      <c r="R23" s="29"/>
      <c r="S23" s="29"/>
      <c r="T23" s="29"/>
      <c r="U23" s="29"/>
      <c r="V23" s="36"/>
    </row>
    <row r="24" spans="1:22" ht="36" customHeight="1" thickBot="1" x14ac:dyDescent="0.25">
      <c r="A24" s="39"/>
      <c r="B24" s="40" t="str">
        <f>Control_8 Open_time</f>
        <v/>
      </c>
      <c r="C24" s="40" t="str">
        <f>Control_8 Close_time</f>
        <v/>
      </c>
      <c r="D24" s="47"/>
      <c r="E24" s="42" t="str">
        <f>IF(ISBLANK(Control_8 Establishment_1),"",Control_8 Establishment_1)</f>
        <v/>
      </c>
      <c r="F24" s="42" t="str">
        <f>IF(ISBLANK('Control Entry'!I17),"",'Control Entry'!I17)</f>
        <v/>
      </c>
      <c r="G24" s="10"/>
      <c r="H24" s="35" t="s">
        <v>29</v>
      </c>
      <c r="J24" s="18"/>
      <c r="K24" s="18"/>
      <c r="L24" s="18"/>
      <c r="M24" s="26"/>
      <c r="N24" s="26"/>
      <c r="O24" s="25"/>
      <c r="P24" s="24" t="s">
        <v>2</v>
      </c>
      <c r="Q24" s="24"/>
      <c r="R24" s="25"/>
      <c r="S24" s="26"/>
      <c r="T24" s="26"/>
      <c r="U24" s="26"/>
    </row>
    <row r="25" spans="1:22" ht="36" customHeight="1" x14ac:dyDescent="0.2">
      <c r="A25" s="48" t="str">
        <f>IF(ISBLANK(Distance Control_8),"",Control_8 Distance)</f>
        <v/>
      </c>
      <c r="B25" s="49" t="str">
        <f>Control_8 Open_time</f>
        <v/>
      </c>
      <c r="C25" s="49" t="str">
        <f>Control_8 Close_time</f>
        <v/>
      </c>
      <c r="D25" s="50" t="str">
        <f>IF(ISBLANK(Locale Control_8),"",Locale Control_8)</f>
        <v/>
      </c>
      <c r="E25" s="42" t="str">
        <f>IF(ISBLANK(Control_8 Establishment_2),"",Control_8 Establishment_2)</f>
        <v/>
      </c>
      <c r="F25" s="42" t="str">
        <f>IF(ISBLANK('Control Entry'!J17),"",'Control Entry'!J17)</f>
        <v/>
      </c>
      <c r="G25" s="10"/>
      <c r="H25" s="35" t="s">
        <v>29</v>
      </c>
      <c r="J25" s="136" t="s">
        <v>17</v>
      </c>
      <c r="K25" s="136"/>
      <c r="L25" s="136"/>
      <c r="M25" s="136"/>
      <c r="N25" s="136"/>
      <c r="O25" s="63"/>
      <c r="P25" s="133"/>
      <c r="Q25" s="133"/>
      <c r="R25" s="63"/>
      <c r="S25" s="134"/>
      <c r="T25" s="134"/>
      <c r="U25" s="134"/>
      <c r="V25" s="134"/>
    </row>
    <row r="26" spans="1:22" ht="36" customHeight="1" thickBot="1" x14ac:dyDescent="0.25">
      <c r="A26" s="43"/>
      <c r="B26" s="44" t="str">
        <f>Control_8 Open_time</f>
        <v/>
      </c>
      <c r="C26" s="44" t="str">
        <f>Control_8 Close_time</f>
        <v/>
      </c>
      <c r="D26" s="45"/>
      <c r="E26" s="46" t="str">
        <f>IF(ISBLANK(Control_8 Establishment_3),"",Control_8 Establishment_3)</f>
        <v/>
      </c>
      <c r="F26" s="46" t="str">
        <f>IF(ISBLANK('Control Entry'!K17),"",'Control Entry'!K17)</f>
        <v/>
      </c>
      <c r="G26" s="11"/>
      <c r="H26" s="35" t="s">
        <v>29</v>
      </c>
    </row>
    <row r="27" spans="1:22" ht="36" customHeight="1" x14ac:dyDescent="0.2">
      <c r="A27" s="39"/>
      <c r="B27" s="40" t="str">
        <f>Control_9 Open_time</f>
        <v/>
      </c>
      <c r="C27" s="40" t="str">
        <f>Control_9 Close_time</f>
        <v/>
      </c>
      <c r="D27" s="47"/>
      <c r="E27" s="42" t="str">
        <f>IF(ISBLANK(Control_9 Establishment_1),"",Control_9 Establishment_1)</f>
        <v/>
      </c>
      <c r="F27" s="42" t="str">
        <f>IF(ISBLANK('Control Entry'!I18),"",'Control Entry'!I18)</f>
        <v/>
      </c>
      <c r="G27" s="10"/>
      <c r="H27" s="35" t="s">
        <v>29</v>
      </c>
      <c r="K27" s="132" t="s">
        <v>55</v>
      </c>
      <c r="L27" s="133"/>
      <c r="M27" s="62" t="s">
        <v>56</v>
      </c>
      <c r="N27" s="133" t="s">
        <v>48</v>
      </c>
      <c r="O27" s="133"/>
      <c r="P27" s="133" t="s">
        <v>49</v>
      </c>
      <c r="Q27" s="133"/>
      <c r="R27" s="63" t="s">
        <v>50</v>
      </c>
      <c r="S27" s="134" t="s">
        <v>51</v>
      </c>
      <c r="T27" s="134"/>
      <c r="U27" s="134" t="s">
        <v>52</v>
      </c>
      <c r="V27" s="134"/>
    </row>
    <row r="28" spans="1:22" ht="36" customHeight="1" x14ac:dyDescent="0.2">
      <c r="A28" s="48" t="str">
        <f>IF(ISBLANK(Distance Control_9),"",Control_9 Distance)</f>
        <v/>
      </c>
      <c r="B28" s="49" t="str">
        <f>Control_9 Open_time</f>
        <v/>
      </c>
      <c r="C28" s="49" t="str">
        <f>Control_9 Close_time</f>
        <v/>
      </c>
      <c r="D28" s="50" t="str">
        <f>IF(ISBLANK(Locale Control_9),"",Locale Control_9)</f>
        <v/>
      </c>
      <c r="E28" s="42" t="str">
        <f>IF(ISBLANK(Control_9 Establishment_2),"",Control_9 Establishment_2)</f>
        <v/>
      </c>
      <c r="F28" s="42" t="str">
        <f>IF(ISBLANK('Control Entry'!J18),"",'Control Entry'!J18)</f>
        <v/>
      </c>
      <c r="G28" s="10"/>
      <c r="H28" s="35" t="s">
        <v>29</v>
      </c>
    </row>
    <row r="29" spans="1:22" ht="36" customHeight="1" thickBot="1" x14ac:dyDescent="0.25">
      <c r="A29" s="43"/>
      <c r="B29" s="44" t="str">
        <f>Control_9 Open_time</f>
        <v/>
      </c>
      <c r="C29" s="44" t="str">
        <f>Control_9 Close_time</f>
        <v/>
      </c>
      <c r="D29" s="45"/>
      <c r="E29" s="46" t="str">
        <f>IF(ISBLANK(Control_9 Establishment_3),"",Control_9 Establishment_3)</f>
        <v/>
      </c>
      <c r="F29" s="46" t="str">
        <f>IF(ISBLANK('Control Entry'!K18),"",'Control Entry'!K18)</f>
        <v/>
      </c>
      <c r="G29" s="11"/>
      <c r="H29" s="35" t="s">
        <v>29</v>
      </c>
      <c r="M29" s="143" t="s">
        <v>42</v>
      </c>
      <c r="N29" s="143"/>
      <c r="O29" s="143"/>
      <c r="P29" s="143"/>
      <c r="Q29" s="143"/>
      <c r="R29" s="143"/>
      <c r="S29" s="143"/>
      <c r="T29" s="143"/>
      <c r="U29" s="67"/>
    </row>
    <row r="30" spans="1:22" ht="36" customHeight="1" x14ac:dyDescent="0.2">
      <c r="A30" s="39"/>
      <c r="B30" s="40" t="str">
        <f>Control_10 Open_time</f>
        <v/>
      </c>
      <c r="C30" s="40" t="str">
        <f>Control_10 Close_time</f>
        <v/>
      </c>
      <c r="D30" s="47"/>
      <c r="E30" s="42" t="str">
        <f>IF(ISBLANK(Control_10 Establishment_1),"",Control_10 Establishment_1)</f>
        <v/>
      </c>
      <c r="F30" s="42" t="str">
        <f>IF(ISBLANK('Control Entry'!I19),"",'Control Entry'!I19)</f>
        <v/>
      </c>
      <c r="G30" s="10"/>
      <c r="H30" s="35" t="s">
        <v>29</v>
      </c>
      <c r="M30" s="19"/>
      <c r="N30" s="27"/>
      <c r="O30" s="27"/>
      <c r="P30" s="28"/>
      <c r="Q30" s="27"/>
      <c r="R30" s="27"/>
      <c r="S30" s="27"/>
      <c r="T30" s="28"/>
      <c r="U30" s="29"/>
    </row>
    <row r="31" spans="1:22" ht="36" customHeight="1" x14ac:dyDescent="0.2">
      <c r="A31" s="48" t="str">
        <f>IF(ISBLANK(Distance Control_10),"",Control_10 Distance)</f>
        <v/>
      </c>
      <c r="B31" s="49" t="str">
        <f>Control_10 Open_time</f>
        <v/>
      </c>
      <c r="C31" s="49" t="str">
        <f>Control_10 Close_time</f>
        <v/>
      </c>
      <c r="D31" s="50" t="str">
        <f>IF(ISBLANK(Locale Control_10),"",Locale Control_10)</f>
        <v/>
      </c>
      <c r="E31" s="42" t="str">
        <f>IF(ISBLANK(Control_10 Establishment_2),"",Control_10 Establishment_2)</f>
        <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t="str">
        <f>Control_10 Open_time</f>
        <v/>
      </c>
      <c r="C32" s="44" t="str">
        <f>Control_10 Close_time</f>
        <v/>
      </c>
      <c r="D32" s="45"/>
      <c r="E32" s="46" t="str">
        <f>IF(ISBLANK(Control_10 Establishment_3),"",Control_10 Establishment_3)</f>
        <v/>
      </c>
      <c r="F32" s="46" t="str">
        <f>IF(ISBLANK('Control Entry'!K19),"",'Control Entry'!K19)</f>
        <v/>
      </c>
      <c r="G32" s="11"/>
      <c r="H32" s="35" t="s">
        <v>29</v>
      </c>
      <c r="M32" s="66"/>
      <c r="N32" s="26"/>
      <c r="O32" s="26"/>
      <c r="P32" s="31"/>
      <c r="Q32" s="26"/>
      <c r="R32" s="26"/>
      <c r="S32" s="26"/>
      <c r="T32" s="31"/>
      <c r="U32" s="29"/>
    </row>
    <row r="33" spans="1:22" ht="51" customHeight="1" x14ac:dyDescent="0.2">
      <c r="A33" s="130" t="s">
        <v>80</v>
      </c>
      <c r="B33" s="131"/>
      <c r="C33" s="131"/>
      <c r="D33" s="131"/>
      <c r="E33" s="131"/>
      <c r="F33" s="131"/>
      <c r="G33" s="131"/>
      <c r="H33" s="51"/>
      <c r="I33" s="51"/>
      <c r="N33" s="144"/>
      <c r="O33" s="144"/>
      <c r="P33" s="144"/>
      <c r="Q33" s="144"/>
      <c r="R33" s="144"/>
      <c r="S33" s="144"/>
      <c r="T33" s="144"/>
      <c r="U33" s="144"/>
      <c r="V33" s="61"/>
    </row>
    <row r="34" spans="1:22" ht="36" customHeight="1" x14ac:dyDescent="0.2">
      <c r="A34"/>
      <c r="O34" s="59"/>
      <c r="P34" s="59"/>
      <c r="Q34" s="59"/>
      <c r="R34" s="58"/>
    </row>
    <row r="35" spans="1:22" ht="36" customHeight="1" x14ac:dyDescent="0.2">
      <c r="A35"/>
      <c r="N35" s="143"/>
      <c r="O35" s="143"/>
      <c r="P35" s="143"/>
      <c r="Q35" s="143"/>
      <c r="R35" s="143"/>
      <c r="S35" s="143"/>
      <c r="T35" s="143"/>
      <c r="U35" s="143"/>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8"/>
      <c r="O38" s="29"/>
      <c r="P38" s="29"/>
      <c r="Q38" s="29"/>
      <c r="R38" s="29"/>
      <c r="S38" s="29"/>
      <c r="T38" s="29"/>
      <c r="U38" s="29"/>
    </row>
    <row r="39" spans="1:22" ht="36" customHeight="1" x14ac:dyDescent="0.15">
      <c r="A39"/>
    </row>
    <row r="40" spans="1:22" ht="36" customHeight="1" x14ac:dyDescent="0.15">
      <c r="A40"/>
    </row>
  </sheetData>
  <mergeCells count="25">
    <mergeCell ref="J6:K6"/>
    <mergeCell ref="R5:U5"/>
    <mergeCell ref="N35:U35"/>
    <mergeCell ref="M29:T29"/>
    <mergeCell ref="N27:O27"/>
    <mergeCell ref="P27:Q27"/>
    <mergeCell ref="S27:T27"/>
    <mergeCell ref="U27:V27"/>
    <mergeCell ref="N33:U33"/>
    <mergeCell ref="K2:U2"/>
    <mergeCell ref="L8:Q8"/>
    <mergeCell ref="A1:G1"/>
    <mergeCell ref="O3:R3"/>
    <mergeCell ref="A33:G33"/>
    <mergeCell ref="M4:T4"/>
    <mergeCell ref="P25:Q25"/>
    <mergeCell ref="S25:T25"/>
    <mergeCell ref="U25:V25"/>
    <mergeCell ref="N5:O5"/>
    <mergeCell ref="K27:L27"/>
    <mergeCell ref="J25:N25"/>
    <mergeCell ref="S20:U20"/>
    <mergeCell ref="L15:U15"/>
    <mergeCell ref="L6:U6"/>
    <mergeCell ref="T8:U8"/>
  </mergeCells>
  <phoneticPr fontId="16" type="noConversion"/>
  <printOptions horizontalCentered="1" verticalCentered="1"/>
  <pageMargins left="0.74803149606299213" right="0.74803149606299213" top="0.98425196850393704" bottom="0.98425196850393704" header="0.51181102362204722" footer="0.51181102362204722"/>
  <pageSetup scale="37"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28</vt:i4>
      </vt:variant>
    </vt:vector>
  </HeadingPairs>
  <TitlesOfParts>
    <vt:vector size="30" baseType="lpstr">
      <vt:lpstr>Control Entry</vt:lpstr>
      <vt:lpstr>Control 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#1'!Print_Area</vt:lpstr>
      <vt:lpstr>'Control Card #1'!Print_Titles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Holland Gidney</cp:lastModifiedBy>
  <cp:lastPrinted>2022-03-23T03:30:35Z</cp:lastPrinted>
  <dcterms:created xsi:type="dcterms:W3CDTF">1997-11-12T04:43:39Z</dcterms:created>
  <dcterms:modified xsi:type="dcterms:W3CDTF">2022-03-27T17:50:22Z</dcterms:modified>
</cp:coreProperties>
</file>