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Control Entry" sheetId="1" r:id="rId1"/>
    <sheet name="Control Sheet" sheetId="2" r:id="rId2"/>
    <sheet name="Riders" sheetId="3" r:id="rId3"/>
    <sheet name="VI0202B 090808" sheetId="4" r:id="rId4"/>
    <sheet name="Web sheet" sheetId="5" r:id="rId5"/>
    <sheet name="Web results" sheetId="6" r:id="rId6"/>
    <sheet name="Signon" sheetId="7" r:id="rId7"/>
  </sheets>
  <definedNames>
    <definedName name="_xlnm.Print_Titles" localSheetId="1">'Control Sheet'!$1:$2</definedName>
    <definedName name="_xlnm.Print_Area" localSheetId="3">'VI0202B 090808'!$A$1:$I$71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'Riders'!$O$2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<sst xmlns="http://schemas.openxmlformats.org/spreadsheetml/2006/main" count="601" uniqueCount="244">
  <si>
    <t>Brevet Length:</t>
  </si>
  <si>
    <t>Maximum Time:</t>
  </si>
  <si>
    <t>Brevet Description:</t>
  </si>
  <si>
    <t>Tour of Nanaimo and Cowichan Valleys</t>
  </si>
  <si>
    <t>Brevet Number:</t>
  </si>
  <si>
    <t>VI0202B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</si>
  <si>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</si>
  <si>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</si>
  <si>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</si>
  <si>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</si>
  <si>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</si>
  <si>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</si>
  <si>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</si>
  <si>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</si>
  <si>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</si>
  <si>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</si>
  <si>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</si>
  <si>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</si>
  <si>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</si>
  <si>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CHASE RIVER</t>
  </si>
  <si>
    <t>Tim Hortons</t>
  </si>
  <si>
    <t>Southgate Mall</t>
  </si>
  <si>
    <t>Nanaimo</t>
  </si>
  <si>
    <t>Control 2</t>
  </si>
  <si>
    <t>GENOA BAY</t>
  </si>
  <si>
    <t>Your choice</t>
  </si>
  <si>
    <t>Genoa Bay Marina</t>
  </si>
  <si>
    <t>Control 3</t>
  </si>
  <si>
    <t>MILL BAY</t>
  </si>
  <si>
    <t>Petrocan</t>
  </si>
  <si>
    <t>Horton &amp; Cobble Hill</t>
  </si>
  <si>
    <t>Control 4</t>
  </si>
  <si>
    <t>GLENORA</t>
  </si>
  <si>
    <t>General Store</t>
  </si>
  <si>
    <t>Indian &amp; Glenora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</si>
  <si>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</si>
  <si>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</si>
  <si>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</si>
  <si>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</si>
  <si>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</si>
  <si>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</si>
  <si>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</si>
  <si>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</si>
  <si>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</si>
  <si>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</si>
  <si>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</si>
  <si>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</si>
  <si>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</si>
  <si>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</si>
  <si>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</si>
  <si>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</si>
  <si>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</si>
  <si>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</si>
  <si>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</si>
  <si>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</si>
  <si>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</si>
  <si>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</si>
  <si>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</si>
  <si>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</si>
  <si>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</si>
  <si>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</si>
  <si>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</si>
  <si>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</si>
  <si>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</si>
  <si>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</si>
  <si>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</si>
  <si>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</si>
  <si>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</si>
  <si>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</si>
  <si>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</si>
  <si>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</si>
  <si>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</si>
  <si>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</si>
  <si>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</si>
  <si>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</si>
  <si>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</si>
  <si>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(250)713-9341</t>
  </si>
  <si>
    <t>msg(250)756-4756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</si>
  <si>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</si>
  <si>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</si>
  <si>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</si>
  <si>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</si>
  <si>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</si>
  <si>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</si>
  <si>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</si>
  <si>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</si>
  <si>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Cellular</t>
  </si>
  <si>
    <t>Fax</t>
  </si>
  <si>
    <t>Finish Time</t>
  </si>
  <si>
    <t>Notes</t>
  </si>
  <si>
    <t>Rand Memb</t>
  </si>
  <si>
    <t>Pin</t>
  </si>
  <si>
    <t>Hinde</t>
  </si>
  <si>
    <t>Stephen</t>
  </si>
  <si>
    <t>R</t>
  </si>
  <si>
    <t>6350 Pinewood Lane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</si>
  <si>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</si>
  <si>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</si>
  <si>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</si>
  <si>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</si>
  <si>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</si>
  <si>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</si>
  <si>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</si>
  <si>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</si>
  <si>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</si>
  <si>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Start:  Tim Horton's</t>
  </si>
  <si>
    <t>FIRST (lights)(into Ladysmith)</t>
  </si>
  <si>
    <t>across roundabout</t>
  </si>
  <si>
    <t>Chase River, Nanaimo</t>
  </si>
  <si>
    <t>SO</t>
  </si>
  <si>
    <t>FIRST (continue south)</t>
  </si>
  <si>
    <t>L</t>
  </si>
  <si>
    <t>Parkinglot lane</t>
  </si>
  <si>
    <t>DOGWOOD (at Bayview)</t>
  </si>
  <si>
    <t>LAWLOR (at lights)</t>
  </si>
  <si>
    <t>DAVIS (at stop)</t>
  </si>
  <si>
    <t>TENTH (at stop)</t>
  </si>
  <si>
    <t>HWY #1 (south)(at stop)</t>
  </si>
  <si>
    <t>BRUCE (no choice)</t>
  </si>
  <si>
    <t>WESTDOWNE (1st right)</t>
  </si>
  <si>
    <t>SEVENTH (at 2nd 4-way stop)</t>
  </si>
  <si>
    <t>HWY #1 (no choice)</t>
  </si>
  <si>
    <t>HAREWOOD MINES (at Glengarry)</t>
  </si>
  <si>
    <t>SMILEY (after light)</t>
  </si>
  <si>
    <t>NANAIMO LAKES (at stop)</t>
  </si>
  <si>
    <t>SMILEY (immediately)</t>
  </si>
  <si>
    <t>SOUTH FORKS (at Y)</t>
  </si>
  <si>
    <t>Cross Henry</t>
  </si>
  <si>
    <t>NANAIMO RIVER (stop sign)</t>
  </si>
  <si>
    <t>SMILEY</t>
  </si>
  <si>
    <t>S. WELLINGTON(to Hwy #1)(RR X)</t>
  </si>
  <si>
    <t>HIGHWAY #1 (no choice)</t>
  </si>
  <si>
    <t>Mt. SICKER (at light--Tempo)</t>
  </si>
  <si>
    <t>VOWELS (at Tempo)</t>
  </si>
  <si>
    <t>WESTHOLME (at stop)(no sign)</t>
  </si>
  <si>
    <t>HALLBERG (no exit ahead)</t>
  </si>
  <si>
    <t>pass Emerald Plc</t>
  </si>
  <si>
    <t>TIMBERLAND (at stop)</t>
  </si>
  <si>
    <t>RICHARDS TRAIL (1st left)</t>
  </si>
  <si>
    <t>CAMERON (first left)(no sign)</t>
  </si>
  <si>
    <t>HERD (at stop sign)</t>
  </si>
  <si>
    <t>TAKALA (top of hill)(sign on right)</t>
  </si>
  <si>
    <t>DRUMMOND (2nd past tennis court)</t>
  </si>
  <si>
    <t>THOMAS (no exit ahead)</t>
  </si>
  <si>
    <t>CHISHOLM (first right)</t>
  </si>
  <si>
    <t>CEDAR (to lights)</t>
  </si>
  <si>
    <t>GENOA BAY (at stop, no right turn)</t>
  </si>
  <si>
    <t>TRANSCANADA (Hwy #1)(traffic lights)</t>
  </si>
  <si>
    <t>GENOA BAY (at No Thru Rd)</t>
  </si>
  <si>
    <t>COBBLE HILL (exit gas stn)</t>
  </si>
  <si>
    <t>CONTROL #1--Your choice</t>
  </si>
  <si>
    <t>COBBLE HILL (at stop)(at T)</t>
  </si>
  <si>
    <t>Genoa Bay</t>
  </si>
  <si>
    <t>COBBLE HILL (at stop)</t>
  </si>
  <si>
    <t>(store on docks)</t>
  </si>
  <si>
    <t>Cross TransCanada Hwy #1 (lights)</t>
  </si>
  <si>
    <t>(washroom across parking lot)</t>
  </si>
  <si>
    <t>COWICHAN BAY</t>
  </si>
  <si>
    <t>TELEGRAPH (school 30km sign)</t>
  </si>
  <si>
    <t>U</t>
  </si>
  <si>
    <t>GENOA BAY (U-turn)</t>
  </si>
  <si>
    <t>KOKSILAH (at stop)(no sign)</t>
  </si>
  <si>
    <t>MAPLE BAY (at stop)</t>
  </si>
  <si>
    <t>TZOUHALEM (roundabout)(2nd exit)</t>
  </si>
  <si>
    <t xml:space="preserve">KOKSILAH  </t>
  </si>
  <si>
    <t>COWICHAN BAY (at stop)</t>
  </si>
  <si>
    <t>MILLER (Wine Route)</t>
  </si>
  <si>
    <t>CHERRY POINT (at 4-Ways)</t>
  </si>
  <si>
    <t>GLENORA (Wine Route)</t>
  </si>
  <si>
    <t>CHERRY POINT (at stop)</t>
  </si>
  <si>
    <t>INDIAN (at 4 way stop)</t>
  </si>
  <si>
    <t>TELEGRAPH (at stop)(no sign)</t>
  </si>
  <si>
    <t>KILMALU (at stop)</t>
  </si>
  <si>
    <t>CONTROL #3--Store &amp; Café</t>
  </si>
  <si>
    <t xml:space="preserve">Glenora  </t>
  </si>
  <si>
    <t>COBBLE HILL</t>
  </si>
  <si>
    <t>HORTON (first left)</t>
  </si>
  <si>
    <t>CONTROL #2 -- Petrocan</t>
  </si>
  <si>
    <t>Mill Bay</t>
  </si>
  <si>
    <t>INDIAN (continue north)</t>
  </si>
  <si>
    <t>CEDAR (at yield)(to Ferries)</t>
  </si>
  <si>
    <t>ALLENBY ( 4 way stop)</t>
  </si>
  <si>
    <t>WOOBANK (first right)</t>
  </si>
  <si>
    <t>Cross Cowichan River</t>
  </si>
  <si>
    <t>HOLDEN-CORSO (at stop)</t>
  </si>
  <si>
    <t>CRAIG (at lights)</t>
  </si>
  <si>
    <t>MacMILLAN (at store)</t>
  </si>
  <si>
    <t>INGRAM (at T)</t>
  </si>
  <si>
    <t>HARMAC (at T)</t>
  </si>
  <si>
    <t>CANADA (at lights)</t>
  </si>
  <si>
    <t>CEDAR (at Nanaimo River)</t>
  </si>
  <si>
    <t>BEVERLY (at lights)</t>
  </si>
  <si>
    <t>ROUTE 1 (Hwy #1)(at lights)</t>
  </si>
  <si>
    <t>TRANSCANADA(Hwy#1 at 2nd lights)</t>
  </si>
  <si>
    <t>TENTH (2nd traffic light)</t>
  </si>
  <si>
    <t>BELL-McKINNON (at 2nd lights)</t>
  </si>
  <si>
    <t>WESTHOLME (at T)</t>
  </si>
  <si>
    <t>FINISH: Tim Horton's</t>
  </si>
  <si>
    <t>CHEMAINUS (at Mt. Sicker)</t>
  </si>
  <si>
    <t>cross roundabout</t>
  </si>
  <si>
    <t>CHEMAINUS (thru town)</t>
  </si>
  <si>
    <t>HWY #1 (at traffic lights)</t>
  </si>
  <si>
    <t>LUDLOW (at 2nd lights)</t>
  </si>
  <si>
    <t>ROCKY CREEK (at stop)</t>
  </si>
  <si>
    <t>MALAMOS (at stop)</t>
  </si>
  <si>
    <t>HWY #1 on ramp (at Limberis)</t>
  </si>
  <si>
    <t>BRENTON-PAGE (1st after lights)</t>
  </si>
  <si>
    <t>CODE (1st left)</t>
  </si>
  <si>
    <t>CEDAR (at stop sign)</t>
  </si>
  <si>
    <t>YELLOWPOINT (at store)</t>
  </si>
  <si>
    <t>!!! CONGRATULATIONS !!!</t>
  </si>
  <si>
    <t>LAWLOR (at stop)</t>
  </si>
  <si>
    <t>SOUTH FORK (follow line)</t>
  </si>
  <si>
    <t>HIGHWAY #1</t>
  </si>
  <si>
    <t>CAMERON (first left)</t>
  </si>
  <si>
    <t>THOMAS (first left after RR X)</t>
  </si>
  <si>
    <t>HWY #1 (traffic lights)</t>
  </si>
  <si>
    <t>DOGWOOD (at Methuen)</t>
  </si>
  <si>
    <t>WESTHOLME (at stop)</t>
  </si>
  <si>
    <t xml:space="preserve">start steep downhill </t>
  </si>
  <si>
    <t>RICHARDS TRAIL (Cattle Crossing)</t>
  </si>
  <si>
    <t>DRUMMOND (2nd after fire hall)</t>
  </si>
  <si>
    <t>MAPLE BAY (at stop sign)</t>
  </si>
  <si>
    <t>TZOUHALEM (roundabout)</t>
  </si>
  <si>
    <t>CHERRY POINT (at obvious bend)</t>
  </si>
  <si>
    <t>HORTON</t>
  </si>
  <si>
    <t>COBBLE HILL (at stop sign)</t>
  </si>
  <si>
    <t>MILLER (Wine Route)(in dip)</t>
  </si>
  <si>
    <t>GLENORA (first left)</t>
  </si>
  <si>
    <t>CONTROL #3--General Store</t>
  </si>
  <si>
    <t>ALLENBY</t>
  </si>
  <si>
    <t>TRANSCANADA(Hwy#1 at2nd lights)</t>
  </si>
  <si>
    <t>BELL-McKINNON (at lights)</t>
  </si>
  <si>
    <t>BELL-McKINNON (at stop)</t>
  </si>
  <si>
    <t>FIRST (at traffic lights)</t>
  </si>
  <si>
    <t>CEDAR (at yield)(near firehall)</t>
  </si>
  <si>
    <t>CEDAR (at Nanaimo R)</t>
  </si>
  <si>
    <t>ROUTE 1 (Hwy #1)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</si>
  <si>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</si>
  <si>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</si>
  <si>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</si>
  <si>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</si>
  <si>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</t>
  </si>
  <si>
    <t>………4.  Other codes:  e - rode early; d - rode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</si>
</sst>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6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4" fontId="0" fillId="0" borderId="11" xfId="0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/>
    </xf>
    <xf numFmtId="164" fontId="4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7" fillId="0" borderId="0" xfId="0" applyFont="1" applyAlignment="1">
      <alignment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 locked="0"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0" fillId="0" borderId="17" xfId="0" applyNumberFormat="1" applyFont="1" applyBorder="1" applyAlignment="1" applyProtection="1">
      <alignment horizontal="center"/>
      <protection/>
    </xf>
    <xf numFmtId="164" fontId="3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wrapText="1"/>
    </xf>
    <xf numFmtId="175" fontId="7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12" fillId="2" borderId="5" xfId="0" applyFont="1" applyFill="1" applyBorder="1" applyAlignment="1">
      <alignment/>
    </xf>
    <xf numFmtId="164" fontId="12" fillId="2" borderId="5" xfId="0" applyFont="1" applyFill="1" applyBorder="1" applyAlignment="1">
      <alignment wrapText="1"/>
    </xf>
    <xf numFmtId="174" fontId="12" fillId="2" borderId="5" xfId="0" applyNumberFormat="1" applyFont="1" applyFill="1" applyBorder="1" applyAlignment="1">
      <alignment/>
    </xf>
    <xf numFmtId="174" fontId="12" fillId="2" borderId="5" xfId="0" applyNumberFormat="1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>
      <alignment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9" fontId="0" fillId="0" borderId="26" xfId="0" applyNumberFormat="1" applyBorder="1" applyAlignment="1">
      <alignment horizontal="right"/>
    </xf>
    <xf numFmtId="166" fontId="0" fillId="0" borderId="27" xfId="0" applyNumberFormat="1" applyBorder="1" applyAlignment="1">
      <alignment horizontal="center"/>
    </xf>
    <xf numFmtId="166" fontId="12" fillId="0" borderId="27" xfId="0" applyNumberFormat="1" applyFont="1" applyBorder="1" applyAlignment="1">
      <alignment horizontal="center"/>
    </xf>
    <xf numFmtId="169" fontId="0" fillId="0" borderId="28" xfId="0" applyNumberFormat="1" applyBorder="1" applyAlignment="1">
      <alignment horizontal="right"/>
    </xf>
    <xf numFmtId="169" fontId="0" fillId="0" borderId="29" xfId="0" applyNumberFormat="1" applyBorder="1" applyAlignment="1">
      <alignment horizontal="right"/>
    </xf>
    <xf numFmtId="166" fontId="0" fillId="0" borderId="30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left"/>
    </xf>
    <xf numFmtId="169" fontId="0" fillId="0" borderId="31" xfId="0" applyNumberFormat="1" applyBorder="1" applyAlignment="1">
      <alignment horizontal="right"/>
    </xf>
    <xf numFmtId="169" fontId="0" fillId="0" borderId="32" xfId="0" applyNumberFormat="1" applyBorder="1" applyAlignment="1">
      <alignment horizontal="right"/>
    </xf>
    <xf numFmtId="166" fontId="0" fillId="0" borderId="33" xfId="0" applyNumberFormat="1" applyBorder="1" applyAlignment="1">
      <alignment horizontal="center"/>
    </xf>
    <xf numFmtId="166" fontId="12" fillId="0" borderId="33" xfId="0" applyNumberFormat="1" applyFont="1" applyBorder="1" applyAlignment="1">
      <alignment horizontal="center"/>
    </xf>
    <xf numFmtId="169" fontId="0" fillId="0" borderId="34" xfId="0" applyNumberFormat="1" applyBorder="1" applyAlignment="1">
      <alignment horizontal="right"/>
    </xf>
    <xf numFmtId="164" fontId="0" fillId="0" borderId="30" xfId="0" applyBorder="1" applyAlignment="1">
      <alignment horizontal="center"/>
    </xf>
    <xf numFmtId="164" fontId="0" fillId="0" borderId="30" xfId="0" applyFont="1" applyBorder="1" applyAlignment="1">
      <alignment/>
    </xf>
    <xf numFmtId="166" fontId="0" fillId="0" borderId="33" xfId="0" applyNumberFormat="1" applyFont="1" applyBorder="1" applyAlignment="1">
      <alignment horizontal="center"/>
    </xf>
    <xf numFmtId="166" fontId="0" fillId="0" borderId="33" xfId="0" applyNumberFormat="1" applyFont="1" applyBorder="1" applyAlignment="1">
      <alignment horizontal="left"/>
    </xf>
    <xf numFmtId="169" fontId="0" fillId="0" borderId="34" xfId="0" applyNumberFormat="1" applyFont="1" applyBorder="1" applyAlignment="1">
      <alignment horizontal="right"/>
    </xf>
    <xf numFmtId="166" fontId="0" fillId="0" borderId="35" xfId="0" applyNumberFormat="1" applyFont="1" applyBorder="1" applyAlignment="1">
      <alignment horizontal="center"/>
    </xf>
    <xf numFmtId="166" fontId="0" fillId="0" borderId="35" xfId="0" applyNumberFormat="1" applyFont="1" applyBorder="1" applyAlignment="1">
      <alignment horizontal="left"/>
    </xf>
    <xf numFmtId="169" fontId="0" fillId="0" borderId="31" xfId="0" applyNumberFormat="1" applyFont="1" applyBorder="1" applyAlignment="1">
      <alignment horizontal="right"/>
    </xf>
    <xf numFmtId="169" fontId="0" fillId="0" borderId="36" xfId="0" applyNumberFormat="1" applyBorder="1" applyAlignment="1">
      <alignment horizontal="right"/>
    </xf>
    <xf numFmtId="166" fontId="0" fillId="0" borderId="37" xfId="0" applyNumberFormat="1" applyFont="1" applyBorder="1" applyAlignment="1">
      <alignment horizontal="center"/>
    </xf>
    <xf numFmtId="166" fontId="0" fillId="0" borderId="37" xfId="0" applyNumberFormat="1" applyFont="1" applyBorder="1" applyAlignment="1">
      <alignment horizontal="left"/>
    </xf>
    <xf numFmtId="169" fontId="0" fillId="0" borderId="7" xfId="0" applyNumberFormat="1" applyBorder="1" applyAlignment="1">
      <alignment horizontal="right"/>
    </xf>
    <xf numFmtId="169" fontId="0" fillId="0" borderId="36" xfId="0" applyNumberFormat="1" applyFont="1" applyBorder="1" applyAlignment="1">
      <alignment horizontal="right"/>
    </xf>
    <xf numFmtId="169" fontId="0" fillId="0" borderId="7" xfId="0" applyNumberFormat="1" applyFon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9" fontId="0" fillId="0" borderId="29" xfId="0" applyNumberFormat="1" applyFont="1" applyBorder="1" applyAlignment="1">
      <alignment horizontal="right"/>
    </xf>
    <xf numFmtId="164" fontId="0" fillId="0" borderId="38" xfId="0" applyBorder="1" applyAlignment="1">
      <alignment/>
    </xf>
    <xf numFmtId="169" fontId="12" fillId="0" borderId="29" xfId="0" applyNumberFormat="1" applyFont="1" applyBorder="1" applyAlignment="1">
      <alignment horizontal="right"/>
    </xf>
    <xf numFmtId="166" fontId="12" fillId="0" borderId="35" xfId="0" applyNumberFormat="1" applyFont="1" applyBorder="1" applyAlignment="1">
      <alignment horizontal="center"/>
    </xf>
    <xf numFmtId="169" fontId="0" fillId="0" borderId="39" xfId="0" applyNumberFormat="1" applyBorder="1" applyAlignment="1">
      <alignment horizontal="right"/>
    </xf>
    <xf numFmtId="166" fontId="12" fillId="0" borderId="30" xfId="0" applyNumberFormat="1" applyFont="1" applyBorder="1" applyAlignment="1">
      <alignment horizontal="center"/>
    </xf>
    <xf numFmtId="169" fontId="12" fillId="0" borderId="31" xfId="0" applyNumberFormat="1" applyFont="1" applyBorder="1" applyAlignment="1">
      <alignment horizontal="right"/>
    </xf>
    <xf numFmtId="166" fontId="13" fillId="0" borderId="30" xfId="0" applyNumberFormat="1" applyFont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12" fillId="0" borderId="4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33" xfId="0" applyFont="1" applyBorder="1" applyAlignment="1">
      <alignment horizontal="center"/>
    </xf>
    <xf numFmtId="164" fontId="0" fillId="0" borderId="33" xfId="0" applyFont="1" applyBorder="1" applyAlignment="1">
      <alignment/>
    </xf>
    <xf numFmtId="169" fontId="12" fillId="0" borderId="32" xfId="0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/>
    </xf>
    <xf numFmtId="166" fontId="13" fillId="0" borderId="37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left"/>
    </xf>
    <xf numFmtId="164" fontId="0" fillId="0" borderId="30" xfId="0" applyFont="1" applyBorder="1" applyAlignment="1">
      <alignment horizontal="center"/>
    </xf>
    <xf numFmtId="164" fontId="0" fillId="0" borderId="30" xfId="0" applyFont="1" applyBorder="1" applyAlignment="1">
      <alignment horizontal="left"/>
    </xf>
    <xf numFmtId="164" fontId="11" fillId="0" borderId="0" xfId="0" applyFont="1" applyBorder="1" applyAlignment="1">
      <alignment horizontal="center"/>
    </xf>
    <xf numFmtId="164" fontId="14" fillId="3" borderId="42" xfId="0" applyFont="1" applyFill="1" applyBorder="1" applyAlignment="1">
      <alignment horizontal="center"/>
    </xf>
    <xf numFmtId="164" fontId="14" fillId="3" borderId="23" xfId="0" applyFont="1" applyFill="1" applyBorder="1" applyAlignment="1">
      <alignment/>
    </xf>
    <xf numFmtId="164" fontId="14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3" xfId="0" applyFont="1" applyFill="1" applyBorder="1" applyAlignment="1" applyProtection="1">
      <alignment/>
      <protection locked="0"/>
    </xf>
    <xf numFmtId="164" fontId="0" fillId="0" borderId="43" xfId="0" applyFont="1" applyBorder="1" applyAlignment="1" applyProtection="1">
      <alignment/>
      <protection locked="0"/>
    </xf>
    <xf numFmtId="174" fontId="0" fillId="0" borderId="43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16</xdr:col>
      <xdr:colOff>142875</xdr:colOff>
      <xdr:row>4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0"/>
          <a:ext cx="4314825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15" sqref="D15"/>
    </sheetView>
  </sheetViews>
  <sheetFormatPr defaultColWidth="9.140625" defaultRowHeight="12.75"/>
  <cols>
    <col min="1" max="1" width="16.57421875" style="1" customWidth="1"/>
    <col min="2" max="2" width="9.2812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  <col min="13" max="16384" width="8.8515625" style="0" customWidth="1"/>
  </cols>
  <sheetData>
    <row r="1" spans="1:3" ht="12.75">
      <c r="A1" s="3" t="s">
        <v>0</v>
      </c>
      <c r="B1" s="4">
        <v>200</v>
      </c>
      <c r="C1" s="5">
        <f>IF(Brevet_Length&gt;=1200,Brevet_Length,IF(Brevet_Length&gt;=1000,1000,IF(Brevet_Length&gt;=600,600,IF(Brevet_Length&gt;=400,400,IF(Brevet_Length&gt;=200,200,100)))))</f>
        <v>200</v>
      </c>
    </row>
    <row r="2" spans="1:2" ht="12.75">
      <c r="A2" s="6" t="s">
        <v>1</v>
      </c>
      <c r="B2" s="7">
        <f>IF(brevet=1200,90,IF(brevet&gt;=1000,75,IF(brevet&gt;=600,40,IF(brevet&gt;=400,27,IF(brevet&gt;=300,20,IF(brevet&gt;=200,13.5,IF(brevet&gt;=100,7,0)))))))</f>
        <v>13.5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0.2916666666666667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0.2916666666666667</v>
      </c>
      <c r="J10" s="24">
        <f>I10+"1:00"</f>
        <v>0.33333333333333337</v>
      </c>
      <c r="K10" s="25">
        <f>IF(ISBLANK(Distance),"",Open Control_1)</f>
        <v>0.2916666666666667</v>
      </c>
      <c r="L10" s="25">
        <f>IF(ISBLANK(Distance),"",Close Control_1)</f>
        <v>0.33333333333333337</v>
      </c>
    </row>
    <row r="11" spans="3:12" ht="12.75">
      <c r="C11" s="2" t="s">
        <v>23</v>
      </c>
      <c r="D11" s="20">
        <f>'VI0202B 090808'!A27</f>
        <v>77.3</v>
      </c>
      <c r="E11" s="21" t="s">
        <v>24</v>
      </c>
      <c r="F11" s="22" t="s">
        <v>25</v>
      </c>
      <c r="G11" s="22" t="s">
        <v>26</v>
      </c>
      <c r="H11" s="23"/>
      <c r="I11" s="5">
        <f>IF(ISBLANK(Distance),"",IF(Distance&gt;1000,(Distance-1000)/26+33.0847,(IF(Distance&gt;600,(Distance-600)/28+18.799,(IF(Distance&gt;400,(Distance-400)/30+12.1324,(IF(Distance&gt;200,(Distance-200)/32+5.8824,Distance/34))))))))</f>
        <v>2.273529411764706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5.153333333333333</v>
      </c>
      <c r="K11" s="25">
        <f>IF(ISBLANK(Distance),"",Open_time Control_1+(INT(Open)&amp;":"&amp;IF(ROUND(((Open-INT(Open))*60),0)&lt;10,0,"")&amp;ROUND(((Open-INT(Open))*60),0)))</f>
        <v>0.3861111111111111</v>
      </c>
      <c r="L11" s="25">
        <f>IF(ISBLANK(Distance),"",Open_time Control_1+(INT(Close)&amp;":"&amp;IF(ROUND(((Close-INT(Close))*60),0)&lt;10,0,"")&amp;ROUND(((Close-INT(Close))*60),0)))</f>
        <v>0.50625</v>
      </c>
    </row>
    <row r="12" spans="3:12" ht="12.75">
      <c r="C12" s="2" t="s">
        <v>27</v>
      </c>
      <c r="D12" s="20">
        <f>'VI0202B 090808'!A44</f>
        <v>114.29999999999998</v>
      </c>
      <c r="E12" s="21" t="s">
        <v>28</v>
      </c>
      <c r="F12" s="22" t="s">
        <v>29</v>
      </c>
      <c r="G12" s="22" t="s">
        <v>30</v>
      </c>
      <c r="H12" s="23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3.3617647058823525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7.619999999999999</v>
      </c>
      <c r="K12" s="25">
        <f>IF(ISBLANK(Distance),"",Open_time Control_1+(INT(Open)&amp;":"&amp;IF(ROUND(((Open-INT(Open))*60),0)&lt;10,0,"")&amp;ROUND(((Open-INT(Open))*60),0)))</f>
        <v>0.43194444444444446</v>
      </c>
      <c r="L12" s="25">
        <f>IF(ISBLANK(Distance),"",Open_time Control_1+(INT(Close)&amp;":"&amp;IF(ROUND(((Close-INT(Close))*60),0)&lt;10,0,"")&amp;ROUND(((Close-INT(Close))*60),0)))</f>
        <v>0.6090277777777777</v>
      </c>
    </row>
    <row r="13" spans="3:12" ht="12.75">
      <c r="C13" s="2" t="s">
        <v>31</v>
      </c>
      <c r="D13" s="20">
        <f>'VI0202B 090808'!F40</f>
        <v>0</v>
      </c>
      <c r="E13" s="21" t="s">
        <v>32</v>
      </c>
      <c r="F13" s="22" t="s">
        <v>33</v>
      </c>
      <c r="G13" s="22" t="s">
        <v>34</v>
      </c>
      <c r="H13" s="23"/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0</v>
      </c>
      <c r="J13" s="5">
        <f t="shared" si="0"/>
        <v>0</v>
      </c>
      <c r="K13" s="25">
        <f>IF(ISBLANK(Distance),"",Open_time Control_1+(INT(Open)&amp;":"&amp;IF(ROUND(((Open-INT(Open))*60),0)&lt;10,0,"")&amp;ROUND(((Open-INT(Open))*60),0)))</f>
        <v>0.2916666666666667</v>
      </c>
      <c r="L13" s="25">
        <f>IF(ISBLANK(Distance),"",Open_time Control_1+(INT(Close)&amp;":"&amp;IF(ROUND(((Close-INT(Close))*60),0)&lt;10,0,"")&amp;ROUND(((Close-INT(Close))*60),0)))</f>
        <v>0.2916666666666667</v>
      </c>
    </row>
    <row r="14" spans="3:12" ht="12.75">
      <c r="C14" s="2" t="s">
        <v>35</v>
      </c>
      <c r="D14" s="20">
        <f>'VI0202B 090808'!F59</f>
        <v>205.59999999999997</v>
      </c>
      <c r="E14" s="21" t="s">
        <v>19</v>
      </c>
      <c r="F14" s="22" t="s">
        <v>20</v>
      </c>
      <c r="G14" s="22" t="s">
        <v>21</v>
      </c>
      <c r="H14" s="23" t="s">
        <v>22</v>
      </c>
      <c r="I14" s="5">
        <f t="shared" si="1"/>
        <v>6.057399999999999</v>
      </c>
      <c r="J14" s="5">
        <f t="shared" si="0"/>
        <v>13.5</v>
      </c>
      <c r="K14" s="25">
        <f>IF(ISBLANK(Distance),"",Open_time Control_1+(INT(Open)&amp;":"&amp;IF(ROUND(((Open-INT(Open))*60),0)&lt;10,0,"")&amp;ROUND(((Open-INT(Open))*60),0)))</f>
        <v>0.54375</v>
      </c>
      <c r="L14" s="25">
        <f>IF(ISBLANK(Distance),"",Open_time Control_1+(INT(Close)&amp;":"&amp;IF(ROUND(((Close-INT(Close))*60),0)&lt;10,0,"")&amp;ROUND(((Close-INT(Close))*60),0)))</f>
        <v>0.8541666666666667</v>
      </c>
    </row>
    <row r="15" spans="3:12" ht="12.75">
      <c r="C15" s="2" t="s">
        <v>36</v>
      </c>
      <c r="D15" s="20"/>
      <c r="E15" s="21"/>
      <c r="F15" s="22"/>
      <c r="G15" s="22"/>
      <c r="H15" s="23"/>
      <c r="I15">
        <f t="shared" si="1"/>
      </c>
      <c r="J15">
        <f t="shared" si="0"/>
      </c>
      <c r="K15" s="25">
        <f>IF(ISBLANK(Distance),"",Open_time Control_1+(INT(Open)&amp;":"&amp;IF(ROUND(((Open-INT(Open))*60),0)&lt;10,0,"")&amp;ROUND(((Open-INT(Open))*60),0)))</f>
      </c>
      <c r="L15" s="25">
        <f>IF(ISBLANK(Distance),"",Open_time Control_1+(INT(Close)&amp;":"&amp;IF(ROUND(((Close-INT(Close))*60),0)&lt;10,0,"")&amp;ROUND(((Close-INT(Close))*60),0)))</f>
      </c>
    </row>
    <row r="16" spans="3:12" ht="12.75">
      <c r="C16" s="2" t="s">
        <v>37</v>
      </c>
      <c r="D16" s="20"/>
      <c r="E16" s="21"/>
      <c r="F16" s="22"/>
      <c r="G16" s="22"/>
      <c r="H16" s="23"/>
      <c r="I16">
        <f t="shared" si="1"/>
      </c>
      <c r="J16">
        <f t="shared" si="0"/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38</v>
      </c>
      <c r="D17" s="20"/>
      <c r="E17" s="21"/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39</v>
      </c>
      <c r="D18" s="20"/>
      <c r="E18" s="21" t="s">
        <v>40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41</v>
      </c>
      <c r="D19" s="20"/>
      <c r="E19" s="21" t="s">
        <v>40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42</v>
      </c>
      <c r="D20" s="26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43</v>
      </c>
      <c r="D21" s="26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44</v>
      </c>
      <c r="D22" s="26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45</v>
      </c>
      <c r="D23" s="26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46</v>
      </c>
      <c r="D24" s="26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47</v>
      </c>
      <c r="D25" s="26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48</v>
      </c>
      <c r="D26" s="26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49</v>
      </c>
      <c r="D27" s="26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50</v>
      </c>
      <c r="D28" s="26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51</v>
      </c>
      <c r="D29" s="27"/>
      <c r="E29" s="28"/>
      <c r="F29" s="29"/>
      <c r="G29" s="29"/>
      <c r="H29" s="30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7" sqref="A7"/>
    </sheetView>
  </sheetViews>
  <sheetFormatPr defaultColWidth="9.140625" defaultRowHeight="12.75"/>
  <cols>
    <col min="1" max="1" width="9.28125" style="0" customWidth="1"/>
    <col min="2" max="3" width="11.7109375" style="0" customWidth="1"/>
    <col min="4" max="4" width="19.28125" style="0" customWidth="1"/>
    <col min="5" max="5" width="24.57421875" style="0" customWidth="1"/>
    <col min="6" max="6" width="43.28125" style="0" customWidth="1"/>
    <col min="7" max="7" width="13.57421875" style="0" customWidth="1"/>
    <col min="8" max="16384" width="8.8515625" style="0" customWidth="1"/>
  </cols>
  <sheetData>
    <row r="1" spans="1:8" ht="19.5">
      <c r="A1" s="31" t="s">
        <v>52</v>
      </c>
      <c r="B1" s="31"/>
      <c r="C1" s="31"/>
      <c r="D1" s="31"/>
      <c r="E1" s="31"/>
      <c r="F1" s="31"/>
      <c r="G1" s="31"/>
      <c r="H1" s="11" t="s">
        <v>53</v>
      </c>
    </row>
    <row r="2" spans="1:14" ht="33.75">
      <c r="A2" s="32" t="s">
        <v>54</v>
      </c>
      <c r="B2" s="33" t="s">
        <v>14</v>
      </c>
      <c r="C2" s="33" t="s">
        <v>15</v>
      </c>
      <c r="D2" s="33" t="s">
        <v>10</v>
      </c>
      <c r="E2" s="33" t="s">
        <v>55</v>
      </c>
      <c r="F2" s="33" t="s">
        <v>56</v>
      </c>
      <c r="G2" s="32" t="s">
        <v>57</v>
      </c>
      <c r="H2" s="11" t="s">
        <v>53</v>
      </c>
      <c r="N2" s="34"/>
    </row>
    <row r="3" spans="1:14" ht="36" customHeight="1">
      <c r="A3" s="35"/>
      <c r="B3" s="36">
        <f>Control_1 Open_time</f>
        <v>0.2916666666666667</v>
      </c>
      <c r="C3" s="36">
        <f>Control_1 Close_time</f>
        <v>0.33333333333333337</v>
      </c>
      <c r="D3" s="37"/>
      <c r="E3" s="38">
        <f>IF(ISBLANK(Control_1 Establishment_1),"",Control_1 Establishment_1)</f>
        <v>0</v>
      </c>
      <c r="F3" s="39"/>
      <c r="G3" s="40"/>
      <c r="H3" s="11" t="s">
        <v>53</v>
      </c>
      <c r="K3" s="41"/>
      <c r="N3" s="34"/>
    </row>
    <row r="4" spans="1:14" ht="36" customHeight="1">
      <c r="A4" s="42">
        <f>IF(ISBLANK(Distance Control_1),"",Control_1 Distance)</f>
        <v>0</v>
      </c>
      <c r="B4" s="43">
        <f>Control_1 Open_time</f>
        <v>0.2916666666666667</v>
      </c>
      <c r="C4" s="43">
        <f>Control_1 Close_time</f>
        <v>0.33333333333333337</v>
      </c>
      <c r="D4" s="38">
        <f>IF(ISBLANK(Locale Control_1),"",Locale Control_1)</f>
        <v>0</v>
      </c>
      <c r="E4" s="38">
        <f>IF(ISBLANK(Control_1 Establishment_2),"",Control_1 Establishment_2)</f>
        <v>0</v>
      </c>
      <c r="F4" s="39"/>
      <c r="G4" s="40"/>
      <c r="H4" s="11" t="s">
        <v>53</v>
      </c>
      <c r="K4" s="41"/>
      <c r="N4" s="34"/>
    </row>
    <row r="5" spans="1:11" ht="36" customHeight="1">
      <c r="A5" s="44"/>
      <c r="B5" s="45">
        <f>Control_1 Open_time</f>
        <v>0.2916666666666667</v>
      </c>
      <c r="C5" s="45">
        <f>Control_1 Close_time</f>
        <v>0.33333333333333337</v>
      </c>
      <c r="D5" s="46"/>
      <c r="E5" s="47">
        <f>IF(ISBLANK(Control_1 Establishment_3),"",Control_1 Establishment_3)</f>
        <v>0</v>
      </c>
      <c r="F5" s="48"/>
      <c r="G5" s="49"/>
      <c r="H5" s="11" t="s">
        <v>53</v>
      </c>
      <c r="K5" s="41"/>
    </row>
    <row r="6" spans="1:11" ht="36" customHeight="1">
      <c r="A6" s="35"/>
      <c r="B6" s="36">
        <f>Control_2 Open_time</f>
        <v>0.3861111111111111</v>
      </c>
      <c r="C6" s="36">
        <f>Control_2 Close_time</f>
        <v>0.50625</v>
      </c>
      <c r="D6" s="50"/>
      <c r="E6" s="38">
        <f>IF(ISBLANK(Control_2 Establishment_1),"",Control_2 Establishment_1)</f>
        <v>0</v>
      </c>
      <c r="F6" s="39"/>
      <c r="G6" s="40"/>
      <c r="H6" s="11" t="s">
        <v>53</v>
      </c>
      <c r="K6" s="41"/>
    </row>
    <row r="7" spans="1:11" ht="36" customHeight="1">
      <c r="A7" s="42">
        <f>IF(ISBLANK(Distance Control_2),"",Control_2 Distance)</f>
        <v>77.3</v>
      </c>
      <c r="B7" s="43">
        <f>Control_2 Open_time</f>
        <v>0.3861111111111111</v>
      </c>
      <c r="C7" s="43">
        <f>Control_2 Close_time</f>
        <v>0.50625</v>
      </c>
      <c r="D7" s="38">
        <f>IF(ISBLANK(Locale Control_2),"",Locale Control_2)</f>
        <v>0</v>
      </c>
      <c r="E7" s="38">
        <f>IF(ISBLANK(Control_2 Establishment_2),"",Control_2 Establishment_2)</f>
        <v>0</v>
      </c>
      <c r="F7" s="39"/>
      <c r="G7" s="40"/>
      <c r="H7" s="11" t="s">
        <v>53</v>
      </c>
      <c r="K7" s="41"/>
    </row>
    <row r="8" spans="1:20" ht="36" customHeight="1">
      <c r="A8" s="44"/>
      <c r="B8" s="45">
        <f>Control_2 Open_time</f>
        <v>0.3861111111111111</v>
      </c>
      <c r="C8" s="45">
        <f>Control_2 Close_time</f>
        <v>0.50625</v>
      </c>
      <c r="D8" s="46"/>
      <c r="E8" s="47">
        <f>IF(ISBLANK(Control_2 Establishment_3),"",Control_2 Establishment_3)</f>
        <v>0</v>
      </c>
      <c r="F8" s="48"/>
      <c r="G8" s="49"/>
      <c r="H8" s="11" t="s">
        <v>53</v>
      </c>
      <c r="J8" s="51" t="s">
        <v>58</v>
      </c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19" ht="36" customHeight="1">
      <c r="A9" s="35"/>
      <c r="B9" s="36">
        <f>Control_3 Open_time</f>
        <v>0.43194444444444446</v>
      </c>
      <c r="C9" s="36">
        <f>Control_3 Close_time</f>
        <v>0.6090277777777777</v>
      </c>
      <c r="D9" s="50"/>
      <c r="E9" s="38">
        <f>IF(ISBLANK(Control_3 Establishment_1),"",Control_3 Establishment_1)</f>
        <v>0</v>
      </c>
      <c r="F9" s="39"/>
      <c r="G9" s="40"/>
      <c r="H9" s="11" t="s">
        <v>53</v>
      </c>
      <c r="J9" s="52">
        <f>IF(ISBLANK(brevet),"",brevet&amp;" km Randonnée")</f>
        <v>0</v>
      </c>
      <c r="K9" s="52"/>
      <c r="L9" s="52"/>
      <c r="M9" s="52"/>
      <c r="N9" s="52"/>
      <c r="O9" s="52"/>
      <c r="P9" s="52"/>
      <c r="Q9" s="52"/>
      <c r="R9" s="52"/>
      <c r="S9" s="52"/>
    </row>
    <row r="10" spans="1:20" ht="36" customHeight="1">
      <c r="A10" s="42">
        <f>IF(ISBLANK(Distance Control_3),"",Control_3 Distance)</f>
        <v>114.29999999999998</v>
      </c>
      <c r="B10" s="43">
        <f>Control_3 Open_time</f>
        <v>0.43194444444444446</v>
      </c>
      <c r="C10" s="43">
        <f>Control_3 Close_time</f>
        <v>0.6090277777777777</v>
      </c>
      <c r="D10" s="38">
        <f>IF(ISBLANK(Locale Control_3),"",Locale Control_3)</f>
        <v>0</v>
      </c>
      <c r="E10" s="38">
        <f>IF(ISBLANK(Control_3 Establishment_2),"",Control_3 Establishment_2)</f>
        <v>0</v>
      </c>
      <c r="F10" s="39"/>
      <c r="G10" s="40"/>
      <c r="H10" s="11" t="s">
        <v>53</v>
      </c>
      <c r="J10" s="53">
        <f>IF(ISBLANK(Brevet_Description),"",Brevet_Description)</f>
        <v>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36" customHeight="1">
      <c r="A11" s="44"/>
      <c r="B11" s="45">
        <f>Control_3 Open_time</f>
        <v>0.43194444444444446</v>
      </c>
      <c r="C11" s="45">
        <f>Control_3 Close_time</f>
        <v>0.6090277777777777</v>
      </c>
      <c r="D11" s="46"/>
      <c r="E11" s="47">
        <f>IF(ISBLANK(Control_3 Establishment_3),"",Control_3 Establishment_3)</f>
        <v>0</v>
      </c>
      <c r="F11" s="48"/>
      <c r="G11" s="49"/>
      <c r="H11" s="11" t="s">
        <v>53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36" customHeight="1">
      <c r="A12" s="35"/>
      <c r="B12" s="36">
        <f>Control_4 Open_time</f>
        <v>0.2916666666666667</v>
      </c>
      <c r="C12" s="36">
        <f>Control_4 Close_time</f>
        <v>0.2916666666666667</v>
      </c>
      <c r="D12" s="50"/>
      <c r="E12" s="38">
        <f>IF(ISBLANK(Control_4 Establishment_1),"",Control_4 Establishment_1)</f>
        <v>0</v>
      </c>
      <c r="F12" s="39"/>
      <c r="G12" s="40"/>
      <c r="H12" s="11" t="s">
        <v>53</v>
      </c>
      <c r="J12" s="55" t="s">
        <v>59</v>
      </c>
      <c r="L12" s="56" t="str">
        <f>IF(ISBLANK(surname),"",First_Name&amp;" "&amp;Initial&amp;" "&amp;surname)</f>
        <v>Stephen R Hinde</v>
      </c>
      <c r="M12" s="57"/>
      <c r="N12" s="57"/>
      <c r="O12" s="57"/>
      <c r="P12" s="57"/>
      <c r="Q12" s="57"/>
      <c r="R12" s="57"/>
      <c r="S12" s="57"/>
      <c r="T12" s="58"/>
    </row>
    <row r="13" spans="1:20" ht="36" customHeight="1">
      <c r="A13" s="42">
        <f>IF(ISBLANK(Distance Control_4),"",Control_4 Distance)</f>
        <v>0</v>
      </c>
      <c r="B13" s="43">
        <f>Control_4 Open_time</f>
        <v>0.2916666666666667</v>
      </c>
      <c r="C13" s="43">
        <f>Control_4 Close_time</f>
        <v>0.2916666666666667</v>
      </c>
      <c r="D13" s="38">
        <f>IF(ISBLANK(Locale Control_4),"",Locale Control_4)</f>
        <v>0</v>
      </c>
      <c r="E13" s="38">
        <f>IF(ISBLANK(Control_4 Establishment_2),"",Control_4 Establishment_2)</f>
        <v>0</v>
      </c>
      <c r="F13" s="39"/>
      <c r="G13" s="40"/>
      <c r="H13" s="11" t="s">
        <v>53</v>
      </c>
      <c r="J13" s="55" t="s">
        <v>60</v>
      </c>
      <c r="K13" s="55"/>
      <c r="L13" s="59" t="str">
        <f>IF(ISBLANK(Address_1),"",Address_1)</f>
        <v>6350 Pinewood Lane</v>
      </c>
      <c r="M13" s="60"/>
      <c r="N13" s="60"/>
      <c r="O13" s="60"/>
      <c r="P13" s="60"/>
      <c r="Q13" s="60"/>
      <c r="R13" s="60"/>
      <c r="S13" s="60"/>
      <c r="T13" s="61"/>
    </row>
    <row r="14" spans="1:20" ht="36" customHeight="1">
      <c r="A14" s="44"/>
      <c r="B14" s="45">
        <f>Control_4 Open_time</f>
        <v>0.2916666666666667</v>
      </c>
      <c r="C14" s="45">
        <f>Control_4 Close_time</f>
        <v>0.2916666666666667</v>
      </c>
      <c r="D14" s="46"/>
      <c r="E14" s="47">
        <f>IF(ISBLANK(Control_4 Establishment_3),"",Control_4 Establishment_3)</f>
        <v>0</v>
      </c>
      <c r="F14" s="48"/>
      <c r="G14" s="49"/>
      <c r="H14" s="11" t="s">
        <v>53</v>
      </c>
      <c r="J14" s="55"/>
      <c r="K14" s="55"/>
      <c r="L14" s="59">
        <f>IF(ISBLANK(Address_2),"",Address_2)</f>
      </c>
      <c r="M14" s="60"/>
      <c r="N14" s="60"/>
      <c r="O14" s="60"/>
      <c r="P14" s="60"/>
      <c r="Q14" s="60"/>
      <c r="R14" s="60"/>
      <c r="S14" s="60"/>
      <c r="T14" s="61"/>
    </row>
    <row r="15" spans="1:20" ht="36" customHeight="1">
      <c r="A15" s="35"/>
      <c r="B15" s="36">
        <f>Control_5 Open_time</f>
        <v>0.54375</v>
      </c>
      <c r="C15" s="36">
        <f>Control_5 Close_time</f>
        <v>0.8541666666666667</v>
      </c>
      <c r="D15" s="50"/>
      <c r="E15" s="38">
        <f>IF(ISBLANK(Control_5 Establishment_1),"",Control_5 Establishment_1)</f>
        <v>0</v>
      </c>
      <c r="F15" s="39"/>
      <c r="G15" s="40"/>
      <c r="H15" s="11" t="s">
        <v>53</v>
      </c>
      <c r="J15" s="55" t="s">
        <v>61</v>
      </c>
      <c r="K15" s="55"/>
      <c r="L15" s="59">
        <f>IF(ISBLANK(City),"",City)</f>
      </c>
      <c r="M15" s="60"/>
      <c r="N15" s="60"/>
      <c r="O15" s="62"/>
      <c r="P15" s="62" t="s">
        <v>62</v>
      </c>
      <c r="Q15" s="62"/>
      <c r="R15" s="62"/>
      <c r="S15" s="59">
        <f>IF(ISBLANK(Province_State),"",Province_State)</f>
      </c>
      <c r="T15" s="61"/>
    </row>
    <row r="16" spans="1:20" ht="36" customHeight="1">
      <c r="A16" s="42">
        <f>IF(ISBLANK(Distance Control_5),"",Control_5 Distance)</f>
        <v>205.59999999999997</v>
      </c>
      <c r="B16" s="43">
        <f>Control_5 Open_time</f>
        <v>0.54375</v>
      </c>
      <c r="C16" s="43">
        <f>Control_5 Close_time</f>
        <v>0.8541666666666667</v>
      </c>
      <c r="D16" s="38">
        <f>IF(ISBLANK(Locale Control_5),"",Locale Control_5)</f>
        <v>0</v>
      </c>
      <c r="E16" s="38">
        <f>IF(ISBLANK(Control_5 Establishment_2),"",Control_5 Establishment_2)</f>
        <v>0</v>
      </c>
      <c r="F16" s="39"/>
      <c r="G16" s="40"/>
      <c r="H16" s="11" t="s">
        <v>53</v>
      </c>
      <c r="J16" s="55" t="s">
        <v>63</v>
      </c>
      <c r="K16" s="55"/>
      <c r="L16" s="59">
        <f>IF(ISBLANK(Country),"",Country)</f>
      </c>
      <c r="M16" s="60"/>
      <c r="N16" s="60"/>
      <c r="O16" s="62"/>
      <c r="P16" s="62" t="s">
        <v>64</v>
      </c>
      <c r="Q16" s="62"/>
      <c r="R16" s="62"/>
      <c r="S16" s="59">
        <f>IF(ISBLANK(Postal_Code),"",Postal_Code)</f>
      </c>
      <c r="T16" s="61"/>
    </row>
    <row r="17" spans="1:19" ht="36" customHeight="1">
      <c r="A17" s="44"/>
      <c r="B17" s="45">
        <f>Control_5 Open_time</f>
        <v>0.54375</v>
      </c>
      <c r="C17" s="45">
        <f>Control_5 Close_time</f>
        <v>0.8541666666666667</v>
      </c>
      <c r="D17" s="46"/>
      <c r="E17" s="47">
        <f>IF(ISBLANK(Control_5 Establishment_3),"",Control_5 Establishment_3)</f>
        <v>0</v>
      </c>
      <c r="F17" s="48"/>
      <c r="G17" s="49"/>
      <c r="H17" s="11" t="s">
        <v>53</v>
      </c>
      <c r="L17" s="63"/>
      <c r="M17" s="63"/>
      <c r="N17" s="63"/>
      <c r="O17" s="63"/>
      <c r="P17" s="63"/>
      <c r="Q17" s="63"/>
      <c r="R17" s="63"/>
      <c r="S17" s="63"/>
    </row>
    <row r="18" spans="1:20" ht="36" customHeight="1">
      <c r="A18" s="35"/>
      <c r="B18" s="36">
        <f>Control_6 Open_time</f>
        <v>0</v>
      </c>
      <c r="C18" s="36">
        <f>Control_6 Close_time</f>
        <v>0</v>
      </c>
      <c r="D18" s="50"/>
      <c r="E18" s="38">
        <f>IF(ISBLANK(Control_6 Establishment_1),"",Control_6 Establishment_1)</f>
        <v>0</v>
      </c>
      <c r="F18" s="39"/>
      <c r="G18" s="40"/>
      <c r="H18" s="11" t="s">
        <v>53</v>
      </c>
      <c r="J18" s="55" t="s">
        <v>65</v>
      </c>
      <c r="L18" s="64">
        <f>IF(ISBLANK(Home_telephone),"",Home_telephone)</f>
      </c>
      <c r="M18" s="64"/>
      <c r="N18" s="64"/>
      <c r="O18" s="63"/>
      <c r="P18" s="62" t="s">
        <v>66</v>
      </c>
      <c r="Q18" s="65">
        <f>IF(ISBLANK(email),"",email)</f>
      </c>
      <c r="R18" s="66"/>
      <c r="S18" s="66"/>
      <c r="T18" s="67"/>
    </row>
    <row r="19" spans="1:19" ht="36" customHeight="1">
      <c r="A19" s="42">
        <f>IF(ISBLANK(Distance Control_6),"",Control_6 Distance)</f>
      </c>
      <c r="B19" s="43">
        <f>Control_6 Open_time</f>
        <v>0</v>
      </c>
      <c r="C19" s="43">
        <f>Control_6 Close_time</f>
        <v>0</v>
      </c>
      <c r="D19" s="38">
        <f>IF(ISBLANK(Locale Control_6),"",Locale Control_6)</f>
        <v>0</v>
      </c>
      <c r="E19" s="38">
        <f>IF(ISBLANK(Control_6 Establishment_2),"",Control_6 Establishment_2)</f>
        <v>0</v>
      </c>
      <c r="F19" s="39"/>
      <c r="G19" s="40"/>
      <c r="H19" s="11" t="s">
        <v>53</v>
      </c>
      <c r="L19" s="63"/>
      <c r="M19" s="63"/>
      <c r="N19" s="63"/>
      <c r="O19" s="63"/>
      <c r="P19" s="63"/>
      <c r="Q19" s="63"/>
      <c r="R19" s="63"/>
      <c r="S19" s="63"/>
    </row>
    <row r="20" spans="1:20" ht="36" customHeight="1">
      <c r="A20" s="44"/>
      <c r="B20" s="45">
        <f>Control_6 Open_time</f>
        <v>0</v>
      </c>
      <c r="C20" s="45">
        <f>Control_6 Close_time</f>
        <v>0</v>
      </c>
      <c r="D20" s="46"/>
      <c r="E20" s="47">
        <f>IF(ISBLANK(Control_6 Establishment_3),"",Control_6 Establishment_3)</f>
        <v>0</v>
      </c>
      <c r="F20" s="48"/>
      <c r="G20" s="49"/>
      <c r="H20" s="11" t="s">
        <v>53</v>
      </c>
      <c r="J20" s="68" t="s">
        <v>67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ht="36" customHeight="1">
      <c r="A21" s="35"/>
      <c r="B21" s="36">
        <f>Control_7 Open_time</f>
        <v>0</v>
      </c>
      <c r="C21" s="36">
        <f>Control_7 Close_time</f>
        <v>0</v>
      </c>
      <c r="D21" s="50"/>
      <c r="E21" s="38">
        <f>IF(ISBLANK(Control_7 Establishment_1),"",Control_7 Establishment_1)</f>
        <v>0</v>
      </c>
      <c r="F21" s="39"/>
      <c r="G21" s="40"/>
      <c r="H21" s="11" t="s">
        <v>53</v>
      </c>
      <c r="J21" s="68" t="s">
        <v>68</v>
      </c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19" ht="36" customHeight="1">
      <c r="A22" s="42">
        <f>IF(ISBLANK(Distance Control_7),"",Control_7 Distance)</f>
      </c>
      <c r="B22" s="43">
        <f>Control_7 Open_time</f>
        <v>0</v>
      </c>
      <c r="C22" s="43">
        <f>Control_7 Close_time</f>
        <v>0</v>
      </c>
      <c r="D22" s="38">
        <f>IF(ISBLANK(Locale Control_9),"",Locale Control_9)</f>
        <v>0</v>
      </c>
      <c r="E22" s="38">
        <f>IF(ISBLANK(Control_7 Establishment_2),"",Control_7 Establishment_2)</f>
        <v>0</v>
      </c>
      <c r="F22" s="39"/>
      <c r="G22" s="40"/>
      <c r="H22" s="11" t="s">
        <v>53</v>
      </c>
      <c r="L22" s="63"/>
      <c r="M22" s="63"/>
      <c r="N22" s="63"/>
      <c r="O22" s="63"/>
      <c r="P22" s="63"/>
      <c r="Q22" s="63"/>
      <c r="R22" s="63"/>
      <c r="S22" s="63"/>
    </row>
    <row r="23" spans="1:20" ht="36" customHeight="1">
      <c r="A23" s="44"/>
      <c r="B23" s="45">
        <f>Control_7 Open_time</f>
        <v>0</v>
      </c>
      <c r="C23" s="45">
        <f>Control_7 Close_time</f>
        <v>0</v>
      </c>
      <c r="D23" s="46"/>
      <c r="E23" s="47">
        <f>IF(ISBLANK(Control_7 Establishment_3),"",Control_7 Establishment_3)</f>
        <v>0</v>
      </c>
      <c r="F23" s="48"/>
      <c r="G23" s="49"/>
      <c r="H23" s="11" t="s">
        <v>53</v>
      </c>
      <c r="J23" s="69" t="s">
        <v>69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36" customHeight="1">
      <c r="A24" s="35"/>
      <c r="B24" s="36">
        <f>Control_8 Open_time</f>
        <v>0</v>
      </c>
      <c r="C24" s="36">
        <f>Control_8 Close_time</f>
        <v>0</v>
      </c>
      <c r="D24" s="50"/>
      <c r="E24" s="38">
        <f>IF(ISBLANK(Control_8 Establishment_1),"",Control_8 Establishment_1)</f>
        <v>0</v>
      </c>
      <c r="F24" s="39"/>
      <c r="G24" s="40"/>
      <c r="H24" s="11" t="s">
        <v>53</v>
      </c>
      <c r="J24" s="55" t="s">
        <v>70</v>
      </c>
      <c r="K24" s="70">
        <f>IF(ISBLANK(Start_date),"",Start_date)</f>
      </c>
      <c r="L24" s="70"/>
      <c r="M24" s="70"/>
      <c r="N24" s="63"/>
      <c r="O24" s="62" t="s">
        <v>71</v>
      </c>
      <c r="P24" s="63"/>
      <c r="Q24" s="66"/>
      <c r="R24" s="66"/>
      <c r="S24" s="66"/>
      <c r="T24" s="71"/>
    </row>
    <row r="25" spans="1:20" ht="36" customHeight="1">
      <c r="A25" s="42">
        <f>IF(ISBLANK(Distance Control_8),"",Control_8 Distance)</f>
      </c>
      <c r="B25" s="43">
        <f>Control_8 Open_time</f>
        <v>0</v>
      </c>
      <c r="C25" s="43">
        <f>Control_8 Close_time</f>
        <v>0</v>
      </c>
      <c r="D25" s="38">
        <f>IF(ISBLANK(Locale Control_9),"",Locale Control_9)</f>
        <v>0</v>
      </c>
      <c r="E25" s="38">
        <f>IF(ISBLANK(Control_8 Establishment_2),"",Control_8 Establishment_2)</f>
        <v>0</v>
      </c>
      <c r="F25" s="39"/>
      <c r="G25" s="40"/>
      <c r="H25" s="11" t="s">
        <v>53</v>
      </c>
      <c r="L25" s="63"/>
      <c r="M25" s="63"/>
      <c r="N25" s="63"/>
      <c r="O25" s="62" t="s">
        <v>72</v>
      </c>
      <c r="P25" s="63"/>
      <c r="Q25" s="66"/>
      <c r="R25" s="66"/>
      <c r="S25" s="66"/>
      <c r="T25" s="71"/>
    </row>
    <row r="26" spans="1:20" ht="36" customHeight="1">
      <c r="A26" s="44"/>
      <c r="B26" s="45">
        <f>Control_8 Open_time</f>
        <v>0</v>
      </c>
      <c r="C26" s="45">
        <f>Control_8 Close_time</f>
        <v>0</v>
      </c>
      <c r="D26" s="46"/>
      <c r="E26" s="47">
        <f>IF(ISBLANK(Control_8 Establishment_3),"",Control_8 Establishment_3)</f>
        <v>0</v>
      </c>
      <c r="F26" s="48"/>
      <c r="G26" s="49"/>
      <c r="H26" s="11" t="s">
        <v>53</v>
      </c>
      <c r="J26" s="71"/>
      <c r="K26" s="71"/>
      <c r="L26" s="66"/>
      <c r="M26" s="66"/>
      <c r="N26" s="63"/>
      <c r="O26" s="62" t="s">
        <v>73</v>
      </c>
      <c r="P26" s="63"/>
      <c r="Q26" s="66"/>
      <c r="R26" s="66"/>
      <c r="S26" s="66"/>
      <c r="T26" s="71"/>
    </row>
    <row r="27" spans="1:19" ht="36" customHeight="1">
      <c r="A27" s="35"/>
      <c r="B27" s="36">
        <f>Control_9 Open_time</f>
        <v>0</v>
      </c>
      <c r="C27" s="36">
        <f>Control_9 Close_time</f>
        <v>0</v>
      </c>
      <c r="D27" s="50"/>
      <c r="E27" s="38">
        <f>IF(ISBLANK(Control_9 Establishment_1),"",Control_9 Establishment_1)</f>
        <v>0</v>
      </c>
      <c r="F27" s="39"/>
      <c r="G27" s="40"/>
      <c r="H27" s="11" t="s">
        <v>53</v>
      </c>
      <c r="J27" s="72" t="s">
        <v>74</v>
      </c>
      <c r="K27" s="72"/>
      <c r="L27" s="72"/>
      <c r="M27" s="72"/>
      <c r="N27" s="63"/>
      <c r="O27" s="63"/>
      <c r="P27" s="63"/>
      <c r="Q27" s="63"/>
      <c r="R27" s="63"/>
      <c r="S27" s="63"/>
    </row>
    <row r="28" spans="1:19" ht="36" customHeight="1">
      <c r="A28" s="42">
        <f>IF(ISBLANK(Distance Control_9),"",Control_9 Distance)</f>
      </c>
      <c r="B28" s="43">
        <f>Control_9 Open_time</f>
        <v>0</v>
      </c>
      <c r="C28" s="43">
        <f>Control_9 Close_time</f>
        <v>0</v>
      </c>
      <c r="D28" s="38">
        <f>IF(ISBLANK(Locale Control_9),"",Locale Control_9)</f>
        <v>0</v>
      </c>
      <c r="E28" s="38">
        <f>IF(ISBLANK(Control_9 Establishment_2),"",Control_9 Establishment_2)</f>
        <v>0</v>
      </c>
      <c r="F28" s="39"/>
      <c r="G28" s="40"/>
      <c r="H28" s="11" t="s">
        <v>53</v>
      </c>
      <c r="L28" s="73" t="s">
        <v>75</v>
      </c>
      <c r="M28" s="73"/>
      <c r="N28" s="73"/>
      <c r="O28" s="73"/>
      <c r="P28" s="73"/>
      <c r="Q28" s="73"/>
      <c r="R28" s="63"/>
      <c r="S28" s="63"/>
    </row>
    <row r="29" spans="1:19" ht="36" customHeight="1">
      <c r="A29" s="44"/>
      <c r="B29" s="45">
        <f>Control_9 Open_time</f>
        <v>0</v>
      </c>
      <c r="C29" s="45">
        <f>Control_9 Close_time</f>
        <v>0</v>
      </c>
      <c r="D29" s="46"/>
      <c r="E29" s="47">
        <f>IF(ISBLANK(Control_9 Establishment_3),"",Control_9 Establishment_3)</f>
        <v>0</v>
      </c>
      <c r="F29" s="48"/>
      <c r="G29" s="49"/>
      <c r="H29" s="11" t="s">
        <v>53</v>
      </c>
      <c r="K29" s="74"/>
      <c r="L29" s="75"/>
      <c r="M29" s="75"/>
      <c r="N29" s="76"/>
      <c r="O29" s="77"/>
      <c r="P29" s="75"/>
      <c r="Q29" s="75"/>
      <c r="R29" s="76"/>
      <c r="S29" s="78" t="s">
        <v>76</v>
      </c>
    </row>
    <row r="30" spans="1:19" ht="36" customHeight="1">
      <c r="A30" s="35"/>
      <c r="B30" s="36">
        <f>Control_10 Open_time</f>
        <v>0</v>
      </c>
      <c r="C30" s="36">
        <f>Control_10 Close_time</f>
        <v>0</v>
      </c>
      <c r="D30" s="50"/>
      <c r="E30" s="38">
        <f>IF(ISBLANK(Control_10 Establishment_1),"",Control_10 Establishment_1)</f>
        <v>0</v>
      </c>
      <c r="F30" s="39"/>
      <c r="G30" s="40"/>
      <c r="H30" s="11" t="s">
        <v>53</v>
      </c>
      <c r="K30" s="79"/>
      <c r="L30" s="80"/>
      <c r="M30" s="80"/>
      <c r="N30" s="81"/>
      <c r="O30" s="82"/>
      <c r="P30" s="80"/>
      <c r="Q30" s="80"/>
      <c r="R30" s="81"/>
      <c r="S30" s="83" t="s">
        <v>77</v>
      </c>
    </row>
    <row r="31" spans="1:21" ht="36" customHeight="1">
      <c r="A31" s="42">
        <f>IF(ISBLANK(Distance Control_10),"",Control_10 Distance)</f>
      </c>
      <c r="B31" s="43">
        <f>Control_10 Open_time</f>
        <v>0</v>
      </c>
      <c r="C31" s="43">
        <f>Control_10 Close_time</f>
        <v>0</v>
      </c>
      <c r="D31" s="38">
        <f>IF(ISBLANK(Locale Control_10),"",Locale Control_10)</f>
        <v>0</v>
      </c>
      <c r="E31" s="38">
        <f>IF(ISBLANK(Control_10 Establishment_2),"",Control_10 Establishment_2)</f>
        <v>0</v>
      </c>
      <c r="F31" s="39"/>
      <c r="G31" s="40"/>
      <c r="H31" s="11" t="s">
        <v>53</v>
      </c>
      <c r="K31" s="84"/>
      <c r="L31" s="66"/>
      <c r="M31" s="66"/>
      <c r="N31" s="85"/>
      <c r="O31" s="86"/>
      <c r="P31" s="66"/>
      <c r="Q31" s="66"/>
      <c r="R31" s="85"/>
      <c r="S31" s="63"/>
      <c r="U31" s="87"/>
    </row>
    <row r="32" spans="1:21" ht="36" customHeight="1">
      <c r="A32" s="44"/>
      <c r="B32" s="45">
        <f>Control_10 Open_time</f>
        <v>0</v>
      </c>
      <c r="C32" s="45">
        <f>Control_10 Close_time</f>
        <v>0</v>
      </c>
      <c r="D32" s="46"/>
      <c r="E32" s="47">
        <f>IF(ISBLANK(Control_10 Establishment_3),"",Control_10 Establishment_3)</f>
        <v>0</v>
      </c>
      <c r="F32" s="48"/>
      <c r="G32" s="49"/>
      <c r="H32" s="11" t="s">
        <v>53</v>
      </c>
      <c r="L32" s="62" t="s">
        <v>78</v>
      </c>
      <c r="M32" s="63"/>
      <c r="N32" s="60" t="str">
        <f>IF(ISBLANK(Brevet_Number),"",Brevet_Number)</f>
        <v>VI0202B</v>
      </c>
      <c r="O32" s="60"/>
      <c r="P32" s="60"/>
      <c r="Q32" s="63"/>
      <c r="R32" s="63"/>
      <c r="S32" s="63"/>
      <c r="U32" s="87"/>
    </row>
    <row r="33" ht="12.75">
      <c r="H33" s="88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57421875" style="0" customWidth="1"/>
    <col min="13" max="13" width="13.57421875" style="0" customWidth="1"/>
    <col min="14" max="14" width="13.28125" style="0" customWidth="1"/>
    <col min="15" max="15" width="34.140625" style="0" customWidth="1"/>
    <col min="16" max="17" width="9.57421875" style="0" customWidth="1"/>
    <col min="19" max="16384" width="8.8515625" style="0" customWidth="1"/>
  </cols>
  <sheetData>
    <row r="1" spans="1:19" ht="24.75">
      <c r="A1" s="89"/>
      <c r="B1" s="90" t="s">
        <v>79</v>
      </c>
      <c r="C1" s="90" t="s">
        <v>80</v>
      </c>
      <c r="D1" s="90" t="s">
        <v>81</v>
      </c>
      <c r="E1" s="90" t="s">
        <v>82</v>
      </c>
      <c r="F1" s="90" t="s">
        <v>83</v>
      </c>
      <c r="G1" s="90" t="s">
        <v>61</v>
      </c>
      <c r="H1" s="91" t="s">
        <v>62</v>
      </c>
      <c r="I1" s="90" t="s">
        <v>63</v>
      </c>
      <c r="J1" s="90" t="s">
        <v>64</v>
      </c>
      <c r="K1" s="92" t="s">
        <v>84</v>
      </c>
      <c r="L1" s="92" t="s">
        <v>85</v>
      </c>
      <c r="M1" s="93" t="s">
        <v>86</v>
      </c>
      <c r="N1" s="93" t="s">
        <v>87</v>
      </c>
      <c r="O1" s="94" t="s">
        <v>66</v>
      </c>
      <c r="P1" s="95" t="s">
        <v>88</v>
      </c>
      <c r="Q1" s="95" t="s">
        <v>89</v>
      </c>
      <c r="R1" s="95" t="s">
        <v>90</v>
      </c>
      <c r="S1" s="95" t="s">
        <v>91</v>
      </c>
    </row>
    <row r="2" spans="1:19" ht="12.75">
      <c r="A2" s="89"/>
      <c r="B2" s="96" t="str">
        <f aca="true" t="shared" si="0" ref="B2:O2">IF(ISBLANK(B3),"",B3)</f>
        <v>Hinde</v>
      </c>
      <c r="C2" s="96" t="str">
        <f t="shared" si="0"/>
        <v>Stephen</v>
      </c>
      <c r="D2" s="96" t="str">
        <f t="shared" si="0"/>
        <v>R</v>
      </c>
      <c r="E2" s="96" t="str">
        <f t="shared" si="0"/>
        <v>6350 Pinewood Lane</v>
      </c>
      <c r="F2" s="96">
        <f t="shared" si="0"/>
      </c>
      <c r="G2" s="96">
        <f t="shared" si="0"/>
      </c>
      <c r="H2" s="96">
        <f t="shared" si="0"/>
      </c>
      <c r="I2" s="96">
        <f t="shared" si="0"/>
      </c>
      <c r="J2" s="96">
        <f t="shared" si="0"/>
      </c>
      <c r="K2" s="97">
        <f t="shared" si="0"/>
      </c>
      <c r="L2" s="97">
        <f t="shared" si="0"/>
      </c>
      <c r="M2" s="97">
        <f t="shared" si="0"/>
      </c>
      <c r="N2" s="97"/>
      <c r="O2" s="96">
        <f t="shared" si="0"/>
      </c>
      <c r="P2" s="98"/>
      <c r="Q2" s="99"/>
      <c r="R2" s="98"/>
      <c r="S2" s="98"/>
    </row>
    <row r="3" spans="1:19" ht="12.75">
      <c r="A3" s="100">
        <v>3</v>
      </c>
      <c r="B3" s="101" t="s">
        <v>92</v>
      </c>
      <c r="C3" s="101" t="s">
        <v>93</v>
      </c>
      <c r="D3" s="101" t="s">
        <v>94</v>
      </c>
      <c r="E3" s="101" t="s">
        <v>95</v>
      </c>
      <c r="F3" s="101"/>
      <c r="G3" s="101"/>
      <c r="H3" s="101"/>
      <c r="I3" s="101"/>
      <c r="J3" s="101"/>
      <c r="K3" s="102"/>
      <c r="L3" s="102"/>
      <c r="M3" s="102"/>
      <c r="N3" s="102"/>
      <c r="O3" s="101"/>
      <c r="P3" s="103"/>
      <c r="Q3" s="103"/>
      <c r="R3" s="103"/>
      <c r="S3" s="103"/>
    </row>
    <row r="4" spans="1:19" ht="12.7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  <c r="L4" s="102"/>
      <c r="M4" s="102"/>
      <c r="N4" s="102"/>
      <c r="O4" s="104"/>
      <c r="P4" s="103"/>
      <c r="Q4" s="105"/>
      <c r="R4" s="103"/>
      <c r="S4" s="103"/>
    </row>
    <row r="5" spans="2:19" ht="12.75"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102"/>
      <c r="M5" s="102"/>
      <c r="N5" s="102"/>
      <c r="O5" s="101"/>
      <c r="P5" s="106"/>
      <c r="Q5" s="105"/>
      <c r="R5" s="105"/>
      <c r="S5" s="103"/>
    </row>
    <row r="6" spans="1:19" ht="12.7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102"/>
      <c r="M6" s="102"/>
      <c r="N6" s="102"/>
      <c r="O6" s="101"/>
      <c r="P6" s="103"/>
      <c r="Q6" s="103"/>
      <c r="R6" s="103"/>
      <c r="S6" s="103"/>
    </row>
    <row r="7" spans="2:19" ht="12.75">
      <c r="B7" s="101"/>
      <c r="C7" s="101"/>
      <c r="D7" s="101"/>
      <c r="E7" s="101"/>
      <c r="F7" s="101"/>
      <c r="G7" s="101"/>
      <c r="H7" s="101"/>
      <c r="I7" s="101"/>
      <c r="J7" s="101"/>
      <c r="K7" s="102"/>
      <c r="L7" s="102"/>
      <c r="M7" s="102"/>
      <c r="N7" s="102"/>
      <c r="O7" s="101"/>
      <c r="P7" s="105"/>
      <c r="Q7" s="103"/>
      <c r="R7" s="105"/>
      <c r="S7" s="103"/>
    </row>
    <row r="8" spans="1:19" ht="12.7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2"/>
      <c r="M8" s="102"/>
      <c r="N8" s="102"/>
      <c r="O8" s="101"/>
      <c r="P8" s="103"/>
      <c r="Q8" s="105"/>
      <c r="R8" s="103"/>
      <c r="S8" s="103"/>
    </row>
    <row r="9" spans="2:19" ht="12.75"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102"/>
      <c r="M9" s="102"/>
      <c r="N9" s="102"/>
      <c r="O9" s="101"/>
      <c r="P9" s="105"/>
      <c r="Q9" s="105"/>
      <c r="R9" s="105"/>
      <c r="S9" s="103"/>
    </row>
    <row r="10" spans="1:19" ht="12.7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2"/>
      <c r="L10" s="102"/>
      <c r="M10" s="102"/>
      <c r="N10" s="102"/>
      <c r="O10" s="101"/>
      <c r="P10" s="103"/>
      <c r="Q10" s="105"/>
      <c r="R10" s="103"/>
      <c r="S10" s="103"/>
    </row>
    <row r="11" spans="2:19" ht="12.75"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102"/>
      <c r="M11" s="102"/>
      <c r="N11" s="102"/>
      <c r="O11" s="101"/>
      <c r="P11" s="105"/>
      <c r="Q11" s="103"/>
      <c r="R11" s="105"/>
      <c r="S11" s="103"/>
    </row>
    <row r="12" spans="1:19" ht="12.7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2"/>
      <c r="L12" s="102"/>
      <c r="M12" s="102"/>
      <c r="N12" s="102"/>
      <c r="O12" s="101"/>
      <c r="P12" s="103"/>
      <c r="Q12" s="105"/>
      <c r="R12" s="103"/>
      <c r="S12" s="103"/>
    </row>
    <row r="13" spans="1:19" ht="12.75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102"/>
      <c r="M13" s="102"/>
      <c r="N13" s="102"/>
      <c r="O13" s="101"/>
      <c r="P13" s="103"/>
      <c r="Q13" s="103"/>
      <c r="R13" s="103"/>
      <c r="S13" s="103"/>
    </row>
    <row r="14" spans="1:19" ht="12.75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102"/>
      <c r="M14" s="102"/>
      <c r="N14" s="102"/>
      <c r="O14" s="101"/>
      <c r="P14" s="103"/>
      <c r="Q14" s="105"/>
      <c r="R14" s="103"/>
      <c r="S14" s="103"/>
    </row>
    <row r="15" spans="1:19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2"/>
      <c r="L15" s="102"/>
      <c r="M15" s="102"/>
      <c r="N15" s="102"/>
      <c r="O15" s="101"/>
      <c r="P15" s="103"/>
      <c r="Q15" s="105"/>
      <c r="R15" s="103"/>
      <c r="S15" s="103"/>
    </row>
    <row r="16" spans="1:19" ht="12.7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2"/>
      <c r="L16" s="102"/>
      <c r="M16" s="102"/>
      <c r="N16" s="102"/>
      <c r="O16" s="101"/>
      <c r="P16" s="103"/>
      <c r="Q16" s="103"/>
      <c r="R16" s="103"/>
      <c r="S16" s="103"/>
    </row>
    <row r="17" spans="1:19" ht="12.7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7"/>
      <c r="L17" s="102"/>
      <c r="M17" s="102"/>
      <c r="N17" s="102"/>
      <c r="O17" s="101"/>
      <c r="P17" s="103"/>
      <c r="Q17" s="105"/>
      <c r="R17" s="103"/>
      <c r="S17" s="103"/>
    </row>
    <row r="18" spans="1:19" ht="12.75">
      <c r="A18" s="100"/>
      <c r="B18" s="101"/>
      <c r="C18" s="101"/>
      <c r="D18" s="101"/>
      <c r="E18" s="108"/>
      <c r="F18" s="101"/>
      <c r="G18" s="101"/>
      <c r="H18" s="101"/>
      <c r="I18" s="101"/>
      <c r="J18" s="101"/>
      <c r="K18" s="102"/>
      <c r="L18" s="102"/>
      <c r="M18" s="102"/>
      <c r="N18" s="102"/>
      <c r="O18" s="101"/>
      <c r="P18" s="103"/>
      <c r="Q18" s="105"/>
      <c r="R18" s="103"/>
      <c r="S18" s="103"/>
    </row>
    <row r="19" spans="1:19" ht="12.7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102"/>
      <c r="M19" s="102"/>
      <c r="N19" s="102"/>
      <c r="O19" s="101"/>
      <c r="P19" s="103"/>
      <c r="Q19" s="105"/>
      <c r="R19" s="103"/>
      <c r="S19" s="103"/>
    </row>
    <row r="20" spans="1:19" ht="12.7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102"/>
      <c r="M20" s="102"/>
      <c r="N20" s="102"/>
      <c r="O20" s="101"/>
      <c r="P20" s="103"/>
      <c r="Q20" s="105"/>
      <c r="R20" s="103"/>
      <c r="S20" s="103"/>
    </row>
    <row r="21" spans="1:19" ht="12.75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102"/>
      <c r="M21" s="102"/>
      <c r="N21" s="102"/>
      <c r="O21" s="101"/>
      <c r="P21" s="103"/>
      <c r="Q21" s="103"/>
      <c r="R21" s="103"/>
      <c r="S21" s="103"/>
    </row>
    <row r="22" spans="1:19" ht="12.7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102"/>
      <c r="M22" s="102"/>
      <c r="N22" s="102"/>
      <c r="O22" s="101"/>
      <c r="P22" s="103"/>
      <c r="Q22" s="103"/>
      <c r="R22" s="103"/>
      <c r="S22" s="103"/>
    </row>
    <row r="23" spans="1:19" ht="12.7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102"/>
      <c r="M23" s="102"/>
      <c r="N23" s="102"/>
      <c r="O23" s="101"/>
      <c r="P23" s="103"/>
      <c r="Q23" s="103"/>
      <c r="R23" s="103"/>
      <c r="S23" s="103"/>
    </row>
    <row r="24" spans="1:19" ht="12.7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2"/>
      <c r="L24" s="102"/>
      <c r="M24" s="102"/>
      <c r="N24" s="102"/>
      <c r="O24" s="101"/>
      <c r="P24" s="103"/>
      <c r="Q24" s="105"/>
      <c r="R24" s="103"/>
      <c r="S24" s="103"/>
    </row>
    <row r="25" spans="1:19" ht="12.7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2"/>
      <c r="L25" s="102"/>
      <c r="M25" s="102"/>
      <c r="N25" s="102"/>
      <c r="O25" s="101"/>
      <c r="P25" s="103"/>
      <c r="Q25" s="103"/>
      <c r="R25" s="103"/>
      <c r="S25" s="103"/>
    </row>
    <row r="26" spans="1:19" ht="12.7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2"/>
      <c r="L26" s="102"/>
      <c r="M26" s="102"/>
      <c r="N26" s="102"/>
      <c r="O26" s="101"/>
      <c r="P26" s="103"/>
      <c r="Q26" s="105"/>
      <c r="R26" s="103"/>
      <c r="S26" s="103"/>
    </row>
    <row r="27" spans="1:19" ht="12.75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2"/>
      <c r="L27" s="102"/>
      <c r="M27" s="102"/>
      <c r="N27" s="102"/>
      <c r="O27" s="101"/>
      <c r="P27" s="103"/>
      <c r="Q27" s="105"/>
      <c r="R27" s="103"/>
      <c r="S27" s="103"/>
    </row>
    <row r="28" spans="1:19" ht="12.7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2"/>
      <c r="L28" s="102"/>
      <c r="M28" s="102"/>
      <c r="N28" s="102"/>
      <c r="O28" s="101"/>
      <c r="P28" s="103"/>
      <c r="Q28" s="105"/>
      <c r="R28" s="103"/>
      <c r="S28" s="103"/>
    </row>
    <row r="29" spans="1:19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2"/>
      <c r="L29" s="102"/>
      <c r="M29" s="102"/>
      <c r="N29" s="102"/>
      <c r="O29" s="101"/>
      <c r="P29" s="103"/>
      <c r="Q29" s="105"/>
      <c r="R29" s="103"/>
      <c r="S29" s="103"/>
    </row>
    <row r="30" spans="1:19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2"/>
      <c r="L30" s="102"/>
      <c r="M30" s="102"/>
      <c r="N30" s="102"/>
      <c r="O30" s="101"/>
      <c r="P30" s="103"/>
      <c r="Q30" s="105"/>
      <c r="R30" s="103"/>
      <c r="S30" s="103"/>
    </row>
    <row r="31" spans="1:19" ht="12.7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2"/>
      <c r="L31" s="102"/>
      <c r="M31" s="102"/>
      <c r="N31" s="102"/>
      <c r="O31" s="101"/>
      <c r="P31" s="103"/>
      <c r="Q31" s="105"/>
      <c r="R31" s="103"/>
      <c r="S31" s="103"/>
    </row>
    <row r="32" spans="11:19" ht="12.75">
      <c r="K32" s="109"/>
      <c r="L32" s="109"/>
      <c r="M32" s="109"/>
      <c r="N32" s="109"/>
      <c r="P32" s="110"/>
      <c r="R32" s="110"/>
      <c r="S32" s="110"/>
    </row>
    <row r="34" ht="12.75">
      <c r="Q34" t="s">
        <v>96</v>
      </c>
    </row>
    <row r="35" ht="12.75">
      <c r="Q35" t="s">
        <v>97</v>
      </c>
    </row>
    <row r="36" ht="12.75">
      <c r="Q36" t="s">
        <v>98</v>
      </c>
    </row>
    <row r="37" ht="12.75">
      <c r="Q37" t="s">
        <v>99</v>
      </c>
    </row>
    <row r="38" ht="12.75">
      <c r="Q38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95"/>
  <sheetViews>
    <sheetView tabSelected="1" workbookViewId="0" topLeftCell="A1">
      <selection activeCell="H57" sqref="H57"/>
    </sheetView>
  </sheetViews>
  <sheetFormatPr defaultColWidth="9.140625" defaultRowHeight="12.75"/>
  <cols>
    <col min="1" max="1" width="5.57421875" style="111" customWidth="1"/>
    <col min="2" max="2" width="3.7109375" style="112" customWidth="1"/>
    <col min="3" max="3" width="30.7109375" style="113" customWidth="1"/>
    <col min="4" max="4" width="5.57421875" style="111" customWidth="1"/>
    <col min="5" max="5" width="0.71875" style="0" customWidth="1"/>
    <col min="6" max="6" width="5.57421875" style="111" customWidth="1"/>
    <col min="7" max="7" width="3.7109375" style="112" customWidth="1"/>
    <col min="8" max="8" width="30.7109375" style="113" customWidth="1"/>
    <col min="9" max="9" width="5.57421875" style="111" customWidth="1"/>
    <col min="10" max="16384" width="8.8515625" style="0" customWidth="1"/>
  </cols>
  <sheetData>
    <row r="1" spans="1:9" ht="36.75" customHeight="1">
      <c r="A1" s="114" t="s">
        <v>101</v>
      </c>
      <c r="B1" s="115" t="s">
        <v>102</v>
      </c>
      <c r="C1" s="116" t="s">
        <v>103</v>
      </c>
      <c r="D1" s="117" t="s">
        <v>104</v>
      </c>
      <c r="F1" s="114" t="s">
        <v>101</v>
      </c>
      <c r="G1" s="115" t="s">
        <v>102</v>
      </c>
      <c r="H1" s="116" t="s">
        <v>103</v>
      </c>
      <c r="I1" s="117" t="s">
        <v>104</v>
      </c>
    </row>
    <row r="2" spans="1:9" ht="12.75">
      <c r="A2" s="118"/>
      <c r="B2" s="119"/>
      <c r="C2" s="120" t="s">
        <v>105</v>
      </c>
      <c r="D2" s="121"/>
      <c r="F2" s="122">
        <f>A23+D23</f>
        <v>38.300000000000004</v>
      </c>
      <c r="G2" s="123" t="s">
        <v>94</v>
      </c>
      <c r="H2" s="124" t="s">
        <v>106</v>
      </c>
      <c r="I2" s="125">
        <v>0.2</v>
      </c>
    </row>
    <row r="3" spans="1:9" ht="12.75">
      <c r="A3" s="126"/>
      <c r="B3" s="127"/>
      <c r="C3" s="128" t="s">
        <v>21</v>
      </c>
      <c r="D3" s="129"/>
      <c r="F3" s="122">
        <f>F2+I2</f>
        <v>38.50000000000001</v>
      </c>
      <c r="G3" s="130"/>
      <c r="H3" s="131" t="s">
        <v>107</v>
      </c>
      <c r="I3" s="125"/>
    </row>
    <row r="4" spans="1:9" ht="12.75">
      <c r="A4" s="126"/>
      <c r="B4" s="127"/>
      <c r="C4" s="128" t="s">
        <v>108</v>
      </c>
      <c r="D4" s="129"/>
      <c r="F4" s="122"/>
      <c r="G4" s="132" t="s">
        <v>109</v>
      </c>
      <c r="H4" s="133" t="s">
        <v>110</v>
      </c>
      <c r="I4" s="134">
        <v>1.1</v>
      </c>
    </row>
    <row r="5" spans="1:9" ht="12.75">
      <c r="A5" s="126">
        <v>0</v>
      </c>
      <c r="B5" s="127" t="s">
        <v>111</v>
      </c>
      <c r="C5" s="133" t="s">
        <v>112</v>
      </c>
      <c r="D5" s="129">
        <v>0</v>
      </c>
      <c r="F5" s="122">
        <f>F3+I4</f>
        <v>39.60000000000001</v>
      </c>
      <c r="G5" s="135" t="s">
        <v>109</v>
      </c>
      <c r="H5" s="136" t="s">
        <v>113</v>
      </c>
      <c r="I5" s="137">
        <v>2</v>
      </c>
    </row>
    <row r="6" spans="1:9" ht="12.75">
      <c r="A6" s="126">
        <f aca="true" t="shared" si="0" ref="A6:A22">A5+D5</f>
        <v>0</v>
      </c>
      <c r="B6" s="127" t="s">
        <v>111</v>
      </c>
      <c r="C6" s="133" t="s">
        <v>114</v>
      </c>
      <c r="D6" s="129">
        <v>0.1</v>
      </c>
      <c r="F6" s="122">
        <f aca="true" t="shared" si="1" ref="F6:F12">F5+I5</f>
        <v>41.60000000000001</v>
      </c>
      <c r="G6" s="135" t="s">
        <v>94</v>
      </c>
      <c r="H6" s="136" t="s">
        <v>115</v>
      </c>
      <c r="I6" s="125">
        <v>1.6</v>
      </c>
    </row>
    <row r="7" spans="1:9" ht="12.75">
      <c r="A7" s="126">
        <f t="shared" si="0"/>
        <v>0.1</v>
      </c>
      <c r="B7" s="127" t="s">
        <v>94</v>
      </c>
      <c r="C7" s="133" t="s">
        <v>116</v>
      </c>
      <c r="D7" s="129">
        <v>2.2</v>
      </c>
      <c r="F7" s="122">
        <f t="shared" si="1"/>
        <v>43.20000000000001</v>
      </c>
      <c r="G7" s="135" t="s">
        <v>94</v>
      </c>
      <c r="H7" s="136" t="s">
        <v>117</v>
      </c>
      <c r="I7" s="125">
        <v>1.2</v>
      </c>
    </row>
    <row r="8" spans="1:9" ht="12.75">
      <c r="A8" s="122">
        <f t="shared" si="0"/>
        <v>2.3000000000000003</v>
      </c>
      <c r="B8" s="135" t="s">
        <v>94</v>
      </c>
      <c r="C8" s="136" t="s">
        <v>118</v>
      </c>
      <c r="D8" s="125">
        <v>1.2</v>
      </c>
      <c r="F8" s="122">
        <f t="shared" si="1"/>
        <v>44.40000000000001</v>
      </c>
      <c r="G8" s="135" t="s">
        <v>94</v>
      </c>
      <c r="H8" s="136" t="s">
        <v>119</v>
      </c>
      <c r="I8" s="125">
        <v>1.1</v>
      </c>
    </row>
    <row r="9" spans="1:9" ht="12.75">
      <c r="A9" s="122">
        <f t="shared" si="0"/>
        <v>3.5</v>
      </c>
      <c r="B9" s="135" t="s">
        <v>111</v>
      </c>
      <c r="C9" s="136" t="s">
        <v>120</v>
      </c>
      <c r="D9" s="125">
        <v>0.9</v>
      </c>
      <c r="F9" s="122">
        <f t="shared" si="1"/>
        <v>45.500000000000014</v>
      </c>
      <c r="G9" s="135" t="s">
        <v>94</v>
      </c>
      <c r="H9" s="136" t="s">
        <v>121</v>
      </c>
      <c r="I9" s="125">
        <v>5.4</v>
      </c>
    </row>
    <row r="10" spans="1:9" ht="12.75">
      <c r="A10" s="122">
        <f t="shared" si="0"/>
        <v>4.4</v>
      </c>
      <c r="B10" s="135" t="s">
        <v>109</v>
      </c>
      <c r="C10" s="136" t="s">
        <v>122</v>
      </c>
      <c r="D10" s="125">
        <v>2.2</v>
      </c>
      <c r="F10" s="122">
        <f t="shared" si="1"/>
        <v>50.90000000000001</v>
      </c>
      <c r="G10" s="135" t="s">
        <v>94</v>
      </c>
      <c r="H10" s="136" t="s">
        <v>123</v>
      </c>
      <c r="I10" s="125">
        <v>0</v>
      </c>
    </row>
    <row r="11" spans="1:9" ht="12.75">
      <c r="A11" s="122">
        <f t="shared" si="0"/>
        <v>6.6000000000000005</v>
      </c>
      <c r="B11" s="135" t="s">
        <v>111</v>
      </c>
      <c r="C11" s="136" t="s">
        <v>124</v>
      </c>
      <c r="D11" s="125">
        <v>3.6</v>
      </c>
      <c r="F11" s="122">
        <f t="shared" si="1"/>
        <v>50.90000000000001</v>
      </c>
      <c r="G11" s="135" t="s">
        <v>111</v>
      </c>
      <c r="H11" s="136" t="s">
        <v>125</v>
      </c>
      <c r="I11" s="125">
        <v>0.8</v>
      </c>
    </row>
    <row r="12" spans="1:9" ht="12.75">
      <c r="A12" s="122">
        <f t="shared" si="0"/>
        <v>10.200000000000001</v>
      </c>
      <c r="B12" s="127" t="s">
        <v>109</v>
      </c>
      <c r="C12" s="133" t="s">
        <v>126</v>
      </c>
      <c r="D12" s="129">
        <v>4</v>
      </c>
      <c r="F12" s="122">
        <f t="shared" si="1"/>
        <v>51.70000000000001</v>
      </c>
      <c r="G12" s="135"/>
      <c r="H12" s="136" t="s">
        <v>127</v>
      </c>
      <c r="I12" s="125"/>
    </row>
    <row r="13" spans="1:9" ht="12.75">
      <c r="A13" s="122">
        <f t="shared" si="0"/>
        <v>14.200000000000001</v>
      </c>
      <c r="B13" s="127" t="s">
        <v>111</v>
      </c>
      <c r="C13" s="133" t="s">
        <v>128</v>
      </c>
      <c r="D13" s="129">
        <v>9.9</v>
      </c>
      <c r="F13" s="122"/>
      <c r="G13" s="135" t="s">
        <v>109</v>
      </c>
      <c r="H13" s="136" t="s">
        <v>129</v>
      </c>
      <c r="I13" s="125">
        <v>0.4</v>
      </c>
    </row>
    <row r="14" spans="1:9" ht="12.75">
      <c r="A14" s="122">
        <f t="shared" si="0"/>
        <v>24.1</v>
      </c>
      <c r="B14" s="127" t="s">
        <v>94</v>
      </c>
      <c r="C14" s="133" t="s">
        <v>130</v>
      </c>
      <c r="D14" s="129">
        <v>0.3</v>
      </c>
      <c r="F14" s="122">
        <f>F12+I13</f>
        <v>52.10000000000001</v>
      </c>
      <c r="G14" s="135" t="s">
        <v>109</v>
      </c>
      <c r="H14" s="136" t="s">
        <v>121</v>
      </c>
      <c r="I14" s="125">
        <v>4.1</v>
      </c>
    </row>
    <row r="15" spans="1:9" ht="12.75">
      <c r="A15" s="122">
        <f t="shared" si="0"/>
        <v>24.400000000000002</v>
      </c>
      <c r="B15" s="127" t="s">
        <v>94</v>
      </c>
      <c r="C15" s="133" t="s">
        <v>131</v>
      </c>
      <c r="D15" s="129">
        <v>2</v>
      </c>
      <c r="F15" s="122">
        <f aca="true" t="shared" si="2" ref="F15:F22">F14+I14</f>
        <v>56.20000000000001</v>
      </c>
      <c r="G15" s="123" t="s">
        <v>111</v>
      </c>
      <c r="H15" s="124" t="s">
        <v>132</v>
      </c>
      <c r="I15" s="125">
        <v>0.6</v>
      </c>
    </row>
    <row r="16" spans="1:9" ht="12.75">
      <c r="A16" s="122">
        <f t="shared" si="0"/>
        <v>26.400000000000002</v>
      </c>
      <c r="B16" s="127" t="s">
        <v>94</v>
      </c>
      <c r="C16" s="133" t="s">
        <v>133</v>
      </c>
      <c r="D16" s="129">
        <v>0.4</v>
      </c>
      <c r="F16" s="122">
        <f t="shared" si="2"/>
        <v>56.80000000000001</v>
      </c>
      <c r="G16" s="123" t="s">
        <v>94</v>
      </c>
      <c r="H16" s="124" t="s">
        <v>134</v>
      </c>
      <c r="I16" s="125">
        <v>2.4</v>
      </c>
    </row>
    <row r="17" spans="1:9" ht="12.75">
      <c r="A17" s="122">
        <f t="shared" si="0"/>
        <v>26.8</v>
      </c>
      <c r="B17" s="127" t="s">
        <v>111</v>
      </c>
      <c r="C17" s="133" t="s">
        <v>135</v>
      </c>
      <c r="D17" s="129">
        <v>1.6</v>
      </c>
      <c r="F17" s="122">
        <f t="shared" si="2"/>
        <v>59.20000000000001</v>
      </c>
      <c r="G17" s="123" t="s">
        <v>109</v>
      </c>
      <c r="H17" s="124" t="s">
        <v>136</v>
      </c>
      <c r="I17" s="125">
        <v>0.1</v>
      </c>
    </row>
    <row r="18" spans="1:9" ht="12.75">
      <c r="A18" s="122">
        <f t="shared" si="0"/>
        <v>28.400000000000002</v>
      </c>
      <c r="B18" s="127" t="s">
        <v>94</v>
      </c>
      <c r="C18" s="133" t="s">
        <v>137</v>
      </c>
      <c r="D18" s="129">
        <v>0.1</v>
      </c>
      <c r="F18" s="122">
        <f t="shared" si="2"/>
        <v>59.30000000000001</v>
      </c>
      <c r="G18" s="123" t="s">
        <v>111</v>
      </c>
      <c r="H18" s="124" t="s">
        <v>138</v>
      </c>
      <c r="I18" s="125">
        <v>5.8</v>
      </c>
    </row>
    <row r="19" spans="1:9" ht="12.75">
      <c r="A19" s="122">
        <f t="shared" si="0"/>
        <v>28.500000000000004</v>
      </c>
      <c r="B19" s="127" t="s">
        <v>111</v>
      </c>
      <c r="C19" s="133" t="s">
        <v>139</v>
      </c>
      <c r="D19" s="129">
        <v>2.1</v>
      </c>
      <c r="F19" s="122">
        <f t="shared" si="2"/>
        <v>65.10000000000001</v>
      </c>
      <c r="G19" s="123" t="s">
        <v>111</v>
      </c>
      <c r="H19" s="124" t="s">
        <v>140</v>
      </c>
      <c r="I19" s="125">
        <v>4.2</v>
      </c>
    </row>
    <row r="20" spans="1:9" ht="12.75">
      <c r="A20" s="122">
        <f t="shared" si="0"/>
        <v>30.600000000000005</v>
      </c>
      <c r="B20" s="127" t="s">
        <v>111</v>
      </c>
      <c r="C20" s="133" t="s">
        <v>141</v>
      </c>
      <c r="D20" s="129">
        <v>1.2</v>
      </c>
      <c r="F20" s="122">
        <f t="shared" si="2"/>
        <v>69.30000000000001</v>
      </c>
      <c r="G20" s="123" t="s">
        <v>111</v>
      </c>
      <c r="H20" s="124" t="s">
        <v>142</v>
      </c>
      <c r="I20" s="125">
        <v>0.1</v>
      </c>
    </row>
    <row r="21" spans="1:9" ht="12.75">
      <c r="A21" s="122">
        <f t="shared" si="0"/>
        <v>31.800000000000004</v>
      </c>
      <c r="B21" s="127" t="s">
        <v>111</v>
      </c>
      <c r="C21" s="133" t="s">
        <v>143</v>
      </c>
      <c r="D21" s="129">
        <v>1.1</v>
      </c>
      <c r="F21" s="122">
        <f t="shared" si="2"/>
        <v>69.4</v>
      </c>
      <c r="G21" s="123" t="s">
        <v>94</v>
      </c>
      <c r="H21" s="124" t="s">
        <v>144</v>
      </c>
      <c r="I21" s="125">
        <v>0.6</v>
      </c>
    </row>
    <row r="22" spans="1:9" ht="12.75">
      <c r="A22" s="122">
        <f t="shared" si="0"/>
        <v>32.900000000000006</v>
      </c>
      <c r="B22" s="123" t="s">
        <v>94</v>
      </c>
      <c r="C22" s="124" t="s">
        <v>145</v>
      </c>
      <c r="D22" s="125">
        <v>0.1</v>
      </c>
      <c r="F22" s="122">
        <f t="shared" si="2"/>
        <v>70</v>
      </c>
      <c r="G22" s="123" t="s">
        <v>111</v>
      </c>
      <c r="H22" s="124" t="s">
        <v>146</v>
      </c>
      <c r="I22" s="125">
        <v>7.1</v>
      </c>
    </row>
    <row r="23" spans="1:9" ht="12.75">
      <c r="A23" s="138">
        <f>A22+D22</f>
        <v>33.00000000000001</v>
      </c>
      <c r="B23" s="139" t="s">
        <v>94</v>
      </c>
      <c r="C23" s="140" t="s">
        <v>147</v>
      </c>
      <c r="D23" s="141">
        <v>5.3</v>
      </c>
      <c r="F23" s="142">
        <f>F22+I22</f>
        <v>77.1</v>
      </c>
      <c r="G23" s="139" t="s">
        <v>111</v>
      </c>
      <c r="H23" s="140" t="s">
        <v>148</v>
      </c>
      <c r="I23" s="143">
        <v>0.2</v>
      </c>
    </row>
    <row r="24" spans="1:9" ht="4.5" customHeight="1">
      <c r="A24" s="144"/>
      <c r="B24" s="145"/>
      <c r="C24" s="146"/>
      <c r="D24" s="144"/>
      <c r="F24" s="144"/>
      <c r="G24" s="145"/>
      <c r="H24" s="146"/>
      <c r="I24" s="144"/>
    </row>
    <row r="25" spans="1:9" ht="36.75" customHeight="1">
      <c r="A25" s="114" t="s">
        <v>101</v>
      </c>
      <c r="B25" s="115" t="s">
        <v>102</v>
      </c>
      <c r="C25" s="116" t="s">
        <v>103</v>
      </c>
      <c r="D25" s="117" t="s">
        <v>104</v>
      </c>
      <c r="F25" s="114" t="s">
        <v>101</v>
      </c>
      <c r="G25" s="115" t="s">
        <v>102</v>
      </c>
      <c r="H25" s="116" t="s">
        <v>103</v>
      </c>
      <c r="I25" s="117" t="s">
        <v>104</v>
      </c>
    </row>
    <row r="26" spans="1:104" s="148" customFormat="1" ht="12.75">
      <c r="A26" s="147"/>
      <c r="B26" s="135"/>
      <c r="C26" s="136"/>
      <c r="D26" s="137"/>
      <c r="E26"/>
      <c r="F26" s="122">
        <f>A44</f>
        <v>114.29999999999998</v>
      </c>
      <c r="G26" s="123" t="s">
        <v>111</v>
      </c>
      <c r="H26" s="136" t="s">
        <v>149</v>
      </c>
      <c r="I26" s="125">
        <v>0.9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48" customFormat="1" ht="12.75">
      <c r="A27" s="149">
        <f>F23+I23</f>
        <v>77.3</v>
      </c>
      <c r="B27" s="135"/>
      <c r="C27" s="150" t="s">
        <v>150</v>
      </c>
      <c r="D27" s="137"/>
      <c r="E27"/>
      <c r="F27" s="122">
        <f>F26+I26</f>
        <v>115.19999999999999</v>
      </c>
      <c r="G27" s="135" t="s">
        <v>111</v>
      </c>
      <c r="H27" s="136" t="s">
        <v>151</v>
      </c>
      <c r="I27" s="125">
        <v>3.3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48" customFormat="1" ht="12.75">
      <c r="A28" s="147"/>
      <c r="B28" s="135"/>
      <c r="C28" s="150" t="s">
        <v>152</v>
      </c>
      <c r="D28" s="137"/>
      <c r="E28"/>
      <c r="F28" s="122">
        <f>F27+I27</f>
        <v>118.49999999999999</v>
      </c>
      <c r="G28" s="135" t="s">
        <v>94</v>
      </c>
      <c r="H28" s="136" t="s">
        <v>153</v>
      </c>
      <c r="I28" s="125">
        <v>2.4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48" customFormat="1" ht="12.75">
      <c r="A29" s="147"/>
      <c r="B29" s="135"/>
      <c r="C29" s="135" t="s">
        <v>154</v>
      </c>
      <c r="D29" s="137"/>
      <c r="E29"/>
      <c r="F29" s="122">
        <f>F28+I28</f>
        <v>120.89999999999999</v>
      </c>
      <c r="G29" s="135"/>
      <c r="H29" s="124" t="s">
        <v>155</v>
      </c>
      <c r="I29" s="125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48" customFormat="1" ht="12.75">
      <c r="A30" s="122"/>
      <c r="B30" s="135"/>
      <c r="C30" s="135" t="s">
        <v>156</v>
      </c>
      <c r="D30" s="137"/>
      <c r="E30"/>
      <c r="F30" s="122"/>
      <c r="G30" s="135" t="s">
        <v>109</v>
      </c>
      <c r="H30" s="136" t="s">
        <v>157</v>
      </c>
      <c r="I30" s="125">
        <v>2.2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48" customFormat="1" ht="12.75">
      <c r="A31" s="122"/>
      <c r="B31" s="135"/>
      <c r="C31" s="135"/>
      <c r="D31" s="125"/>
      <c r="E31"/>
      <c r="F31" s="122">
        <f>F29+I30</f>
        <v>123.1</v>
      </c>
      <c r="G31" s="135" t="s">
        <v>111</v>
      </c>
      <c r="H31" s="136" t="s">
        <v>158</v>
      </c>
      <c r="I31" s="125">
        <v>0.9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48" customFormat="1" ht="12.75">
      <c r="A32" s="122"/>
      <c r="B32" s="135" t="s">
        <v>159</v>
      </c>
      <c r="C32" s="136" t="s">
        <v>160</v>
      </c>
      <c r="D32" s="125">
        <v>8.4</v>
      </c>
      <c r="E32"/>
      <c r="F32" s="122">
        <f>F31+I31</f>
        <v>124</v>
      </c>
      <c r="G32" s="135" t="s">
        <v>111</v>
      </c>
      <c r="H32" s="136" t="s">
        <v>161</v>
      </c>
      <c r="I32" s="125">
        <v>1.9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48" customFormat="1" ht="12.75">
      <c r="A33" s="122">
        <f>A27+D32</f>
        <v>85.7</v>
      </c>
      <c r="B33" s="135" t="s">
        <v>111</v>
      </c>
      <c r="C33" s="136" t="s">
        <v>162</v>
      </c>
      <c r="D33" s="125">
        <v>5.1</v>
      </c>
      <c r="E33"/>
      <c r="F33" s="122">
        <f>F32+I32</f>
        <v>125.9</v>
      </c>
      <c r="G33" s="123"/>
      <c r="H33" s="124" t="s">
        <v>155</v>
      </c>
      <c r="I33" s="125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48" customFormat="1" ht="12.75">
      <c r="A34" s="122">
        <f aca="true" t="shared" si="3" ref="A34:A40">A33+D33</f>
        <v>90.8</v>
      </c>
      <c r="B34" s="135" t="s">
        <v>111</v>
      </c>
      <c r="C34" s="136" t="s">
        <v>163</v>
      </c>
      <c r="D34" s="125">
        <v>5</v>
      </c>
      <c r="E34"/>
      <c r="F34" s="122"/>
      <c r="G34" s="123" t="s">
        <v>109</v>
      </c>
      <c r="H34" s="124" t="s">
        <v>164</v>
      </c>
      <c r="I34" s="125">
        <v>7.4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48" customFormat="1" ht="12.75">
      <c r="A35" s="122">
        <f t="shared" si="3"/>
        <v>95.8</v>
      </c>
      <c r="B35" s="135" t="s">
        <v>109</v>
      </c>
      <c r="C35" s="136" t="s">
        <v>165</v>
      </c>
      <c r="D35" s="125">
        <v>5.8</v>
      </c>
      <c r="E35"/>
      <c r="F35" s="122">
        <f>F33+I34</f>
        <v>133.3</v>
      </c>
      <c r="G35" s="123" t="s">
        <v>111</v>
      </c>
      <c r="H35" s="124" t="s">
        <v>166</v>
      </c>
      <c r="I35" s="125">
        <v>0.5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48" customFormat="1" ht="12.75">
      <c r="A36" s="122">
        <f t="shared" si="3"/>
        <v>101.6</v>
      </c>
      <c r="B36" s="135" t="s">
        <v>111</v>
      </c>
      <c r="C36" s="136" t="s">
        <v>167</v>
      </c>
      <c r="D36" s="125">
        <v>1.4</v>
      </c>
      <c r="E36"/>
      <c r="F36" s="122">
        <f>F35+I35</f>
        <v>133.8</v>
      </c>
      <c r="G36" s="123" t="s">
        <v>111</v>
      </c>
      <c r="H36" s="124" t="s">
        <v>168</v>
      </c>
      <c r="I36" s="125">
        <v>3.4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48" customFormat="1" ht="12.75">
      <c r="A37" s="122">
        <f t="shared" si="3"/>
        <v>103</v>
      </c>
      <c r="B37" s="135" t="s">
        <v>94</v>
      </c>
      <c r="C37" s="136" t="s">
        <v>169</v>
      </c>
      <c r="D37" s="125">
        <v>4.6</v>
      </c>
      <c r="E37"/>
      <c r="F37" s="122">
        <f>F36+I36</f>
        <v>137.20000000000002</v>
      </c>
      <c r="G37" s="123" t="s">
        <v>94</v>
      </c>
      <c r="H37" s="124" t="s">
        <v>170</v>
      </c>
      <c r="I37" s="125"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48" customFormat="1" ht="12.75">
      <c r="A38" s="122">
        <f t="shared" si="3"/>
        <v>107.6</v>
      </c>
      <c r="B38" s="135" t="s">
        <v>111</v>
      </c>
      <c r="C38" s="136" t="s">
        <v>171</v>
      </c>
      <c r="D38" s="125">
        <v>6.1</v>
      </c>
      <c r="E38"/>
      <c r="F38" s="151"/>
      <c r="G38" s="123"/>
      <c r="H38" s="124"/>
      <c r="I38" s="12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48" customFormat="1" ht="12.75">
      <c r="A39" s="122">
        <f t="shared" si="3"/>
        <v>113.69999999999999</v>
      </c>
      <c r="B39" s="123" t="s">
        <v>94</v>
      </c>
      <c r="C39" s="124" t="s">
        <v>172</v>
      </c>
      <c r="D39" s="125">
        <v>0.5</v>
      </c>
      <c r="E39"/>
      <c r="F39" s="149">
        <f>F37+I37</f>
        <v>137.20000000000002</v>
      </c>
      <c r="G39" s="152" t="s">
        <v>111</v>
      </c>
      <c r="H39" s="152" t="s">
        <v>173</v>
      </c>
      <c r="I39" s="125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48" customFormat="1" ht="12.75">
      <c r="A40" s="122">
        <f t="shared" si="3"/>
        <v>114.19999999999999</v>
      </c>
      <c r="B40" s="123"/>
      <c r="C40" s="124" t="s">
        <v>155</v>
      </c>
      <c r="D40" s="125"/>
      <c r="E40"/>
      <c r="F40" s="122"/>
      <c r="G40" s="123"/>
      <c r="H40" s="152" t="s">
        <v>174</v>
      </c>
      <c r="I40" s="12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48" customFormat="1" ht="12.75">
      <c r="A41" s="122"/>
      <c r="B41" s="123" t="s">
        <v>109</v>
      </c>
      <c r="C41" s="124" t="s">
        <v>175</v>
      </c>
      <c r="D41" s="125">
        <v>0.1</v>
      </c>
      <c r="E41"/>
      <c r="F41" s="122"/>
      <c r="G41" s="123"/>
      <c r="H41" s="152"/>
      <c r="I41" s="12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48" customFormat="1" ht="12.75">
      <c r="A42" s="122">
        <f>A40+D41</f>
        <v>114.29999999999998</v>
      </c>
      <c r="B42" s="123" t="s">
        <v>111</v>
      </c>
      <c r="C42" s="124" t="s">
        <v>176</v>
      </c>
      <c r="D42" s="125">
        <v>0</v>
      </c>
      <c r="E42"/>
      <c r="F42" s="122"/>
      <c r="G42" s="123"/>
      <c r="H42" s="124"/>
      <c r="I42" s="12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48" customFormat="1" ht="12.75">
      <c r="A43" s="122"/>
      <c r="B43" s="123"/>
      <c r="C43" s="124"/>
      <c r="D43" s="125"/>
      <c r="E43"/>
      <c r="F43" s="122"/>
      <c r="G43" s="123"/>
      <c r="H43" s="124"/>
      <c r="I43" s="125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48" customFormat="1" ht="12.75">
      <c r="A44" s="149">
        <f>A42+D42</f>
        <v>114.29999999999998</v>
      </c>
      <c r="B44" s="152" t="s">
        <v>111</v>
      </c>
      <c r="C44" s="152" t="s">
        <v>177</v>
      </c>
      <c r="D44" s="153"/>
      <c r="E44"/>
      <c r="F44" s="122"/>
      <c r="G44" s="123"/>
      <c r="H44" s="124"/>
      <c r="I44" s="12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48" customFormat="1" ht="12.75">
      <c r="A45" s="147"/>
      <c r="B45" s="152"/>
      <c r="C45" s="152" t="s">
        <v>178</v>
      </c>
      <c r="D45" s="153"/>
      <c r="E45"/>
      <c r="F45" s="122"/>
      <c r="G45" s="123"/>
      <c r="H45" s="124"/>
      <c r="I45" s="12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48" customFormat="1" ht="12.75">
      <c r="A46" s="149"/>
      <c r="B46" s="152"/>
      <c r="C46" s="152"/>
      <c r="D46" s="153"/>
      <c r="E46"/>
      <c r="F46" s="122"/>
      <c r="G46" s="123"/>
      <c r="H46" s="154"/>
      <c r="I46" s="125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>
      <c r="A47" s="138"/>
      <c r="B47" s="155"/>
      <c r="C47" s="156"/>
      <c r="D47" s="141"/>
      <c r="F47" s="138"/>
      <c r="G47" s="139"/>
      <c r="H47" s="140"/>
      <c r="I47" s="141"/>
    </row>
    <row r="48" spans="1:9" s="88" customFormat="1" ht="3" customHeight="1">
      <c r="A48" s="157"/>
      <c r="B48" s="158"/>
      <c r="C48" s="159"/>
      <c r="D48" s="157"/>
      <c r="F48" s="157"/>
      <c r="G48" s="158"/>
      <c r="H48" s="159"/>
      <c r="I48" s="157"/>
    </row>
    <row r="49" spans="1:9" ht="36.75" customHeight="1">
      <c r="A49" s="114" t="s">
        <v>101</v>
      </c>
      <c r="B49" s="115" t="s">
        <v>102</v>
      </c>
      <c r="C49" s="116" t="s">
        <v>103</v>
      </c>
      <c r="D49" s="117" t="s">
        <v>104</v>
      </c>
      <c r="F49" s="114" t="s">
        <v>101</v>
      </c>
      <c r="G49" s="115" t="s">
        <v>102</v>
      </c>
      <c r="H49" s="116" t="s">
        <v>103</v>
      </c>
      <c r="I49" s="117" t="s">
        <v>104</v>
      </c>
    </row>
    <row r="50" spans="1:9" ht="12.75">
      <c r="A50" s="122">
        <f>F39</f>
        <v>137.20000000000002</v>
      </c>
      <c r="B50" s="123" t="s">
        <v>111</v>
      </c>
      <c r="C50" s="124" t="s">
        <v>179</v>
      </c>
      <c r="D50" s="125">
        <v>3.5</v>
      </c>
      <c r="F50" s="122">
        <f>A71+D71</f>
        <v>197.39999999999998</v>
      </c>
      <c r="G50" s="123" t="s">
        <v>94</v>
      </c>
      <c r="H50" s="124" t="s">
        <v>180</v>
      </c>
      <c r="I50" s="125">
        <v>0.1</v>
      </c>
    </row>
    <row r="51" spans="1:9" ht="12.75">
      <c r="A51" s="122">
        <f>A50+D50</f>
        <v>140.70000000000002</v>
      </c>
      <c r="B51" s="123" t="s">
        <v>109</v>
      </c>
      <c r="C51" s="124" t="s">
        <v>181</v>
      </c>
      <c r="D51" s="125">
        <v>0.7</v>
      </c>
      <c r="F51" s="126">
        <f>F50+I50</f>
        <v>197.49999999999997</v>
      </c>
      <c r="G51" s="127" t="s">
        <v>94</v>
      </c>
      <c r="H51" s="133" t="s">
        <v>182</v>
      </c>
      <c r="I51" s="129">
        <v>1.9</v>
      </c>
    </row>
    <row r="52" spans="1:9" ht="12.75">
      <c r="A52" s="122">
        <f>A51+D51</f>
        <v>141.4</v>
      </c>
      <c r="B52" s="123"/>
      <c r="C52" s="124" t="s">
        <v>183</v>
      </c>
      <c r="D52" s="125"/>
      <c r="F52" s="126">
        <f aca="true" t="shared" si="4" ref="F52:F57">F51+I51</f>
        <v>199.39999999999998</v>
      </c>
      <c r="G52" s="127" t="s">
        <v>111</v>
      </c>
      <c r="H52" s="133" t="s">
        <v>184</v>
      </c>
      <c r="I52" s="129">
        <v>0.9</v>
      </c>
    </row>
    <row r="53" spans="1:9" ht="12.75">
      <c r="A53" s="122"/>
      <c r="B53" s="123" t="s">
        <v>109</v>
      </c>
      <c r="C53" s="124" t="s">
        <v>185</v>
      </c>
      <c r="D53" s="125">
        <v>0.3</v>
      </c>
      <c r="F53" s="126">
        <f t="shared" si="4"/>
        <v>200.29999999999998</v>
      </c>
      <c r="G53" s="127" t="s">
        <v>94</v>
      </c>
      <c r="H53" s="133" t="s">
        <v>186</v>
      </c>
      <c r="I53" s="129">
        <v>0.2</v>
      </c>
    </row>
    <row r="54" spans="1:9" ht="12.75">
      <c r="A54" s="122">
        <f>A52+D51</f>
        <v>142.1</v>
      </c>
      <c r="B54" s="123" t="s">
        <v>94</v>
      </c>
      <c r="C54" s="124" t="s">
        <v>187</v>
      </c>
      <c r="D54" s="125">
        <v>0.1</v>
      </c>
      <c r="F54" s="126">
        <f t="shared" si="4"/>
        <v>200.49999999999997</v>
      </c>
      <c r="G54" s="127" t="s">
        <v>111</v>
      </c>
      <c r="H54" s="133" t="s">
        <v>188</v>
      </c>
      <c r="I54" s="129">
        <v>1.1</v>
      </c>
    </row>
    <row r="55" spans="1:9" ht="12.75">
      <c r="A55" s="122">
        <f aca="true" t="shared" si="5" ref="A55:A61">A54+D54</f>
        <v>142.2</v>
      </c>
      <c r="B55" s="123" t="s">
        <v>111</v>
      </c>
      <c r="C55" s="124" t="s">
        <v>189</v>
      </c>
      <c r="D55" s="125">
        <v>0.6</v>
      </c>
      <c r="F55" s="126">
        <f t="shared" si="4"/>
        <v>201.59999999999997</v>
      </c>
      <c r="G55" s="127" t="s">
        <v>109</v>
      </c>
      <c r="H55" s="133" t="s">
        <v>190</v>
      </c>
      <c r="I55" s="129">
        <v>2.9</v>
      </c>
    </row>
    <row r="56" spans="1:9" ht="12.75">
      <c r="A56" s="122">
        <f t="shared" si="5"/>
        <v>142.79999999999998</v>
      </c>
      <c r="B56" s="123" t="s">
        <v>94</v>
      </c>
      <c r="C56" s="124" t="s">
        <v>191</v>
      </c>
      <c r="D56" s="125">
        <v>0.3</v>
      </c>
      <c r="F56" s="126">
        <f t="shared" si="4"/>
        <v>204.49999999999997</v>
      </c>
      <c r="G56" s="127" t="s">
        <v>94</v>
      </c>
      <c r="H56" s="133" t="s">
        <v>192</v>
      </c>
      <c r="I56" s="129">
        <v>0.9</v>
      </c>
    </row>
    <row r="57" spans="1:9" ht="12.75">
      <c r="A57" s="122">
        <f t="shared" si="5"/>
        <v>143.1</v>
      </c>
      <c r="B57" s="123" t="s">
        <v>111</v>
      </c>
      <c r="C57" s="124" t="s">
        <v>193</v>
      </c>
      <c r="D57" s="125">
        <v>2</v>
      </c>
      <c r="F57" s="126">
        <f t="shared" si="4"/>
        <v>205.39999999999998</v>
      </c>
      <c r="G57" s="160" t="s">
        <v>111</v>
      </c>
      <c r="H57" s="161" t="s">
        <v>194</v>
      </c>
      <c r="I57" s="129">
        <v>0.2</v>
      </c>
    </row>
    <row r="58" spans="1:9" ht="12.75">
      <c r="A58" s="122">
        <f t="shared" si="5"/>
        <v>145.1</v>
      </c>
      <c r="B58" s="123" t="s">
        <v>94</v>
      </c>
      <c r="C58" s="124" t="s">
        <v>195</v>
      </c>
      <c r="D58" s="125">
        <v>5.4</v>
      </c>
      <c r="F58" s="126"/>
      <c r="G58" s="127"/>
      <c r="H58" s="133"/>
      <c r="I58" s="129"/>
    </row>
    <row r="59" spans="1:9" ht="12.75">
      <c r="A59" s="122">
        <f t="shared" si="5"/>
        <v>150.5</v>
      </c>
      <c r="B59" s="123" t="s">
        <v>94</v>
      </c>
      <c r="C59" s="131" t="s">
        <v>196</v>
      </c>
      <c r="D59" s="125">
        <v>3</v>
      </c>
      <c r="F59" s="162">
        <f>F57+I57</f>
        <v>205.59999999999997</v>
      </c>
      <c r="G59" s="128" t="s">
        <v>94</v>
      </c>
      <c r="H59" s="128" t="s">
        <v>197</v>
      </c>
      <c r="I59" s="129"/>
    </row>
    <row r="60" spans="1:9" ht="12.75">
      <c r="A60" s="122">
        <f t="shared" si="5"/>
        <v>153.5</v>
      </c>
      <c r="B60" s="123" t="s">
        <v>109</v>
      </c>
      <c r="C60" s="124" t="s">
        <v>198</v>
      </c>
      <c r="D60" s="125">
        <v>6.4</v>
      </c>
      <c r="F60" s="162"/>
      <c r="G60" s="128"/>
      <c r="H60" s="128" t="s">
        <v>21</v>
      </c>
      <c r="I60" s="129"/>
    </row>
    <row r="61" spans="1:9" ht="12.75">
      <c r="A61" s="122">
        <f t="shared" si="5"/>
        <v>159.9</v>
      </c>
      <c r="B61" s="123"/>
      <c r="C61" s="124" t="s">
        <v>199</v>
      </c>
      <c r="D61" s="125"/>
      <c r="F61" s="162"/>
      <c r="G61" s="127"/>
      <c r="H61" s="133"/>
      <c r="I61" s="129"/>
    </row>
    <row r="62" spans="1:9" ht="12.75">
      <c r="A62" s="122"/>
      <c r="B62" s="123" t="s">
        <v>109</v>
      </c>
      <c r="C62" s="124" t="s">
        <v>200</v>
      </c>
      <c r="D62" s="125">
        <v>10.2</v>
      </c>
      <c r="F62" s="122"/>
      <c r="G62" s="127"/>
      <c r="H62" s="133"/>
      <c r="I62" s="129"/>
    </row>
    <row r="63" spans="1:9" ht="12.75">
      <c r="A63" s="122">
        <f>A61+D62</f>
        <v>170.1</v>
      </c>
      <c r="B63" s="123" t="s">
        <v>94</v>
      </c>
      <c r="C63" s="124" t="s">
        <v>201</v>
      </c>
      <c r="D63" s="125">
        <v>2.7</v>
      </c>
      <c r="F63" s="122"/>
      <c r="G63" s="127"/>
      <c r="H63" s="133"/>
      <c r="I63" s="129"/>
    </row>
    <row r="64" spans="1:9" ht="12.75">
      <c r="A64" s="122">
        <f aca="true" t="shared" si="6" ref="A64:A71">A63+D63</f>
        <v>172.79999999999998</v>
      </c>
      <c r="B64" s="123" t="s">
        <v>94</v>
      </c>
      <c r="C64" s="124" t="s">
        <v>202</v>
      </c>
      <c r="D64" s="125">
        <v>0.1</v>
      </c>
      <c r="F64" s="122"/>
      <c r="G64" s="127"/>
      <c r="H64" s="133"/>
      <c r="I64" s="129"/>
    </row>
    <row r="65" spans="1:9" ht="12.75">
      <c r="A65" s="122">
        <f t="shared" si="6"/>
        <v>172.89999999999998</v>
      </c>
      <c r="B65" s="123" t="s">
        <v>111</v>
      </c>
      <c r="C65" s="124" t="s">
        <v>203</v>
      </c>
      <c r="D65" s="125">
        <v>1.9</v>
      </c>
      <c r="F65" s="122"/>
      <c r="G65" s="127"/>
      <c r="H65" s="133"/>
      <c r="I65" s="129"/>
    </row>
    <row r="66" spans="1:9" ht="12.75">
      <c r="A66" s="122">
        <f t="shared" si="6"/>
        <v>174.79999999999998</v>
      </c>
      <c r="B66" s="123" t="s">
        <v>109</v>
      </c>
      <c r="C66" s="124" t="s">
        <v>204</v>
      </c>
      <c r="D66" s="125">
        <v>0</v>
      </c>
      <c r="F66" s="149"/>
      <c r="G66" s="123"/>
      <c r="H66" s="152"/>
      <c r="I66" s="125"/>
    </row>
    <row r="67" spans="1:9" ht="12.75">
      <c r="A67" s="122">
        <f t="shared" si="6"/>
        <v>174.79999999999998</v>
      </c>
      <c r="B67" s="123" t="s">
        <v>111</v>
      </c>
      <c r="C67" s="124" t="s">
        <v>205</v>
      </c>
      <c r="D67" s="125">
        <v>2.4</v>
      </c>
      <c r="F67" s="122"/>
      <c r="G67" s="123"/>
      <c r="H67" s="152"/>
      <c r="I67" s="125"/>
    </row>
    <row r="68" spans="1:9" ht="12.75">
      <c r="A68" s="122">
        <f t="shared" si="6"/>
        <v>177.2</v>
      </c>
      <c r="B68" s="123" t="s">
        <v>94</v>
      </c>
      <c r="C68" s="124" t="s">
        <v>206</v>
      </c>
      <c r="D68" s="125">
        <v>1.2</v>
      </c>
      <c r="F68" s="149"/>
      <c r="G68" s="152"/>
      <c r="H68" s="152"/>
      <c r="I68" s="153"/>
    </row>
    <row r="69" spans="1:9" ht="12.75">
      <c r="A69" s="122">
        <f t="shared" si="6"/>
        <v>178.39999999999998</v>
      </c>
      <c r="B69" s="123" t="s">
        <v>111</v>
      </c>
      <c r="C69" s="124" t="s">
        <v>207</v>
      </c>
      <c r="D69" s="125">
        <v>1.7</v>
      </c>
      <c r="F69" s="149"/>
      <c r="G69" s="152"/>
      <c r="H69" s="152"/>
      <c r="I69" s="153"/>
    </row>
    <row r="70" spans="1:9" ht="12.75">
      <c r="A70" s="122">
        <f t="shared" si="6"/>
        <v>180.09999999999997</v>
      </c>
      <c r="B70" s="123" t="s">
        <v>94</v>
      </c>
      <c r="C70" s="124" t="s">
        <v>208</v>
      </c>
      <c r="D70" s="125">
        <v>1.5</v>
      </c>
      <c r="F70" s="122"/>
      <c r="G70" s="123"/>
      <c r="H70" s="154"/>
      <c r="I70" s="125"/>
    </row>
    <row r="71" spans="1:9" ht="12.75">
      <c r="A71" s="163">
        <f t="shared" si="6"/>
        <v>181.59999999999997</v>
      </c>
      <c r="B71" s="139" t="s">
        <v>94</v>
      </c>
      <c r="C71" s="140" t="s">
        <v>209</v>
      </c>
      <c r="D71" s="143">
        <v>15.8</v>
      </c>
      <c r="F71" s="163"/>
      <c r="G71" s="139"/>
      <c r="H71" s="164" t="s">
        <v>210</v>
      </c>
      <c r="I71" s="141"/>
    </row>
    <row r="72" spans="1:9" s="88" customFormat="1" ht="3" customHeight="1">
      <c r="A72" s="157"/>
      <c r="B72" s="158"/>
      <c r="C72" s="159"/>
      <c r="D72" s="157"/>
      <c r="F72" s="157"/>
      <c r="G72" s="158"/>
      <c r="H72" s="159"/>
      <c r="I72" s="157"/>
    </row>
    <row r="73" spans="1:9" ht="36.75" customHeight="1">
      <c r="A73"/>
      <c r="B73"/>
      <c r="C73"/>
      <c r="D73"/>
      <c r="F73"/>
      <c r="G73"/>
      <c r="H73"/>
      <c r="I73"/>
    </row>
    <row r="74" spans="1:9" ht="12.75">
      <c r="A74"/>
      <c r="F74"/>
      <c r="G74"/>
      <c r="H74"/>
      <c r="I74"/>
    </row>
    <row r="75" spans="1:9" ht="12.75">
      <c r="A75"/>
      <c r="B75"/>
      <c r="C75"/>
      <c r="D75"/>
      <c r="F75"/>
      <c r="G75"/>
      <c r="H75"/>
      <c r="I75"/>
    </row>
    <row r="76" spans="1:9" ht="12.75">
      <c r="A76"/>
      <c r="B76"/>
      <c r="C76"/>
      <c r="D76"/>
      <c r="F76"/>
      <c r="G76"/>
      <c r="H76"/>
      <c r="I76"/>
    </row>
    <row r="77" spans="1:9" ht="12.75">
      <c r="A77"/>
      <c r="B77"/>
      <c r="C77"/>
      <c r="D77"/>
      <c r="F77"/>
      <c r="G77"/>
      <c r="H77"/>
      <c r="I77"/>
    </row>
    <row r="78" spans="1:9" ht="12.75">
      <c r="A78"/>
      <c r="B78"/>
      <c r="C78"/>
      <c r="D78"/>
      <c r="F78"/>
      <c r="G78"/>
      <c r="H78"/>
      <c r="I78"/>
    </row>
    <row r="79" spans="1:9" ht="12.75">
      <c r="A79"/>
      <c r="B79"/>
      <c r="C79"/>
      <c r="D79"/>
      <c r="F79"/>
      <c r="G79"/>
      <c r="H79"/>
      <c r="I79"/>
    </row>
    <row r="80" spans="1:9" ht="12.75">
      <c r="A80"/>
      <c r="B80"/>
      <c r="C80"/>
      <c r="D80"/>
      <c r="F80"/>
      <c r="G80"/>
      <c r="H80"/>
      <c r="I80"/>
    </row>
    <row r="81" spans="1:9" ht="12.75">
      <c r="A81"/>
      <c r="B81"/>
      <c r="C81"/>
      <c r="D81"/>
      <c r="F81"/>
      <c r="G81"/>
      <c r="H81"/>
      <c r="I81"/>
    </row>
    <row r="82" spans="1:9" ht="12.75">
      <c r="A82"/>
      <c r="B82"/>
      <c r="C82"/>
      <c r="D82"/>
      <c r="F82"/>
      <c r="G82"/>
      <c r="H82"/>
      <c r="I82"/>
    </row>
    <row r="83" spans="1:9" ht="12.75">
      <c r="A83"/>
      <c r="B83"/>
      <c r="C83"/>
      <c r="D83"/>
      <c r="F83"/>
      <c r="G83"/>
      <c r="H83"/>
      <c r="I83"/>
    </row>
    <row r="84" spans="1:9" ht="12.75">
      <c r="A84"/>
      <c r="B84"/>
      <c r="C84"/>
      <c r="D84"/>
      <c r="F84"/>
      <c r="G84"/>
      <c r="H84"/>
      <c r="I84"/>
    </row>
    <row r="85" spans="1:9" ht="12.75">
      <c r="A85"/>
      <c r="B85"/>
      <c r="C85"/>
      <c r="D85"/>
      <c r="F85"/>
      <c r="G85"/>
      <c r="H85"/>
      <c r="I85"/>
    </row>
    <row r="86" spans="1:9" ht="12.75">
      <c r="A86"/>
      <c r="B86"/>
      <c r="C86"/>
      <c r="D86"/>
      <c r="F86"/>
      <c r="G86"/>
      <c r="H86"/>
      <c r="I86"/>
    </row>
    <row r="87" spans="1:9" ht="12.75">
      <c r="A87"/>
      <c r="B87"/>
      <c r="C87"/>
      <c r="D87"/>
      <c r="F87"/>
      <c r="G87"/>
      <c r="H87"/>
      <c r="I87"/>
    </row>
    <row r="88" spans="1:9" ht="12.75">
      <c r="A88"/>
      <c r="B88"/>
      <c r="C88"/>
      <c r="D88"/>
      <c r="F88"/>
      <c r="G88"/>
      <c r="H88"/>
      <c r="I88"/>
    </row>
    <row r="89" spans="1:9" ht="12.75">
      <c r="A89"/>
      <c r="B89"/>
      <c r="C89"/>
      <c r="D89"/>
      <c r="F89"/>
      <c r="G89"/>
      <c r="H89"/>
      <c r="I89"/>
    </row>
    <row r="90" spans="1:9" ht="12.75">
      <c r="A90"/>
      <c r="B90"/>
      <c r="C90"/>
      <c r="D90"/>
      <c r="F90"/>
      <c r="G90"/>
      <c r="H90"/>
      <c r="I90"/>
    </row>
    <row r="91" spans="1:9" ht="12.75">
      <c r="A91"/>
      <c r="B91"/>
      <c r="C91"/>
      <c r="D91"/>
      <c r="F91"/>
      <c r="G91"/>
      <c r="H91"/>
      <c r="I91"/>
    </row>
    <row r="92" spans="1:9" ht="12.75">
      <c r="A92"/>
      <c r="B92"/>
      <c r="C92"/>
      <c r="D92"/>
      <c r="F92"/>
      <c r="G92"/>
      <c r="H92"/>
      <c r="I92"/>
    </row>
    <row r="93" spans="1:9" ht="12.75">
      <c r="A93"/>
      <c r="B93"/>
      <c r="C93"/>
      <c r="D93"/>
      <c r="F93"/>
      <c r="G93"/>
      <c r="H93"/>
      <c r="I93"/>
    </row>
    <row r="94" spans="1:9" ht="12.75">
      <c r="A94"/>
      <c r="B94"/>
      <c r="C94"/>
      <c r="D94"/>
      <c r="F94"/>
      <c r="G94"/>
      <c r="H94"/>
      <c r="I94"/>
    </row>
    <row r="95" spans="1:9" ht="12.75">
      <c r="A95"/>
      <c r="B95"/>
      <c r="C95"/>
      <c r="D95"/>
      <c r="F95"/>
      <c r="G95"/>
      <c r="H95"/>
      <c r="I95"/>
    </row>
  </sheetData>
  <sheetProtection selectLockedCells="1" selectUnlockedCells="1"/>
  <printOptions horizontalCentered="1"/>
  <pageMargins left="0.55" right="0.55" top="1.1868055555555554" bottom="1.1868055555555554" header="0.24027777777777778" footer="0.24027777777777778"/>
  <pageSetup fitToHeight="2" fitToWidth="1" horizontalDpi="300" verticalDpi="300" orientation="portrait"/>
  <headerFooter alignWithMargins="0">
    <oddHeader>&amp;L&amp;8&amp;A&amp;C&amp;"Arial,Bold"Island 200 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</oddFooter>
  </headerFooter>
  <rowBreaks count="2" manualBreakCount="2">
    <brk id="47" max="255" man="1"/>
    <brk id="48" max="255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G135" sqref="G135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1" customWidth="1"/>
    <col min="6" max="6" width="8.8515625" style="0" customWidth="1"/>
    <col min="7" max="7" width="5.57421875" style="0" customWidth="1"/>
    <col min="8" max="8" width="3.7109375" style="0" customWidth="1"/>
    <col min="9" max="9" width="31.140625" style="0" customWidth="1"/>
    <col min="10" max="10" width="5.7109375" style="0" customWidth="1"/>
    <col min="11" max="16384" width="8.8515625" style="0" customWidth="1"/>
  </cols>
  <sheetData>
    <row r="1" spans="1:4" ht="60.75">
      <c r="A1" s="114" t="s">
        <v>101</v>
      </c>
      <c r="B1" s="115" t="s">
        <v>102</v>
      </c>
      <c r="C1" s="116" t="s">
        <v>103</v>
      </c>
      <c r="D1" s="117" t="s">
        <v>104</v>
      </c>
    </row>
    <row r="2" spans="1:4" ht="12.75">
      <c r="A2" s="122"/>
      <c r="B2" s="135"/>
      <c r="C2" s="150" t="s">
        <v>105</v>
      </c>
      <c r="D2" s="125"/>
    </row>
    <row r="3" spans="1:4" ht="12.75">
      <c r="A3" s="122"/>
      <c r="B3" s="135"/>
      <c r="C3" s="150" t="s">
        <v>21</v>
      </c>
      <c r="D3" s="125"/>
    </row>
    <row r="4" spans="1:4" ht="12.75">
      <c r="A4" s="122"/>
      <c r="B4" s="135"/>
      <c r="C4" s="136" t="s">
        <v>108</v>
      </c>
      <c r="D4" s="125"/>
    </row>
    <row r="5" spans="1:4" ht="12.75">
      <c r="A5" s="122">
        <v>0</v>
      </c>
      <c r="B5" s="135" t="s">
        <v>111</v>
      </c>
      <c r="C5" s="136" t="s">
        <v>112</v>
      </c>
      <c r="D5" s="125">
        <v>0</v>
      </c>
    </row>
    <row r="6" spans="1:4" ht="12.75">
      <c r="A6" s="122">
        <v>0</v>
      </c>
      <c r="B6" s="135" t="s">
        <v>111</v>
      </c>
      <c r="C6" s="136" t="s">
        <v>211</v>
      </c>
      <c r="D6" s="125">
        <v>0.1</v>
      </c>
    </row>
    <row r="7" spans="1:4" ht="12.75">
      <c r="A7" s="122">
        <v>0.1</v>
      </c>
      <c r="B7" s="135" t="s">
        <v>94</v>
      </c>
      <c r="C7" s="136" t="s">
        <v>116</v>
      </c>
      <c r="D7" s="125">
        <v>2.2</v>
      </c>
    </row>
    <row r="8" spans="1:4" ht="12.75">
      <c r="A8" s="122">
        <v>2.3</v>
      </c>
      <c r="B8" s="135" t="s">
        <v>94</v>
      </c>
      <c r="C8" s="136" t="s">
        <v>118</v>
      </c>
      <c r="D8" s="125">
        <v>1.2</v>
      </c>
    </row>
    <row r="9" spans="1:4" ht="12.75">
      <c r="A9" s="122">
        <v>3.5</v>
      </c>
      <c r="B9" s="135" t="s">
        <v>111</v>
      </c>
      <c r="C9" s="136" t="s">
        <v>120</v>
      </c>
      <c r="D9" s="125">
        <v>0.9</v>
      </c>
    </row>
    <row r="10" spans="1:4" ht="12.75">
      <c r="A10" s="122">
        <v>4.4</v>
      </c>
      <c r="B10" s="135" t="s">
        <v>109</v>
      </c>
      <c r="C10" s="136" t="s">
        <v>122</v>
      </c>
      <c r="D10" s="125">
        <v>2.2</v>
      </c>
    </row>
    <row r="11" spans="1:4" ht="12.75">
      <c r="A11" s="122">
        <v>6.6</v>
      </c>
      <c r="B11" s="135" t="s">
        <v>111</v>
      </c>
      <c r="C11" s="136" t="s">
        <v>124</v>
      </c>
      <c r="D11" s="125">
        <v>3.6</v>
      </c>
    </row>
    <row r="12" spans="1:4" ht="12.75">
      <c r="A12" s="122">
        <v>10.2</v>
      </c>
      <c r="B12" s="127" t="s">
        <v>109</v>
      </c>
      <c r="C12" s="133" t="s">
        <v>212</v>
      </c>
      <c r="D12" s="129">
        <v>4</v>
      </c>
    </row>
    <row r="13" spans="1:4" ht="12.75">
      <c r="A13" s="122">
        <v>14.2</v>
      </c>
      <c r="B13" s="127" t="s">
        <v>111</v>
      </c>
      <c r="C13" s="133" t="s">
        <v>128</v>
      </c>
      <c r="D13" s="129">
        <v>9.9</v>
      </c>
    </row>
    <row r="14" spans="1:4" ht="12.75">
      <c r="A14" s="122">
        <v>24.1</v>
      </c>
      <c r="B14" s="127" t="s">
        <v>94</v>
      </c>
      <c r="C14" s="133" t="s">
        <v>130</v>
      </c>
      <c r="D14" s="129">
        <v>0.3</v>
      </c>
    </row>
    <row r="15" spans="1:4" ht="12.75">
      <c r="A15" s="126">
        <v>24.4</v>
      </c>
      <c r="B15" s="127" t="s">
        <v>94</v>
      </c>
      <c r="C15" s="133" t="s">
        <v>213</v>
      </c>
      <c r="D15" s="129">
        <v>2</v>
      </c>
    </row>
    <row r="16" spans="1:4" ht="12.75">
      <c r="A16" s="126">
        <v>26.4</v>
      </c>
      <c r="B16" s="127" t="s">
        <v>94</v>
      </c>
      <c r="C16" s="133" t="s">
        <v>133</v>
      </c>
      <c r="D16" s="129">
        <v>0.4</v>
      </c>
    </row>
    <row r="17" spans="1:4" ht="12.75">
      <c r="A17" s="126">
        <v>26.8</v>
      </c>
      <c r="B17" s="127" t="s">
        <v>111</v>
      </c>
      <c r="C17" s="133" t="s">
        <v>135</v>
      </c>
      <c r="D17" s="129">
        <v>1.6</v>
      </c>
    </row>
    <row r="18" spans="1:4" ht="12.75">
      <c r="A18" s="126">
        <v>28.4</v>
      </c>
      <c r="B18" s="127" t="s">
        <v>94</v>
      </c>
      <c r="C18" s="133" t="s">
        <v>137</v>
      </c>
      <c r="D18" s="129">
        <v>0.1</v>
      </c>
    </row>
    <row r="19" spans="1:4" ht="12.75">
      <c r="A19" s="126">
        <v>28.5</v>
      </c>
      <c r="B19" s="135" t="s">
        <v>111</v>
      </c>
      <c r="C19" s="136" t="s">
        <v>214</v>
      </c>
      <c r="D19" s="125">
        <v>2.1</v>
      </c>
    </row>
    <row r="20" spans="1:4" ht="12.75">
      <c r="A20" s="126">
        <v>30.6</v>
      </c>
      <c r="B20" s="135" t="s">
        <v>111</v>
      </c>
      <c r="C20" s="136" t="s">
        <v>141</v>
      </c>
      <c r="D20" s="125">
        <v>1.2</v>
      </c>
    </row>
    <row r="21" spans="1:4" ht="12.75">
      <c r="A21" s="126">
        <v>31.8</v>
      </c>
      <c r="B21" s="135" t="s">
        <v>111</v>
      </c>
      <c r="C21" s="136" t="s">
        <v>215</v>
      </c>
      <c r="D21" s="125">
        <v>1.1</v>
      </c>
    </row>
    <row r="22" spans="1:4" ht="12.75">
      <c r="A22" s="126">
        <v>32.9</v>
      </c>
      <c r="B22" s="135" t="s">
        <v>94</v>
      </c>
      <c r="C22" s="136" t="s">
        <v>145</v>
      </c>
      <c r="D22" s="125">
        <v>0.1</v>
      </c>
    </row>
    <row r="23" spans="1:4" ht="12.75">
      <c r="A23" s="126">
        <v>33</v>
      </c>
      <c r="B23" s="155" t="s">
        <v>94</v>
      </c>
      <c r="C23" s="165" t="s">
        <v>216</v>
      </c>
      <c r="D23" s="141">
        <v>5.3</v>
      </c>
    </row>
    <row r="24" spans="1:4" ht="60.75">
      <c r="A24" s="114" t="s">
        <v>101</v>
      </c>
      <c r="B24" s="115" t="s">
        <v>102</v>
      </c>
      <c r="C24" s="116" t="s">
        <v>103</v>
      </c>
      <c r="D24" s="117" t="s">
        <v>104</v>
      </c>
    </row>
    <row r="25" spans="1:4" ht="12.75">
      <c r="A25" s="122">
        <v>38.3</v>
      </c>
      <c r="B25" s="123" t="s">
        <v>94</v>
      </c>
      <c r="C25" s="124" t="s">
        <v>106</v>
      </c>
      <c r="D25" s="125">
        <v>0.2</v>
      </c>
    </row>
    <row r="26" spans="1:4" ht="12.75">
      <c r="A26" s="122"/>
      <c r="B26" s="123"/>
      <c r="C26" s="124" t="s">
        <v>107</v>
      </c>
      <c r="D26" s="125"/>
    </row>
    <row r="27" spans="1:4" ht="12.75">
      <c r="A27" s="122">
        <v>38.5</v>
      </c>
      <c r="B27" s="127" t="s">
        <v>109</v>
      </c>
      <c r="C27" s="133" t="s">
        <v>110</v>
      </c>
      <c r="D27" s="129">
        <v>1.1</v>
      </c>
    </row>
    <row r="28" spans="1:4" ht="12.75">
      <c r="A28" s="122">
        <v>39.6</v>
      </c>
      <c r="B28" s="127" t="s">
        <v>109</v>
      </c>
      <c r="C28" s="133" t="s">
        <v>217</v>
      </c>
      <c r="D28" s="129">
        <v>2</v>
      </c>
    </row>
    <row r="29" spans="1:4" ht="12.75">
      <c r="A29" s="122">
        <v>41.6</v>
      </c>
      <c r="B29" s="127" t="s">
        <v>94</v>
      </c>
      <c r="C29" s="133" t="s">
        <v>115</v>
      </c>
      <c r="D29" s="129">
        <v>1.6</v>
      </c>
    </row>
    <row r="30" spans="1:4" ht="12.75">
      <c r="A30" s="122">
        <v>43.2</v>
      </c>
      <c r="B30" s="127" t="s">
        <v>94</v>
      </c>
      <c r="C30" s="133" t="s">
        <v>117</v>
      </c>
      <c r="D30" s="129">
        <v>1.1</v>
      </c>
    </row>
    <row r="31" spans="1:4" ht="12.75">
      <c r="A31" s="122">
        <v>44.3</v>
      </c>
      <c r="B31" s="127" t="s">
        <v>94</v>
      </c>
      <c r="C31" s="133" t="s">
        <v>119</v>
      </c>
      <c r="D31" s="129">
        <v>1.1</v>
      </c>
    </row>
    <row r="32" spans="1:4" ht="12.75">
      <c r="A32" s="122">
        <v>45.4</v>
      </c>
      <c r="B32" s="127" t="s">
        <v>109</v>
      </c>
      <c r="C32" s="133" t="s">
        <v>121</v>
      </c>
      <c r="D32" s="129">
        <v>5.8</v>
      </c>
    </row>
    <row r="33" spans="1:4" ht="12.75">
      <c r="A33" s="122">
        <v>51.2</v>
      </c>
      <c r="B33" s="127" t="s">
        <v>94</v>
      </c>
      <c r="C33" s="133" t="s">
        <v>123</v>
      </c>
      <c r="D33" s="129">
        <v>0</v>
      </c>
    </row>
    <row r="34" spans="1:4" ht="12.75">
      <c r="A34" s="122">
        <v>51.2</v>
      </c>
      <c r="B34" s="127" t="s">
        <v>111</v>
      </c>
      <c r="C34" s="133" t="s">
        <v>125</v>
      </c>
      <c r="D34" s="129">
        <v>0.6</v>
      </c>
    </row>
    <row r="35" spans="1:4" ht="12.75">
      <c r="A35" s="122"/>
      <c r="B35" s="127"/>
      <c r="C35" s="133" t="s">
        <v>127</v>
      </c>
      <c r="D35" s="129"/>
    </row>
    <row r="36" spans="1:4" ht="12.75">
      <c r="A36" s="122">
        <v>51.8</v>
      </c>
      <c r="B36" s="123" t="s">
        <v>109</v>
      </c>
      <c r="C36" s="124" t="s">
        <v>129</v>
      </c>
      <c r="D36" s="125">
        <v>0.4</v>
      </c>
    </row>
    <row r="37" spans="1:4" ht="12.75">
      <c r="A37" s="122">
        <v>52.2</v>
      </c>
      <c r="B37" s="123" t="s">
        <v>109</v>
      </c>
      <c r="C37" s="124" t="s">
        <v>121</v>
      </c>
      <c r="D37" s="125">
        <v>4.1</v>
      </c>
    </row>
    <row r="38" spans="1:4" ht="12.75">
      <c r="A38" s="147">
        <v>56.3</v>
      </c>
      <c r="B38" s="166" t="s">
        <v>111</v>
      </c>
      <c r="C38" s="167" t="s">
        <v>132</v>
      </c>
      <c r="D38" s="137">
        <v>0.6</v>
      </c>
    </row>
    <row r="39" spans="1:4" ht="12.75">
      <c r="A39" s="147">
        <v>56.9</v>
      </c>
      <c r="B39" s="123" t="s">
        <v>94</v>
      </c>
      <c r="C39" s="124" t="s">
        <v>218</v>
      </c>
      <c r="D39" s="137">
        <v>2.4</v>
      </c>
    </row>
    <row r="40" spans="1:4" ht="12.75">
      <c r="A40" s="147">
        <v>59.3</v>
      </c>
      <c r="B40" s="123" t="s">
        <v>109</v>
      </c>
      <c r="C40" s="124" t="s">
        <v>219</v>
      </c>
      <c r="D40" s="137">
        <v>0.1</v>
      </c>
    </row>
    <row r="41" spans="1:4" ht="12.75">
      <c r="A41" s="147">
        <v>59.4</v>
      </c>
      <c r="B41" s="123" t="s">
        <v>111</v>
      </c>
      <c r="C41" s="123" t="s">
        <v>220</v>
      </c>
      <c r="D41" s="137">
        <v>5.8</v>
      </c>
    </row>
    <row r="42" spans="1:4" ht="12.75">
      <c r="A42" s="147">
        <v>65.2</v>
      </c>
      <c r="B42" s="123" t="s">
        <v>111</v>
      </c>
      <c r="C42" s="124" t="s">
        <v>140</v>
      </c>
      <c r="D42" s="137">
        <v>4.2</v>
      </c>
    </row>
    <row r="43" spans="1:4" ht="12.75">
      <c r="A43" s="147">
        <v>69.4</v>
      </c>
      <c r="B43" s="123" t="s">
        <v>111</v>
      </c>
      <c r="C43" s="124" t="s">
        <v>221</v>
      </c>
      <c r="D43" s="137">
        <v>0.1</v>
      </c>
    </row>
    <row r="44" spans="1:4" ht="12.75">
      <c r="A44" s="147">
        <v>69.5</v>
      </c>
      <c r="B44" s="123" t="s">
        <v>94</v>
      </c>
      <c r="C44" s="124" t="s">
        <v>144</v>
      </c>
      <c r="D44" s="137">
        <v>0.6</v>
      </c>
    </row>
    <row r="45" spans="1:4" ht="12.75">
      <c r="A45" s="147">
        <v>70.1</v>
      </c>
      <c r="B45" s="123" t="s">
        <v>111</v>
      </c>
      <c r="C45" s="124" t="s">
        <v>146</v>
      </c>
      <c r="D45" s="125">
        <v>7.1</v>
      </c>
    </row>
    <row r="46" spans="1:4" ht="12.75">
      <c r="A46" s="147">
        <v>77.2</v>
      </c>
      <c r="B46" s="139" t="s">
        <v>111</v>
      </c>
      <c r="C46" s="140" t="s">
        <v>148</v>
      </c>
      <c r="D46" s="141">
        <v>0.2</v>
      </c>
    </row>
    <row r="47" spans="1:4" ht="60.75">
      <c r="A47" s="114" t="s">
        <v>101</v>
      </c>
      <c r="B47" s="115" t="s">
        <v>102</v>
      </c>
      <c r="C47" s="116" t="s">
        <v>103</v>
      </c>
      <c r="D47" s="117" t="s">
        <v>104</v>
      </c>
    </row>
    <row r="48" spans="1:4" ht="12.75">
      <c r="A48" s="147"/>
      <c r="B48" s="135"/>
      <c r="C48" s="136"/>
      <c r="D48" s="137"/>
    </row>
    <row r="49" spans="1:4" ht="12.75">
      <c r="A49" s="149">
        <v>77.4</v>
      </c>
      <c r="B49" s="135"/>
      <c r="C49" s="150" t="s">
        <v>150</v>
      </c>
      <c r="D49" s="137"/>
    </row>
    <row r="50" spans="1:4" ht="12.75">
      <c r="A50" s="147"/>
      <c r="B50" s="135"/>
      <c r="C50" s="150" t="s">
        <v>152</v>
      </c>
      <c r="D50" s="137"/>
    </row>
    <row r="51" spans="1:4" ht="12.75">
      <c r="A51" s="147"/>
      <c r="B51" s="135"/>
      <c r="C51" s="135" t="s">
        <v>154</v>
      </c>
      <c r="D51" s="137"/>
    </row>
    <row r="52" spans="1:4" ht="12.75">
      <c r="A52" s="122"/>
      <c r="B52" s="135"/>
      <c r="C52" s="135" t="s">
        <v>156</v>
      </c>
      <c r="D52" s="137"/>
    </row>
    <row r="53" spans="1:4" ht="12.75">
      <c r="A53" s="122"/>
      <c r="B53" s="135"/>
      <c r="C53" s="135"/>
      <c r="D53" s="125"/>
    </row>
    <row r="54" spans="1:4" ht="12.75">
      <c r="A54" s="122"/>
      <c r="B54" s="135" t="s">
        <v>159</v>
      </c>
      <c r="C54" s="136" t="s">
        <v>160</v>
      </c>
      <c r="D54" s="125">
        <v>8.4</v>
      </c>
    </row>
    <row r="55" spans="1:4" ht="12.75">
      <c r="A55" s="122">
        <v>85.8</v>
      </c>
      <c r="B55" s="135" t="s">
        <v>111</v>
      </c>
      <c r="C55" s="136" t="s">
        <v>222</v>
      </c>
      <c r="D55" s="125">
        <v>5.1</v>
      </c>
    </row>
    <row r="56" spans="1:4" ht="12.75">
      <c r="A56" s="122">
        <v>90.9</v>
      </c>
      <c r="B56" s="135" t="s">
        <v>111</v>
      </c>
      <c r="C56" s="136" t="s">
        <v>223</v>
      </c>
      <c r="D56" s="125">
        <v>5</v>
      </c>
    </row>
    <row r="57" spans="1:4" ht="12.75">
      <c r="A57" s="122">
        <v>95.9</v>
      </c>
      <c r="B57" s="135" t="s">
        <v>109</v>
      </c>
      <c r="C57" s="136" t="s">
        <v>165</v>
      </c>
      <c r="D57" s="125">
        <v>5.8</v>
      </c>
    </row>
    <row r="58" spans="1:4" ht="12.75">
      <c r="A58" s="122">
        <v>101.7</v>
      </c>
      <c r="B58" s="135" t="s">
        <v>111</v>
      </c>
      <c r="C58" s="136" t="s">
        <v>167</v>
      </c>
      <c r="D58" s="125">
        <v>1.4</v>
      </c>
    </row>
    <row r="59" spans="1:4" ht="12.75">
      <c r="A59" s="122">
        <v>103.1</v>
      </c>
      <c r="B59" s="135" t="s">
        <v>94</v>
      </c>
      <c r="C59" s="136" t="s">
        <v>224</v>
      </c>
      <c r="D59" s="125">
        <v>4.6</v>
      </c>
    </row>
    <row r="60" spans="1:4" ht="12.75">
      <c r="A60" s="122">
        <v>107.7</v>
      </c>
      <c r="B60" s="135" t="s">
        <v>111</v>
      </c>
      <c r="C60" s="136" t="s">
        <v>171</v>
      </c>
      <c r="D60" s="125">
        <v>6.1</v>
      </c>
    </row>
    <row r="61" spans="1:4" ht="12.75">
      <c r="A61" s="122">
        <v>113.8</v>
      </c>
      <c r="B61" s="123" t="s">
        <v>94</v>
      </c>
      <c r="C61" s="124" t="s">
        <v>172</v>
      </c>
      <c r="D61" s="125">
        <v>0.5</v>
      </c>
    </row>
    <row r="62" spans="1:4" ht="12.75">
      <c r="A62" s="122">
        <v>114.3</v>
      </c>
      <c r="B62" s="123"/>
      <c r="C62" s="124" t="s">
        <v>155</v>
      </c>
      <c r="D62" s="125"/>
    </row>
    <row r="63" spans="1:4" ht="12.75">
      <c r="A63" s="122">
        <v>114.3</v>
      </c>
      <c r="B63" s="123" t="s">
        <v>109</v>
      </c>
      <c r="C63" s="124" t="s">
        <v>175</v>
      </c>
      <c r="D63" s="125">
        <v>0.1</v>
      </c>
    </row>
    <row r="64" spans="1:4" ht="12.75">
      <c r="A64" s="122">
        <v>114.4</v>
      </c>
      <c r="B64" s="123" t="s">
        <v>111</v>
      </c>
      <c r="C64" s="124" t="s">
        <v>176</v>
      </c>
      <c r="D64" s="125">
        <v>0</v>
      </c>
    </row>
    <row r="65" spans="1:4" ht="12.75">
      <c r="A65" s="122"/>
      <c r="B65" s="123"/>
      <c r="C65" s="124"/>
      <c r="D65" s="125"/>
    </row>
    <row r="66" spans="1:4" ht="12.75">
      <c r="A66" s="149">
        <v>114.4</v>
      </c>
      <c r="B66" s="152" t="s">
        <v>111</v>
      </c>
      <c r="C66" s="152" t="s">
        <v>177</v>
      </c>
      <c r="D66" s="153"/>
    </row>
    <row r="67" spans="1:4" ht="12.75">
      <c r="A67" s="147"/>
      <c r="B67" s="152"/>
      <c r="C67" s="152" t="s">
        <v>178</v>
      </c>
      <c r="D67" s="153"/>
    </row>
    <row r="68" spans="1:4" ht="12.75">
      <c r="A68" s="149"/>
      <c r="B68" s="152"/>
      <c r="C68" s="152"/>
      <c r="D68" s="153"/>
    </row>
    <row r="69" spans="1:4" ht="12.75">
      <c r="A69" s="138"/>
      <c r="B69" s="155"/>
      <c r="C69" s="156"/>
      <c r="D69" s="141"/>
    </row>
    <row r="70" spans="1:4" ht="60.75">
      <c r="A70" s="114" t="s">
        <v>101</v>
      </c>
      <c r="B70" s="115" t="s">
        <v>102</v>
      </c>
      <c r="C70" s="116" t="s">
        <v>103</v>
      </c>
      <c r="D70" s="117" t="s">
        <v>104</v>
      </c>
    </row>
    <row r="71" spans="1:4" ht="12.75">
      <c r="A71" s="122">
        <v>114.4</v>
      </c>
      <c r="B71" s="123" t="s">
        <v>94</v>
      </c>
      <c r="C71" s="124" t="s">
        <v>225</v>
      </c>
      <c r="D71" s="125">
        <v>0</v>
      </c>
    </row>
    <row r="72" spans="1:4" ht="12.75">
      <c r="A72" s="122">
        <v>114.4</v>
      </c>
      <c r="B72" s="123" t="s">
        <v>111</v>
      </c>
      <c r="C72" s="136" t="s">
        <v>226</v>
      </c>
      <c r="D72" s="125">
        <v>0.9</v>
      </c>
    </row>
    <row r="73" spans="1:4" ht="12.75">
      <c r="A73" s="122">
        <v>115.3</v>
      </c>
      <c r="B73" s="135" t="s">
        <v>111</v>
      </c>
      <c r="C73" s="136" t="s">
        <v>226</v>
      </c>
      <c r="D73" s="125">
        <v>3.3</v>
      </c>
    </row>
    <row r="74" spans="1:4" ht="12.75">
      <c r="A74" s="122">
        <v>118.6</v>
      </c>
      <c r="B74" s="135" t="s">
        <v>94</v>
      </c>
      <c r="C74" s="136" t="s">
        <v>226</v>
      </c>
      <c r="D74" s="125">
        <v>2.4</v>
      </c>
    </row>
    <row r="75" spans="1:4" ht="12.75">
      <c r="A75" s="122"/>
      <c r="B75" s="135"/>
      <c r="C75" s="124" t="s">
        <v>155</v>
      </c>
      <c r="D75" s="125"/>
    </row>
    <row r="76" spans="1:4" ht="12.75">
      <c r="A76" s="122">
        <v>121</v>
      </c>
      <c r="B76" s="135" t="s">
        <v>109</v>
      </c>
      <c r="C76" s="136" t="s">
        <v>157</v>
      </c>
      <c r="D76" s="125">
        <v>2.2</v>
      </c>
    </row>
    <row r="77" spans="1:4" ht="12.75">
      <c r="A77" s="122">
        <v>123.2</v>
      </c>
      <c r="B77" s="135" t="s">
        <v>111</v>
      </c>
      <c r="C77" s="136" t="s">
        <v>158</v>
      </c>
      <c r="D77" s="125">
        <v>0.9</v>
      </c>
    </row>
    <row r="78" spans="1:4" ht="12.75">
      <c r="A78" s="122">
        <v>124.1</v>
      </c>
      <c r="B78" s="135" t="s">
        <v>111</v>
      </c>
      <c r="C78" s="136" t="s">
        <v>161</v>
      </c>
      <c r="D78" s="125">
        <v>1.9</v>
      </c>
    </row>
    <row r="79" spans="1:4" ht="12.75">
      <c r="A79" s="122"/>
      <c r="B79" s="123"/>
      <c r="C79" s="124" t="s">
        <v>155</v>
      </c>
      <c r="D79" s="125"/>
    </row>
    <row r="80" spans="1:4" ht="12.75">
      <c r="A80" s="122">
        <v>126</v>
      </c>
      <c r="B80" s="123" t="s">
        <v>109</v>
      </c>
      <c r="C80" s="124" t="s">
        <v>164</v>
      </c>
      <c r="D80" s="125">
        <v>7.4</v>
      </c>
    </row>
    <row r="81" spans="1:4" ht="12.75">
      <c r="A81" s="122">
        <v>133.4</v>
      </c>
      <c r="B81" s="123" t="s">
        <v>111</v>
      </c>
      <c r="C81" s="124" t="s">
        <v>227</v>
      </c>
      <c r="D81" s="125">
        <v>0.5</v>
      </c>
    </row>
    <row r="82" spans="1:4" ht="12.75">
      <c r="A82" s="122">
        <v>133.9</v>
      </c>
      <c r="B82" s="123" t="s">
        <v>111</v>
      </c>
      <c r="C82" s="124" t="s">
        <v>228</v>
      </c>
      <c r="D82" s="125">
        <v>3.4</v>
      </c>
    </row>
    <row r="83" spans="1:4" ht="12.75">
      <c r="A83" s="151">
        <v>137.3</v>
      </c>
      <c r="B83" s="123" t="s">
        <v>94</v>
      </c>
      <c r="C83" s="124" t="s">
        <v>170</v>
      </c>
      <c r="D83" s="125">
        <v>0</v>
      </c>
    </row>
    <row r="84" spans="1:4" ht="12.75">
      <c r="A84" s="122"/>
      <c r="B84" s="123"/>
      <c r="C84" s="124"/>
      <c r="D84" s="125"/>
    </row>
    <row r="85" spans="1:4" ht="12.75">
      <c r="A85" s="149">
        <v>137.3</v>
      </c>
      <c r="B85" s="152" t="s">
        <v>111</v>
      </c>
      <c r="C85" s="152" t="s">
        <v>229</v>
      </c>
      <c r="D85" s="125"/>
    </row>
    <row r="86" spans="1:4" ht="12.75">
      <c r="A86" s="122"/>
      <c r="B86" s="123"/>
      <c r="C86" s="152" t="s">
        <v>174</v>
      </c>
      <c r="D86" s="125"/>
    </row>
    <row r="87" spans="1:4" ht="12.75">
      <c r="A87" s="122"/>
      <c r="B87" s="123"/>
      <c r="C87" s="124"/>
      <c r="D87" s="125"/>
    </row>
    <row r="88" spans="1:4" ht="12.75">
      <c r="A88" s="122"/>
      <c r="B88" s="123"/>
      <c r="C88" s="124"/>
      <c r="D88" s="125"/>
    </row>
    <row r="89" spans="1:4" ht="12.75">
      <c r="A89" s="122"/>
      <c r="B89" s="123"/>
      <c r="C89" s="124"/>
      <c r="D89" s="125"/>
    </row>
    <row r="90" spans="1:4" ht="12.75">
      <c r="A90" s="122"/>
      <c r="B90" s="123"/>
      <c r="C90" s="124"/>
      <c r="D90" s="125"/>
    </row>
    <row r="91" spans="1:4" ht="12.75">
      <c r="A91" s="122"/>
      <c r="B91" s="123"/>
      <c r="C91" s="154"/>
      <c r="D91" s="125"/>
    </row>
    <row r="92" spans="1:4" ht="12.75">
      <c r="A92" s="138"/>
      <c r="B92" s="139"/>
      <c r="C92" s="140"/>
      <c r="D92" s="141"/>
    </row>
    <row r="93" spans="1:4" ht="60.75">
      <c r="A93" s="114" t="s">
        <v>101</v>
      </c>
      <c r="B93" s="115" t="s">
        <v>102</v>
      </c>
      <c r="C93" s="116" t="s">
        <v>103</v>
      </c>
      <c r="D93" s="117" t="s">
        <v>104</v>
      </c>
    </row>
    <row r="94" spans="1:4" ht="12.75">
      <c r="A94" s="122">
        <v>137.3</v>
      </c>
      <c r="B94" s="123" t="s">
        <v>111</v>
      </c>
      <c r="C94" s="124" t="s">
        <v>179</v>
      </c>
      <c r="D94" s="125">
        <v>3.5</v>
      </c>
    </row>
    <row r="95" spans="1:4" ht="12.75">
      <c r="A95" s="149"/>
      <c r="B95" s="123"/>
      <c r="C95" s="124" t="s">
        <v>183</v>
      </c>
      <c r="D95" s="125"/>
    </row>
    <row r="96" spans="1:4" ht="12.75">
      <c r="A96" s="122">
        <v>140.8</v>
      </c>
      <c r="B96" s="123" t="s">
        <v>109</v>
      </c>
      <c r="C96" s="124" t="s">
        <v>230</v>
      </c>
      <c r="D96" s="125">
        <v>0.7</v>
      </c>
    </row>
    <row r="97" spans="1:4" ht="12.75">
      <c r="A97" s="122">
        <v>141.5</v>
      </c>
      <c r="B97" s="123" t="s">
        <v>109</v>
      </c>
      <c r="C97" s="124" t="s">
        <v>185</v>
      </c>
      <c r="D97" s="125">
        <v>0.3</v>
      </c>
    </row>
    <row r="98" spans="1:4" ht="12.75">
      <c r="A98" s="122">
        <v>141.8</v>
      </c>
      <c r="B98" s="123" t="s">
        <v>94</v>
      </c>
      <c r="C98" s="124" t="s">
        <v>187</v>
      </c>
      <c r="D98" s="125">
        <v>0.1</v>
      </c>
    </row>
    <row r="99" spans="1:4" ht="12.75">
      <c r="A99" s="122">
        <v>141.9</v>
      </c>
      <c r="B99" s="123" t="s">
        <v>111</v>
      </c>
      <c r="C99" s="124" t="s">
        <v>189</v>
      </c>
      <c r="D99" s="125">
        <v>0.6</v>
      </c>
    </row>
    <row r="100" spans="1:4" ht="12.75">
      <c r="A100" s="122">
        <v>142.5</v>
      </c>
      <c r="B100" s="123" t="s">
        <v>94</v>
      </c>
      <c r="C100" s="124" t="s">
        <v>191</v>
      </c>
      <c r="D100" s="125">
        <v>0.3</v>
      </c>
    </row>
    <row r="101" spans="1:4" ht="12.75">
      <c r="A101" s="122">
        <v>142.8</v>
      </c>
      <c r="B101" s="123" t="s">
        <v>111</v>
      </c>
      <c r="C101" s="124" t="s">
        <v>231</v>
      </c>
      <c r="D101" s="125">
        <v>2</v>
      </c>
    </row>
    <row r="102" spans="1:4" ht="12.75">
      <c r="A102" s="122">
        <v>144.8</v>
      </c>
      <c r="B102" s="123" t="s">
        <v>94</v>
      </c>
      <c r="C102" s="124" t="s">
        <v>232</v>
      </c>
      <c r="D102" s="125">
        <v>1.8</v>
      </c>
    </row>
    <row r="103" spans="1:4" ht="12.75">
      <c r="A103" s="122">
        <v>146.6</v>
      </c>
      <c r="B103" s="131" t="s">
        <v>109</v>
      </c>
      <c r="C103" s="124" t="s">
        <v>233</v>
      </c>
      <c r="D103" s="125">
        <v>3.6</v>
      </c>
    </row>
    <row r="104" spans="1:4" ht="12.75">
      <c r="A104" s="122">
        <v>150.2</v>
      </c>
      <c r="B104" s="123" t="s">
        <v>94</v>
      </c>
      <c r="C104" s="131" t="s">
        <v>218</v>
      </c>
      <c r="D104" s="125">
        <v>3</v>
      </c>
    </row>
    <row r="105" spans="1:4" ht="12.75">
      <c r="A105" s="122">
        <v>153.2</v>
      </c>
      <c r="B105" s="123" t="s">
        <v>109</v>
      </c>
      <c r="C105" s="124" t="s">
        <v>198</v>
      </c>
      <c r="D105" s="125">
        <v>6.4</v>
      </c>
    </row>
    <row r="106" spans="1:4" ht="12.75">
      <c r="A106" s="122"/>
      <c r="B106" s="123"/>
      <c r="C106" s="124" t="s">
        <v>199</v>
      </c>
      <c r="D106" s="125"/>
    </row>
    <row r="107" spans="1:4" ht="12.75">
      <c r="A107" s="122">
        <v>159.6</v>
      </c>
      <c r="B107" s="123" t="s">
        <v>109</v>
      </c>
      <c r="C107" s="124" t="s">
        <v>200</v>
      </c>
      <c r="D107" s="125">
        <v>10.2</v>
      </c>
    </row>
    <row r="108" spans="1:4" ht="12.75">
      <c r="A108" s="122">
        <v>169.8</v>
      </c>
      <c r="B108" s="123" t="s">
        <v>94</v>
      </c>
      <c r="C108" s="124" t="s">
        <v>201</v>
      </c>
      <c r="D108" s="125">
        <v>2.7</v>
      </c>
    </row>
    <row r="109" spans="1:4" ht="12.75">
      <c r="A109" s="122">
        <v>172.5</v>
      </c>
      <c r="B109" s="123" t="s">
        <v>94</v>
      </c>
      <c r="C109" s="124" t="s">
        <v>234</v>
      </c>
      <c r="D109" s="125">
        <v>0.1</v>
      </c>
    </row>
    <row r="110" spans="1:4" ht="12.75">
      <c r="A110" s="122">
        <v>172.6</v>
      </c>
      <c r="B110" s="123" t="s">
        <v>111</v>
      </c>
      <c r="C110" s="124" t="s">
        <v>203</v>
      </c>
      <c r="D110" s="125">
        <v>1.9</v>
      </c>
    </row>
    <row r="111" spans="1:4" ht="12.75">
      <c r="A111" s="122">
        <v>174.5</v>
      </c>
      <c r="B111" s="123" t="s">
        <v>109</v>
      </c>
      <c r="C111" s="124" t="s">
        <v>204</v>
      </c>
      <c r="D111" s="125">
        <v>0</v>
      </c>
    </row>
    <row r="112" spans="1:4" ht="12.75">
      <c r="A112" s="122">
        <v>174.5</v>
      </c>
      <c r="B112" s="123" t="s">
        <v>111</v>
      </c>
      <c r="C112" s="124" t="s">
        <v>205</v>
      </c>
      <c r="D112" s="125">
        <v>2.4</v>
      </c>
    </row>
    <row r="113" spans="1:4" ht="12.75">
      <c r="A113" s="122">
        <v>176.9</v>
      </c>
      <c r="B113" s="123" t="s">
        <v>94</v>
      </c>
      <c r="C113" s="124" t="s">
        <v>206</v>
      </c>
      <c r="D113" s="125">
        <v>1.2</v>
      </c>
    </row>
    <row r="114" spans="1:4" ht="12.75">
      <c r="A114" s="122">
        <v>178.1</v>
      </c>
      <c r="B114" s="123" t="s">
        <v>111</v>
      </c>
      <c r="C114" s="124" t="s">
        <v>207</v>
      </c>
      <c r="D114" s="125">
        <v>1.7</v>
      </c>
    </row>
    <row r="115" spans="1:4" ht="12.75">
      <c r="A115" s="163">
        <v>179.8</v>
      </c>
      <c r="B115" s="139" t="s">
        <v>94</v>
      </c>
      <c r="C115" s="140" t="s">
        <v>208</v>
      </c>
      <c r="D115" s="141">
        <v>1.5</v>
      </c>
    </row>
    <row r="116" spans="1:4" ht="60.75">
      <c r="A116" s="114" t="s">
        <v>101</v>
      </c>
      <c r="B116" s="115" t="s">
        <v>102</v>
      </c>
      <c r="C116" s="116" t="s">
        <v>103</v>
      </c>
      <c r="D116" s="117" t="s">
        <v>104</v>
      </c>
    </row>
    <row r="117" spans="1:4" ht="12.75">
      <c r="A117" s="122">
        <v>181.3</v>
      </c>
      <c r="B117" s="123" t="s">
        <v>94</v>
      </c>
      <c r="C117" s="124" t="s">
        <v>209</v>
      </c>
      <c r="D117" s="137">
        <v>15.8</v>
      </c>
    </row>
    <row r="118" spans="1:4" ht="12.75">
      <c r="A118" s="126">
        <v>197.1</v>
      </c>
      <c r="B118" s="127" t="s">
        <v>94</v>
      </c>
      <c r="C118" s="133" t="s">
        <v>235</v>
      </c>
      <c r="D118" s="129">
        <v>0.1</v>
      </c>
    </row>
    <row r="119" spans="1:4" ht="12.75">
      <c r="A119" s="126">
        <v>197.2</v>
      </c>
      <c r="B119" s="127" t="s">
        <v>94</v>
      </c>
      <c r="C119" s="133" t="s">
        <v>182</v>
      </c>
      <c r="D119" s="129">
        <v>1.9</v>
      </c>
    </row>
    <row r="120" spans="1:4" ht="12.75">
      <c r="A120" s="126">
        <v>199.1</v>
      </c>
      <c r="B120" s="127" t="s">
        <v>111</v>
      </c>
      <c r="C120" s="133" t="s">
        <v>184</v>
      </c>
      <c r="D120" s="129">
        <v>0.9</v>
      </c>
    </row>
    <row r="121" spans="1:4" ht="12.75">
      <c r="A121" s="126">
        <v>200</v>
      </c>
      <c r="B121" s="127" t="s">
        <v>94</v>
      </c>
      <c r="C121" s="133" t="s">
        <v>186</v>
      </c>
      <c r="D121" s="129">
        <v>0.2</v>
      </c>
    </row>
    <row r="122" spans="1:4" ht="12.75">
      <c r="A122" s="126">
        <v>200.2</v>
      </c>
      <c r="B122" s="127" t="s">
        <v>111</v>
      </c>
      <c r="C122" s="133" t="s">
        <v>188</v>
      </c>
      <c r="D122" s="129">
        <v>1.1</v>
      </c>
    </row>
    <row r="123" spans="1:4" ht="12.75">
      <c r="A123" s="126">
        <v>201.3</v>
      </c>
      <c r="B123" s="127" t="s">
        <v>109</v>
      </c>
      <c r="C123" s="133" t="s">
        <v>236</v>
      </c>
      <c r="D123" s="129">
        <v>2.9</v>
      </c>
    </row>
    <row r="124" spans="1:4" ht="12.75">
      <c r="A124" s="126">
        <v>204.2</v>
      </c>
      <c r="B124" s="127" t="s">
        <v>94</v>
      </c>
      <c r="C124" s="133" t="s">
        <v>237</v>
      </c>
      <c r="D124" s="129">
        <v>0.9</v>
      </c>
    </row>
    <row r="125" spans="1:4" ht="12.75">
      <c r="A125" s="126">
        <v>205.1</v>
      </c>
      <c r="B125" s="160" t="s">
        <v>111</v>
      </c>
      <c r="C125" s="161" t="s">
        <v>194</v>
      </c>
      <c r="D125" s="129">
        <v>0.2</v>
      </c>
    </row>
    <row r="126" spans="1:4" ht="12.75">
      <c r="A126" s="126"/>
      <c r="B126" s="127"/>
      <c r="C126" s="133"/>
      <c r="D126" s="129"/>
    </row>
    <row r="127" spans="1:4" ht="12.75">
      <c r="A127" s="162">
        <v>205.3</v>
      </c>
      <c r="B127" s="128" t="s">
        <v>94</v>
      </c>
      <c r="C127" s="128" t="s">
        <v>197</v>
      </c>
      <c r="D127" s="129"/>
    </row>
    <row r="128" spans="1:4" ht="12.75">
      <c r="A128" s="162"/>
      <c r="B128" s="128"/>
      <c r="C128" s="128" t="s">
        <v>21</v>
      </c>
      <c r="D128" s="129"/>
    </row>
    <row r="129" spans="1:4" ht="12.75">
      <c r="A129" s="122"/>
      <c r="B129" s="127"/>
      <c r="C129" s="133"/>
      <c r="D129" s="129"/>
    </row>
    <row r="130" spans="1:4" ht="12.75">
      <c r="A130" s="122"/>
      <c r="B130" s="127"/>
      <c r="C130" s="133"/>
      <c r="D130" s="129"/>
    </row>
    <row r="131" spans="1:4" ht="12.75">
      <c r="A131" s="122"/>
      <c r="B131" s="127"/>
      <c r="C131" s="133"/>
      <c r="D131" s="129"/>
    </row>
    <row r="132" spans="1:4" ht="12.75">
      <c r="A132" s="122"/>
      <c r="B132" s="127"/>
      <c r="C132" s="133"/>
      <c r="D132" s="129"/>
    </row>
    <row r="133" spans="1:4" ht="12.75">
      <c r="A133" s="149"/>
      <c r="B133" s="123"/>
      <c r="C133" s="152"/>
      <c r="D133" s="125"/>
    </row>
    <row r="134" spans="1:4" ht="12.75">
      <c r="A134" s="122"/>
      <c r="B134" s="123"/>
      <c r="C134" s="152"/>
      <c r="D134" s="125"/>
    </row>
    <row r="135" spans="1:4" ht="12.75">
      <c r="A135" s="149"/>
      <c r="B135" s="152"/>
      <c r="C135" s="152"/>
      <c r="D135" s="153"/>
    </row>
    <row r="136" spans="1:4" ht="12.75">
      <c r="A136" s="149"/>
      <c r="B136" s="152"/>
      <c r="C136" s="152"/>
      <c r="D136" s="153"/>
    </row>
    <row r="137" spans="1:4" ht="12.75">
      <c r="A137" s="122"/>
      <c r="B137" s="123"/>
      <c r="C137" s="154"/>
      <c r="D137" s="125"/>
    </row>
    <row r="138" spans="1:4" ht="12.75">
      <c r="A138" s="163"/>
      <c r="B138" s="139"/>
      <c r="C138" s="164" t="s">
        <v>210</v>
      </c>
      <c r="D138" s="141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5.140625" style="0" customWidth="1"/>
    <col min="3" max="3" width="0.85546875" style="0" customWidth="1"/>
    <col min="4" max="16384" width="8.8515625" style="0" customWidth="1"/>
  </cols>
  <sheetData>
    <row r="1" spans="1:4" ht="15">
      <c r="A1" s="168" t="str">
        <f>Brevet_Number</f>
        <v>VI0202B</v>
      </c>
      <c r="B1" s="168"/>
      <c r="C1" s="168"/>
      <c r="D1" s="168"/>
    </row>
    <row r="2" spans="1:4" ht="15">
      <c r="A2" s="169" t="s">
        <v>238</v>
      </c>
      <c r="B2" s="169"/>
      <c r="C2" s="170"/>
      <c r="D2" s="171" t="s">
        <v>239</v>
      </c>
    </row>
    <row r="3" spans="1:5" ht="12.75">
      <c r="A3" s="79">
        <f>Riders!C4</f>
        <v>0</v>
      </c>
      <c r="B3" s="88">
        <f>Riders!B4</f>
        <v>0</v>
      </c>
      <c r="C3" s="88"/>
      <c r="D3" s="172">
        <f>Riders!P4</f>
        <v>0</v>
      </c>
      <c r="E3">
        <f>IF(ISBLANK(Riders!Q4),"",Riders!Q4)</f>
      </c>
    </row>
    <row r="4" spans="1:5" ht="12.75">
      <c r="A4" s="79">
        <f>Riders!C5</f>
        <v>0</v>
      </c>
      <c r="B4" s="88">
        <f>Riders!B5</f>
        <v>0</v>
      </c>
      <c r="C4" s="88"/>
      <c r="D4" s="172">
        <f>Riders!P5</f>
        <v>0</v>
      </c>
      <c r="E4">
        <f>IF(ISBLANK(Riders!Q5),"",Riders!Q5)</f>
      </c>
    </row>
    <row r="5" spans="1:5" ht="12.75">
      <c r="A5" s="79">
        <f>Riders!C6</f>
        <v>0</v>
      </c>
      <c r="B5" s="88">
        <f>Riders!B6</f>
        <v>0</v>
      </c>
      <c r="C5" s="88"/>
      <c r="D5" s="172">
        <f>Riders!P6</f>
        <v>0</v>
      </c>
      <c r="E5">
        <f>IF(ISBLANK(Riders!Q6),"",Riders!Q6)</f>
      </c>
    </row>
    <row r="6" spans="1:5" ht="12.75">
      <c r="A6" s="79">
        <f>Riders!C7</f>
        <v>0</v>
      </c>
      <c r="B6" s="88">
        <f>Riders!B7</f>
        <v>0</v>
      </c>
      <c r="C6" s="88"/>
      <c r="D6" s="172">
        <f>Riders!P7</f>
        <v>0</v>
      </c>
      <c r="E6">
        <f>IF(ISBLANK(Riders!Q7),"",Riders!Q7)</f>
      </c>
    </row>
    <row r="7" spans="1:5" ht="12.75">
      <c r="A7" s="79">
        <f>Riders!C8</f>
        <v>0</v>
      </c>
      <c r="B7" s="88">
        <f>Riders!B8</f>
        <v>0</v>
      </c>
      <c r="C7" s="88"/>
      <c r="D7" s="172">
        <f>Riders!P8</f>
        <v>0</v>
      </c>
      <c r="E7">
        <f>IF(ISBLANK(Riders!Q8),"",Riders!Q8)</f>
      </c>
    </row>
    <row r="8" spans="1:5" ht="12.75">
      <c r="A8" s="79">
        <f>Riders!C9</f>
        <v>0</v>
      </c>
      <c r="B8" s="88">
        <f>Riders!B9</f>
        <v>0</v>
      </c>
      <c r="C8" s="88"/>
      <c r="D8" s="172">
        <f>Riders!P9</f>
        <v>0</v>
      </c>
      <c r="E8">
        <f>IF(ISBLANK(Riders!Q9),"",Riders!Q9)</f>
      </c>
    </row>
    <row r="9" spans="1:5" ht="12.75">
      <c r="A9" s="79">
        <f>Riders!C10</f>
        <v>0</v>
      </c>
      <c r="B9" s="88">
        <f>Riders!B10</f>
        <v>0</v>
      </c>
      <c r="C9" s="88"/>
      <c r="D9" s="172">
        <f>Riders!P10</f>
        <v>0</v>
      </c>
      <c r="E9">
        <f>IF(ISBLANK(Riders!Q10),"",Riders!Q10)</f>
      </c>
    </row>
    <row r="10" spans="1:5" ht="12.75">
      <c r="A10" s="79">
        <f>Riders!C11</f>
        <v>0</v>
      </c>
      <c r="B10" s="88">
        <f>Riders!B11</f>
        <v>0</v>
      </c>
      <c r="C10" s="88"/>
      <c r="D10" s="172">
        <f>Riders!P11</f>
        <v>0</v>
      </c>
      <c r="E10">
        <f>IF(ISBLANK(Riders!Q11),"",Riders!Q11)</f>
      </c>
    </row>
    <row r="11" spans="1:5" ht="12.75">
      <c r="A11" s="79">
        <f>Riders!C12</f>
        <v>0</v>
      </c>
      <c r="B11" s="88">
        <f>Riders!B12</f>
        <v>0</v>
      </c>
      <c r="C11" s="88"/>
      <c r="D11" s="172">
        <f>Riders!P12</f>
        <v>0</v>
      </c>
      <c r="E11">
        <f>IF(ISBLANK(Riders!Q12),"",Riders!Q12)</f>
      </c>
    </row>
    <row r="12" spans="1:5" ht="12.75">
      <c r="A12" s="79">
        <f>Riders!C13</f>
        <v>0</v>
      </c>
      <c r="B12" s="88">
        <f>Riders!B13</f>
        <v>0</v>
      </c>
      <c r="C12" s="88"/>
      <c r="D12" s="172">
        <f>Riders!P13</f>
        <v>0</v>
      </c>
      <c r="E12">
        <f>IF(ISBLANK(Riders!Q13),"",Riders!Q13)</f>
      </c>
    </row>
    <row r="13" spans="1:5" ht="12.75">
      <c r="A13" s="79">
        <f>Riders!C14</f>
        <v>0</v>
      </c>
      <c r="B13" s="88">
        <f>Riders!B14</f>
        <v>0</v>
      </c>
      <c r="C13" s="88"/>
      <c r="D13" s="172">
        <f>Riders!P14</f>
        <v>0</v>
      </c>
      <c r="E13">
        <f>IF(ISBLANK(Riders!Q14),"",Riders!Q14)</f>
      </c>
    </row>
    <row r="14" spans="1:5" ht="12.75">
      <c r="A14" s="79">
        <f>Riders!C15</f>
        <v>0</v>
      </c>
      <c r="B14" s="88">
        <f>Riders!B15</f>
        <v>0</v>
      </c>
      <c r="C14" s="88"/>
      <c r="D14" s="172">
        <f>Riders!P15</f>
        <v>0</v>
      </c>
      <c r="E14">
        <f>IF(ISBLANK(Riders!Q15),"",Riders!Q15)</f>
      </c>
    </row>
    <row r="15" spans="1:5" ht="12.75">
      <c r="A15" s="79">
        <f>Riders!C16</f>
        <v>0</v>
      </c>
      <c r="B15" s="88">
        <f>Riders!B16</f>
        <v>0</v>
      </c>
      <c r="C15" s="88"/>
      <c r="D15" s="172">
        <f>Riders!P16</f>
        <v>0</v>
      </c>
      <c r="E15">
        <f>IF(ISBLANK(Riders!Q16),"",Riders!Q16)</f>
      </c>
    </row>
    <row r="16" spans="1:5" ht="12.75">
      <c r="A16" s="79">
        <f>Riders!C17</f>
        <v>0</v>
      </c>
      <c r="B16" s="88">
        <f>Riders!B17</f>
        <v>0</v>
      </c>
      <c r="C16" s="88"/>
      <c r="D16" s="172">
        <f>Riders!P17</f>
        <v>0</v>
      </c>
      <c r="E16">
        <f>IF(ISBLANK(Riders!Q17),"",Riders!Q17)</f>
      </c>
    </row>
    <row r="17" spans="1:5" ht="12.75">
      <c r="A17" s="79">
        <f>Riders!C18</f>
        <v>0</v>
      </c>
      <c r="B17" s="88">
        <f>Riders!B18</f>
        <v>0</v>
      </c>
      <c r="C17" s="88"/>
      <c r="D17" s="172">
        <f>Riders!P18</f>
        <v>0</v>
      </c>
      <c r="E17">
        <f>IF(ISBLANK(Riders!Q18),"",Riders!Q18)</f>
      </c>
    </row>
    <row r="18" spans="1:5" ht="12.75">
      <c r="A18" s="79">
        <f>Riders!C19</f>
        <v>0</v>
      </c>
      <c r="B18" s="88">
        <f>Riders!B19</f>
        <v>0</v>
      </c>
      <c r="C18" s="88"/>
      <c r="D18" s="172">
        <f>Riders!P19</f>
        <v>0</v>
      </c>
      <c r="E18">
        <f>IF(ISBLANK(Riders!Q19),"",Riders!Q19)</f>
      </c>
    </row>
    <row r="19" spans="1:5" ht="12.75">
      <c r="A19" s="79">
        <f>Riders!C20</f>
        <v>0</v>
      </c>
      <c r="B19" s="88">
        <f>Riders!B20</f>
        <v>0</v>
      </c>
      <c r="C19" s="88"/>
      <c r="D19" s="172">
        <f>Riders!P20</f>
        <v>0</v>
      </c>
      <c r="E19">
        <f>IF(ISBLANK(Riders!Q20),"",Riders!Q20)</f>
      </c>
    </row>
    <row r="20" spans="1:5" ht="12.75">
      <c r="A20" s="79">
        <f>Riders!C21</f>
        <v>0</v>
      </c>
      <c r="B20" s="88">
        <f>Riders!B21</f>
        <v>0</v>
      </c>
      <c r="C20" s="88"/>
      <c r="D20" s="172">
        <f>Riders!P21</f>
        <v>0</v>
      </c>
      <c r="E20">
        <f>IF(ISBLANK(Riders!Q21),"",Riders!Q21)</f>
      </c>
    </row>
    <row r="21" spans="1:5" ht="12.75">
      <c r="A21" s="79">
        <f>Riders!C22</f>
        <v>0</v>
      </c>
      <c r="B21" s="88">
        <f>Riders!B22</f>
        <v>0</v>
      </c>
      <c r="C21" s="88"/>
      <c r="D21" s="172">
        <f>Riders!P22</f>
        <v>0</v>
      </c>
      <c r="E21">
        <f>IF(ISBLANK(Riders!Q22),"",Riders!Q22)</f>
      </c>
    </row>
    <row r="22" spans="1:5" ht="12.75">
      <c r="A22" s="79">
        <f>Riders!C23</f>
        <v>0</v>
      </c>
      <c r="B22" s="88">
        <f>Riders!B23</f>
        <v>0</v>
      </c>
      <c r="C22" s="88"/>
      <c r="D22" s="172">
        <f>Riders!P23</f>
        <v>0</v>
      </c>
      <c r="E22">
        <f>IF(ISBLANK(Riders!Q23),"",Riders!Q23)</f>
      </c>
    </row>
    <row r="23" spans="1:5" ht="12.75">
      <c r="A23" s="79">
        <f>Riders!C24</f>
        <v>0</v>
      </c>
      <c r="B23" s="88">
        <f>Riders!B24</f>
        <v>0</v>
      </c>
      <c r="C23" s="88"/>
      <c r="D23" s="172">
        <f>Riders!P24</f>
        <v>0</v>
      </c>
      <c r="E23">
        <f>IF(ISBLANK(Riders!Q24),"",Riders!Q24)</f>
      </c>
    </row>
    <row r="24" spans="1:5" ht="12.75">
      <c r="A24" s="79">
        <f>Riders!C25</f>
        <v>0</v>
      </c>
      <c r="B24" s="88">
        <f>Riders!B25</f>
        <v>0</v>
      </c>
      <c r="C24" s="88"/>
      <c r="D24" s="172">
        <f>Riders!P25</f>
        <v>0</v>
      </c>
      <c r="E24">
        <f>IF(ISBLANK(Riders!Q25),"",Riders!Q25)</f>
      </c>
    </row>
    <row r="25" spans="1:5" ht="12.75">
      <c r="A25" s="79">
        <f>Riders!C26</f>
        <v>0</v>
      </c>
      <c r="B25" s="88">
        <f>Riders!B26</f>
        <v>0</v>
      </c>
      <c r="C25" s="88"/>
      <c r="D25" s="172">
        <f>Riders!P26</f>
        <v>0</v>
      </c>
      <c r="E25">
        <f>IF(ISBLANK(Riders!Q26),"",Riders!Q26)</f>
      </c>
    </row>
    <row r="26" spans="1:5" ht="12.75">
      <c r="A26" s="79">
        <f>Riders!C27</f>
        <v>0</v>
      </c>
      <c r="B26" s="88">
        <f>Riders!B27</f>
        <v>0</v>
      </c>
      <c r="C26" s="88"/>
      <c r="D26" s="172">
        <f>Riders!P27</f>
        <v>0</v>
      </c>
      <c r="E26">
        <f>IF(ISBLANK(Riders!Q27),"",Riders!Q27)</f>
      </c>
    </row>
    <row r="27" spans="1:5" ht="12.75">
      <c r="A27" s="79">
        <f>Riders!C28</f>
        <v>0</v>
      </c>
      <c r="B27" s="88">
        <f>Riders!B28</f>
        <v>0</v>
      </c>
      <c r="C27" s="88"/>
      <c r="D27" s="172">
        <f>Riders!P28</f>
        <v>0</v>
      </c>
      <c r="E27">
        <f>IF(ISBLANK(Riders!Q28),"",Riders!Q28)</f>
      </c>
    </row>
    <row r="28" spans="1:5" ht="12.75">
      <c r="A28" s="79">
        <f>Riders!C29</f>
        <v>0</v>
      </c>
      <c r="B28" s="88">
        <f>Riders!B29</f>
        <v>0</v>
      </c>
      <c r="C28" s="88"/>
      <c r="D28" s="172">
        <f>Riders!P29</f>
        <v>0</v>
      </c>
      <c r="E28">
        <f>IF(ISBLANK(Riders!Q29),"",Riders!Q29)</f>
      </c>
    </row>
    <row r="29" spans="1:4" ht="12.75">
      <c r="A29" s="79"/>
      <c r="B29" s="88"/>
      <c r="C29" s="88"/>
      <c r="D29" s="172"/>
    </row>
    <row r="30" spans="1:4" ht="12.75">
      <c r="A30" s="79"/>
      <c r="B30" s="88"/>
      <c r="C30" s="88"/>
      <c r="D30" s="172"/>
    </row>
    <row r="31" spans="1:4" ht="12.75">
      <c r="A31" s="79"/>
      <c r="B31" s="88"/>
      <c r="C31" s="88"/>
      <c r="D31" s="172"/>
    </row>
    <row r="32" spans="1:4" ht="12.75">
      <c r="A32" s="79"/>
      <c r="B32" s="88"/>
      <c r="C32" s="88"/>
      <c r="D32" s="172"/>
    </row>
    <row r="33" spans="1:4" ht="12.75">
      <c r="A33" s="84"/>
      <c r="B33" s="71"/>
      <c r="C33" s="71"/>
      <c r="D33" s="173"/>
    </row>
    <row r="35" ht="12.75">
      <c r="A35" t="s">
        <v>240</v>
      </c>
    </row>
    <row r="36" ht="12.75">
      <c r="A36" t="s">
        <v>241</v>
      </c>
    </row>
    <row r="37" ht="12.75">
      <c r="A37" t="s">
        <v>242</v>
      </c>
    </row>
    <row r="38" ht="12.75">
      <c r="A38" t="s">
        <v>243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&amp;"Arial,Regular"&amp;10Island 200 km Brevet
1st April, 2000</oddHeader>
    <oddFooter>&amp;L&amp;F
&amp;A&amp;CPage &amp;P&amp;R&amp;D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B1">
      <selection activeCell="C3" sqref="C3"/>
    </sheetView>
  </sheetViews>
  <sheetFormatPr defaultColWidth="9.140625" defaultRowHeight="12.75"/>
  <cols>
    <col min="1" max="1" width="0" style="0" hidden="1" customWidth="1"/>
    <col min="2" max="2" width="3.00390625" style="0" customWidth="1"/>
    <col min="3" max="8" width="15.140625" style="0" customWidth="1"/>
    <col min="9" max="16384" width="8.8515625" style="0" customWidth="1"/>
  </cols>
  <sheetData>
    <row r="2" spans="1:8" ht="12.75">
      <c r="A2" s="89"/>
      <c r="B2" s="71"/>
      <c r="C2" s="90" t="s">
        <v>80</v>
      </c>
      <c r="D2" s="90" t="s">
        <v>79</v>
      </c>
      <c r="E2" s="92"/>
      <c r="F2" s="92"/>
      <c r="G2" s="90"/>
      <c r="H2" s="90"/>
    </row>
    <row r="3" spans="1:8" ht="12.75">
      <c r="A3" s="89">
        <v>4</v>
      </c>
      <c r="B3" s="174">
        <v>1</v>
      </c>
      <c r="C3" s="101">
        <f>Riders!C4</f>
        <v>0</v>
      </c>
      <c r="D3" s="101">
        <f>Riders!B4</f>
        <v>0</v>
      </c>
      <c r="E3" s="102"/>
      <c r="F3" s="102"/>
      <c r="G3" s="101"/>
      <c r="H3" s="101"/>
    </row>
    <row r="4" spans="1:8" ht="12.75">
      <c r="A4" s="89">
        <v>2</v>
      </c>
      <c r="B4" s="101">
        <v>2</v>
      </c>
      <c r="C4" s="101">
        <f>Riders!C5</f>
        <v>0</v>
      </c>
      <c r="D4" s="101">
        <f>Riders!B5</f>
        <v>0</v>
      </c>
      <c r="E4" s="102"/>
      <c r="F4" s="102"/>
      <c r="G4" s="101"/>
      <c r="H4" s="101"/>
    </row>
    <row r="5" spans="1:8" ht="12.75">
      <c r="A5" s="89"/>
      <c r="B5" s="101">
        <v>3</v>
      </c>
      <c r="C5" s="101">
        <f>Riders!C6</f>
        <v>0</v>
      </c>
      <c r="D5" s="101">
        <f>Riders!B6</f>
        <v>0</v>
      </c>
      <c r="E5" s="102"/>
      <c r="F5" s="102"/>
      <c r="G5" s="101"/>
      <c r="H5" s="101"/>
    </row>
    <row r="6" spans="1:8" ht="12.75">
      <c r="A6" s="89">
        <v>3</v>
      </c>
      <c r="B6" s="101">
        <v>4</v>
      </c>
      <c r="C6" s="101">
        <f>Riders!C7</f>
        <v>0</v>
      </c>
      <c r="D6" s="101">
        <f>Riders!B7</f>
        <v>0</v>
      </c>
      <c r="E6" s="102"/>
      <c r="F6" s="102"/>
      <c r="G6" s="101"/>
      <c r="H6" s="101"/>
    </row>
    <row r="7" spans="1:8" ht="12.75">
      <c r="A7" s="89"/>
      <c r="B7" s="101">
        <v>5</v>
      </c>
      <c r="C7" s="101">
        <f>Riders!C8</f>
        <v>0</v>
      </c>
      <c r="D7" s="101">
        <f>Riders!B8</f>
        <v>0</v>
      </c>
      <c r="E7" s="102"/>
      <c r="F7" s="102"/>
      <c r="G7" s="101"/>
      <c r="H7" s="101"/>
    </row>
    <row r="8" spans="1:8" ht="12.75">
      <c r="A8" s="89"/>
      <c r="B8" s="101">
        <v>6</v>
      </c>
      <c r="C8" s="101">
        <f>Riders!C9</f>
        <v>0</v>
      </c>
      <c r="D8" s="101">
        <f>Riders!B9</f>
        <v>0</v>
      </c>
      <c r="E8" s="102"/>
      <c r="F8" s="102"/>
      <c r="G8" s="101"/>
      <c r="H8" s="101"/>
    </row>
    <row r="9" spans="1:8" ht="12.75">
      <c r="A9" s="89"/>
      <c r="B9" s="101">
        <v>7</v>
      </c>
      <c r="C9" s="101">
        <f>Riders!C10</f>
        <v>0</v>
      </c>
      <c r="D9" s="101">
        <f>Riders!B10</f>
        <v>0</v>
      </c>
      <c r="E9" s="102"/>
      <c r="F9" s="102"/>
      <c r="G9" s="101"/>
      <c r="H9" s="101"/>
    </row>
    <row r="10" spans="1:8" ht="12.75">
      <c r="A10" s="89"/>
      <c r="B10" s="101">
        <v>8</v>
      </c>
      <c r="C10" s="101">
        <f>Riders!C11</f>
        <v>0</v>
      </c>
      <c r="D10" s="101">
        <f>Riders!B11</f>
        <v>0</v>
      </c>
      <c r="E10" s="102"/>
      <c r="F10" s="102"/>
      <c r="G10" s="101"/>
      <c r="H10" s="101"/>
    </row>
    <row r="11" spans="1:8" ht="12.75">
      <c r="A11" s="89"/>
      <c r="B11" s="101">
        <v>9</v>
      </c>
      <c r="C11" s="101">
        <f>Riders!C12</f>
        <v>0</v>
      </c>
      <c r="D11" s="101">
        <f>Riders!B12</f>
        <v>0</v>
      </c>
      <c r="E11" s="102"/>
      <c r="F11" s="102"/>
      <c r="G11" s="101"/>
      <c r="H11" s="101"/>
    </row>
    <row r="12" spans="1:8" ht="12.75">
      <c r="A12" s="89"/>
      <c r="B12" s="101">
        <v>10</v>
      </c>
      <c r="C12" s="101">
        <f>Riders!C13</f>
        <v>0</v>
      </c>
      <c r="D12" s="101">
        <f>Riders!B13</f>
        <v>0</v>
      </c>
      <c r="E12" s="102"/>
      <c r="F12" s="102"/>
      <c r="G12" s="175"/>
      <c r="H12" s="101"/>
    </row>
    <row r="13" spans="1:8" ht="12.75">
      <c r="A13" s="89"/>
      <c r="B13" s="101">
        <v>11</v>
      </c>
      <c r="C13" s="101">
        <f>Riders!C14</f>
        <v>0</v>
      </c>
      <c r="D13" s="101">
        <f>Riders!B14</f>
        <v>0</v>
      </c>
      <c r="E13" s="102"/>
      <c r="F13" s="102"/>
      <c r="G13" s="101"/>
      <c r="H13" s="101"/>
    </row>
    <row r="14" spans="1:8" ht="12.75">
      <c r="A14" s="89"/>
      <c r="B14" s="101">
        <v>12</v>
      </c>
      <c r="C14" s="101">
        <f>Riders!C15</f>
        <v>0</v>
      </c>
      <c r="D14" s="101">
        <f>Riders!B15</f>
        <v>0</v>
      </c>
      <c r="E14" s="102"/>
      <c r="F14" s="102"/>
      <c r="G14" s="101"/>
      <c r="H14" s="101"/>
    </row>
    <row r="15" spans="1:8" ht="12.75">
      <c r="A15" s="89">
        <v>6</v>
      </c>
      <c r="B15" s="101">
        <v>13</v>
      </c>
      <c r="C15" s="101">
        <f>Riders!C16</f>
        <v>0</v>
      </c>
      <c r="D15" s="101">
        <f>Riders!B16</f>
        <v>0</v>
      </c>
      <c r="E15" s="102"/>
      <c r="F15" s="102"/>
      <c r="G15" s="101"/>
      <c r="H15" s="101"/>
    </row>
    <row r="16" spans="1:8" ht="12.75">
      <c r="A16" s="89"/>
      <c r="B16" s="101">
        <v>14</v>
      </c>
      <c r="C16" s="101">
        <f>Riders!C17</f>
        <v>0</v>
      </c>
      <c r="D16" s="101">
        <f>Riders!B17</f>
        <v>0</v>
      </c>
      <c r="E16" s="102"/>
      <c r="F16" s="102"/>
      <c r="G16" s="101"/>
      <c r="H16" s="101"/>
    </row>
    <row r="17" spans="1:8" ht="12.75">
      <c r="A17" s="89"/>
      <c r="B17" s="101">
        <v>15</v>
      </c>
      <c r="C17" s="101">
        <f>Riders!C18</f>
        <v>0</v>
      </c>
      <c r="D17" s="101">
        <f>Riders!B18</f>
        <v>0</v>
      </c>
      <c r="E17" s="102"/>
      <c r="F17" s="102"/>
      <c r="G17" s="101"/>
      <c r="H17" s="101"/>
    </row>
    <row r="18" spans="1:8" ht="12.75">
      <c r="A18" s="89"/>
      <c r="B18" s="101">
        <v>16</v>
      </c>
      <c r="C18" s="101">
        <f>Riders!C19</f>
        <v>0</v>
      </c>
      <c r="D18" s="101">
        <f>Riders!B19</f>
        <v>0</v>
      </c>
      <c r="E18" s="102"/>
      <c r="F18" s="102"/>
      <c r="G18" s="101"/>
      <c r="H18" s="101"/>
    </row>
    <row r="19" spans="1:8" ht="12.75">
      <c r="A19" s="89">
        <v>5</v>
      </c>
      <c r="B19" s="101">
        <v>17</v>
      </c>
      <c r="C19" s="101">
        <f>Riders!C20</f>
        <v>0</v>
      </c>
      <c r="D19" s="101">
        <f>Riders!B20</f>
        <v>0</v>
      </c>
      <c r="E19" s="102"/>
      <c r="F19" s="102"/>
      <c r="G19" s="101"/>
      <c r="H19" s="101"/>
    </row>
    <row r="20" spans="1:8" ht="12.75">
      <c r="A20" s="89"/>
      <c r="B20" s="101">
        <v>18</v>
      </c>
      <c r="C20" s="101">
        <f>Riders!C21</f>
        <v>0</v>
      </c>
      <c r="D20" s="101">
        <f>Riders!B21</f>
        <v>0</v>
      </c>
      <c r="E20" s="102"/>
      <c r="F20" s="102"/>
      <c r="G20" s="101"/>
      <c r="H20" s="101"/>
    </row>
    <row r="21" spans="1:8" ht="12.75">
      <c r="A21" s="89"/>
      <c r="B21" s="101">
        <v>19</v>
      </c>
      <c r="C21" s="101">
        <f>Riders!C22</f>
        <v>0</v>
      </c>
      <c r="D21" s="101">
        <f>Riders!B22</f>
        <v>0</v>
      </c>
      <c r="E21" s="102"/>
      <c r="F21" s="102"/>
      <c r="G21" s="101"/>
      <c r="H21" s="101"/>
    </row>
    <row r="22" spans="1:8" ht="12.75">
      <c r="A22" s="89"/>
      <c r="B22" s="101">
        <v>20</v>
      </c>
      <c r="C22" s="101">
        <f>Riders!C23</f>
        <v>0</v>
      </c>
      <c r="D22" s="101">
        <f>Riders!B23</f>
        <v>0</v>
      </c>
      <c r="E22" s="102"/>
      <c r="F22" s="102"/>
      <c r="G22" s="101"/>
      <c r="H22" s="101"/>
    </row>
    <row r="23" spans="1:8" ht="12.75">
      <c r="A23" s="89"/>
      <c r="B23" s="101">
        <v>21</v>
      </c>
      <c r="C23" s="101">
        <f>Riders!C24</f>
        <v>0</v>
      </c>
      <c r="D23" s="101">
        <f>Riders!B24</f>
        <v>0</v>
      </c>
      <c r="E23" s="102"/>
      <c r="F23" s="102"/>
      <c r="G23" s="101"/>
      <c r="H23" s="101"/>
    </row>
    <row r="24" spans="1:8" ht="12.75">
      <c r="A24" s="89"/>
      <c r="B24" s="101">
        <v>22</v>
      </c>
      <c r="C24" s="101">
        <f>Riders!C25</f>
        <v>0</v>
      </c>
      <c r="D24" s="101">
        <f>Riders!B25</f>
        <v>0</v>
      </c>
      <c r="E24" s="102"/>
      <c r="F24" s="102"/>
      <c r="G24" s="101"/>
      <c r="H24" s="101"/>
    </row>
    <row r="25" spans="1:8" ht="12.75">
      <c r="A25" s="89"/>
      <c r="B25" s="101">
        <v>23</v>
      </c>
      <c r="C25" s="101"/>
      <c r="D25" s="101"/>
      <c r="E25" s="102"/>
      <c r="F25" s="102"/>
      <c r="G25" s="101"/>
      <c r="H25" s="101"/>
    </row>
    <row r="26" spans="1:8" ht="12.75">
      <c r="A26" s="89"/>
      <c r="B26" s="101">
        <v>24</v>
      </c>
      <c r="C26" s="101"/>
      <c r="D26" s="101"/>
      <c r="E26" s="102"/>
      <c r="F26" s="102"/>
      <c r="G26" s="101"/>
      <c r="H26" s="101"/>
    </row>
    <row r="27" spans="1:8" ht="12.75">
      <c r="A27" s="89"/>
      <c r="B27" s="101">
        <v>25</v>
      </c>
      <c r="C27" s="101"/>
      <c r="D27" s="101"/>
      <c r="E27" s="102"/>
      <c r="F27" s="102"/>
      <c r="G27" s="101"/>
      <c r="H27" s="101"/>
    </row>
    <row r="28" spans="1:8" ht="12.75">
      <c r="A28" s="89"/>
      <c r="B28" s="101">
        <v>26</v>
      </c>
      <c r="C28" s="101"/>
      <c r="D28" s="101"/>
      <c r="E28" s="102"/>
      <c r="F28" s="102"/>
      <c r="G28" s="101"/>
      <c r="H28" s="101"/>
    </row>
    <row r="29" spans="1:8" ht="12.75">
      <c r="A29" s="89"/>
      <c r="B29" s="101">
        <v>27</v>
      </c>
      <c r="C29" s="101"/>
      <c r="D29" s="101"/>
      <c r="E29" s="102"/>
      <c r="F29" s="102"/>
      <c r="G29" s="101"/>
      <c r="H29" s="101"/>
    </row>
    <row r="30" spans="1:8" ht="12.75">
      <c r="A30" s="89"/>
      <c r="B30" s="101">
        <v>28</v>
      </c>
      <c r="C30" s="101"/>
      <c r="D30" s="101"/>
      <c r="E30" s="102"/>
      <c r="F30" s="102"/>
      <c r="G30" s="101"/>
      <c r="H30" s="101"/>
    </row>
    <row r="31" spans="1:8" ht="12.75">
      <c r="A31" s="89"/>
      <c r="B31" s="101">
        <v>29</v>
      </c>
      <c r="C31" s="101"/>
      <c r="D31" s="101"/>
      <c r="E31" s="102"/>
      <c r="F31" s="102"/>
      <c r="G31" s="101"/>
      <c r="H31" s="101"/>
    </row>
    <row r="32" spans="1:8" ht="12.75">
      <c r="A32" s="89"/>
      <c r="B32" s="101">
        <v>30</v>
      </c>
      <c r="C32" s="101"/>
      <c r="D32" s="101"/>
      <c r="E32" s="102"/>
      <c r="F32" s="102"/>
      <c r="G32" s="101"/>
      <c r="H32" s="101"/>
    </row>
    <row r="33" spans="1:8" ht="12.75">
      <c r="A33" s="89"/>
      <c r="B33" s="101">
        <v>31</v>
      </c>
      <c r="C33" s="101"/>
      <c r="D33" s="101"/>
      <c r="E33" s="102"/>
      <c r="F33" s="102"/>
      <c r="G33" s="101"/>
      <c r="H33" s="101"/>
    </row>
    <row r="34" spans="1:8" ht="12.75">
      <c r="A34" s="89"/>
      <c r="B34" s="101">
        <v>32</v>
      </c>
      <c r="C34" s="101"/>
      <c r="D34" s="101"/>
      <c r="E34" s="102"/>
      <c r="F34" s="102"/>
      <c r="G34" s="101"/>
      <c r="H34" s="101"/>
    </row>
    <row r="35" spans="2:8" ht="12.75">
      <c r="B35" s="101">
        <v>33</v>
      </c>
      <c r="C35" s="101"/>
      <c r="D35" s="101"/>
      <c r="E35" s="102"/>
      <c r="F35" s="102"/>
      <c r="G35" s="101"/>
      <c r="H35" s="101"/>
    </row>
    <row r="36" spans="2:8" ht="12.75">
      <c r="B36" s="101">
        <v>34</v>
      </c>
      <c r="C36" s="101"/>
      <c r="D36" s="101"/>
      <c r="E36" s="102"/>
      <c r="F36" s="102"/>
      <c r="G36" s="101"/>
      <c r="H36" s="101"/>
    </row>
    <row r="37" spans="2:8" ht="12.75">
      <c r="B37" s="101">
        <v>35</v>
      </c>
      <c r="C37" s="101"/>
      <c r="D37" s="101"/>
      <c r="E37" s="102"/>
      <c r="F37" s="102"/>
      <c r="G37" s="101"/>
      <c r="H37" s="101"/>
    </row>
    <row r="38" spans="2:8" ht="12.75">
      <c r="B38" s="101">
        <v>36</v>
      </c>
      <c r="C38" s="101"/>
      <c r="D38" s="101"/>
      <c r="E38" s="102"/>
      <c r="F38" s="102"/>
      <c r="G38" s="101"/>
      <c r="H38" s="101"/>
    </row>
    <row r="39" spans="2:8" ht="12.75">
      <c r="B39" s="101">
        <v>37</v>
      </c>
      <c r="C39" s="101"/>
      <c r="D39" s="101"/>
      <c r="E39" s="102"/>
      <c r="F39" s="102"/>
      <c r="G39" s="101"/>
      <c r="H39" s="101"/>
    </row>
    <row r="40" spans="2:8" ht="12.75">
      <c r="B40" s="101">
        <v>38</v>
      </c>
      <c r="C40" s="101"/>
      <c r="D40" s="101"/>
      <c r="E40" s="102"/>
      <c r="F40" s="102"/>
      <c r="G40" s="101"/>
      <c r="H40" s="101"/>
    </row>
    <row r="41" spans="2:8" ht="12.75">
      <c r="B41" s="101">
        <v>39</v>
      </c>
      <c r="C41" s="101"/>
      <c r="D41" s="101"/>
      <c r="E41" s="102"/>
      <c r="F41" s="102"/>
      <c r="G41" s="101"/>
      <c r="H41" s="101"/>
    </row>
    <row r="42" spans="2:8" ht="12.75">
      <c r="B42" s="101">
        <v>40</v>
      </c>
      <c r="C42" s="101"/>
      <c r="D42" s="101"/>
      <c r="E42" s="102"/>
      <c r="F42" s="102"/>
      <c r="G42" s="101"/>
      <c r="H42" s="101"/>
    </row>
    <row r="43" spans="2:8" ht="12.75">
      <c r="B43" s="101">
        <v>41</v>
      </c>
      <c r="C43" s="101"/>
      <c r="D43" s="101"/>
      <c r="E43" s="102"/>
      <c r="F43" s="102"/>
      <c r="G43" s="101"/>
      <c r="H43" s="101"/>
    </row>
    <row r="44" spans="2:8" ht="12.75">
      <c r="B44" s="101">
        <v>42</v>
      </c>
      <c r="C44" s="101"/>
      <c r="D44" s="101"/>
      <c r="E44" s="102"/>
      <c r="F44" s="102"/>
      <c r="G44" s="101"/>
      <c r="H44" s="101"/>
    </row>
    <row r="45" spans="2:8" ht="12.75">
      <c r="B45" s="101">
        <v>43</v>
      </c>
      <c r="C45" s="101"/>
      <c r="D45" s="101"/>
      <c r="E45" s="102"/>
      <c r="F45" s="102"/>
      <c r="G45" s="101"/>
      <c r="H45" s="101"/>
    </row>
    <row r="46" spans="2:8" ht="12.75">
      <c r="B46" s="101">
        <v>44</v>
      </c>
      <c r="C46" s="101"/>
      <c r="D46" s="101"/>
      <c r="E46" s="102"/>
      <c r="F46" s="102"/>
      <c r="G46" s="101"/>
      <c r="H46" s="101"/>
    </row>
    <row r="47" spans="2:8" ht="12.75">
      <c r="B47" s="101">
        <v>45</v>
      </c>
      <c r="C47" s="101"/>
      <c r="D47" s="101"/>
      <c r="E47" s="102"/>
      <c r="F47" s="102"/>
      <c r="G47" s="101"/>
      <c r="H47" s="101"/>
    </row>
    <row r="48" spans="2:8" ht="12.75">
      <c r="B48" s="101">
        <v>46</v>
      </c>
      <c r="C48" s="101"/>
      <c r="D48" s="101"/>
      <c r="E48" s="102"/>
      <c r="F48" s="102"/>
      <c r="G48" s="101"/>
      <c r="H48" s="101"/>
    </row>
    <row r="49" spans="2:8" ht="12.75">
      <c r="B49" s="176">
        <v>47</v>
      </c>
      <c r="C49" s="176"/>
      <c r="D49" s="176"/>
      <c r="E49" s="177"/>
      <c r="F49" s="177"/>
      <c r="G49" s="176"/>
      <c r="H49" s="176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/>
  <headerFooter alignWithMargins="0">
    <oddHeader>&amp;LVI0200A&amp;C200km Brevet
Tour of the Cowichan Valley&amp;R!st April 2001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Stephan</cp:lastModifiedBy>
  <cp:lastPrinted>2010-08-14T23:57:39Z</cp:lastPrinted>
  <dcterms:created xsi:type="dcterms:W3CDTF">1997-11-12T04:43:39Z</dcterms:created>
  <dcterms:modified xsi:type="dcterms:W3CDTF">2010-08-16T04:20:38Z</dcterms:modified>
  <cp:category/>
  <cp:version/>
  <cp:contentType/>
  <cp:contentStatus/>
</cp:coreProperties>
</file>