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payt\Dropbox\Cycling\Randonneuring\2022\Remembrance Day\Fallen Leaves\"/>
    </mc:Choice>
  </mc:AlternateContent>
  <xr:revisionPtr revIDLastSave="0" documentId="13_ncr:1_{F7000E08-BAAA-4C63-AA1E-0DE2114730B1}" xr6:coauthVersionLast="47" xr6:coauthVersionMax="47" xr10:uidLastSave="{00000000-0000-0000-0000-000000000000}"/>
  <bookViews>
    <workbookView xWindow="-108" yWindow="-108" windowWidth="23256" windowHeight="13176" tabRatio="606" activeTab="1" xr2:uid="{00000000-000D-0000-FFFF-FFFF00000000}"/>
  </bookViews>
  <sheets>
    <sheet name="Control Entry" sheetId="1" r:id="rId1"/>
    <sheet name="Control Card 1" sheetId="2" r:id="rId2"/>
    <sheet name="Control Card 2" sheetId="19" r:id="rId3"/>
    <sheet name=" Route" sheetId="18" r:id="rId4"/>
    <sheet name="Riders" sheetId="11" state="hidden" r:id="rId5"/>
  </sheets>
  <definedNames>
    <definedName name="Address_1" localSheetId="3">#REF!</definedName>
    <definedName name="Address_1">Riders!$E$2</definedName>
    <definedName name="Address_2" localSheetId="3">#REF!</definedName>
    <definedName name="Address_2">Riders!$F$2</definedName>
    <definedName name="brevet" localSheetId="3">'Control Entry'!$C$1</definedName>
    <definedName name="brevet">'Control Entry'!$C$1</definedName>
    <definedName name="Brevet_Description" localSheetId="3">'Control Entry'!$B$3</definedName>
    <definedName name="Brevet_Description">'Control Entry'!$B$3</definedName>
    <definedName name="Brevet_Length" localSheetId="3">'Control Entry'!$B$1</definedName>
    <definedName name="Brevet_Length">'Control Entry'!$B$1</definedName>
    <definedName name="Brevet_Number" localSheetId="3">'Control Entry'!$B$4</definedName>
    <definedName name="Brevet_Number">'Control Entry'!$B$4</definedName>
    <definedName name="City" localSheetId="3">#REF!</definedName>
    <definedName name="City">Riders!$G$2</definedName>
    <definedName name="Close" localSheetId="3">'Control Entry'!$J$10:$J$19</definedName>
    <definedName name="Close">'Control Entry'!$J$12:$J$31</definedName>
    <definedName name="Close_time" localSheetId="3">'Control Entry'!$L$10:$L$19</definedName>
    <definedName name="Close_time">'Control Entry'!$L$12:$L$31</definedName>
    <definedName name="Control_1" localSheetId="3">'Control Entry'!$D$10:$L$10</definedName>
    <definedName name="Control_1">'Control Entry'!$D$12:$L$12</definedName>
    <definedName name="Control_10" localSheetId="3">'Control Entry'!$D$19:$L$19</definedName>
    <definedName name="Control_10">'Control Entry'!$D$21:$L$21</definedName>
    <definedName name="Control_11" localSheetId="3">'Control Entry'!#REF!</definedName>
    <definedName name="Control_11">'Control Entry'!$D$22:$L$22</definedName>
    <definedName name="Control_12" localSheetId="3">'Control Entry'!#REF!</definedName>
    <definedName name="Control_12">'Control Entry'!$D$23:$L$23</definedName>
    <definedName name="Control_13" localSheetId="3">'Control Entry'!#REF!</definedName>
    <definedName name="Control_13">'Control Entry'!$D$24:$L$24</definedName>
    <definedName name="Control_14" localSheetId="3">'Control Entry'!#REF!</definedName>
    <definedName name="Control_14">'Control Entry'!$D$25:$L$25</definedName>
    <definedName name="Control_15" localSheetId="3">'Control Entry'!#REF!</definedName>
    <definedName name="Control_15">'Control Entry'!$D$26:$L$26</definedName>
    <definedName name="Control_16" localSheetId="3">'Control Entry'!#REF!</definedName>
    <definedName name="Control_16">'Control Entry'!$D$27:$L$27</definedName>
    <definedName name="Control_17" localSheetId="3">'Control Entry'!#REF!</definedName>
    <definedName name="Control_17">'Control Entry'!$D$28:$L$28</definedName>
    <definedName name="Control_18" localSheetId="3">'Control Entry'!#REF!</definedName>
    <definedName name="Control_18">'Control Entry'!$D$29:$L$29</definedName>
    <definedName name="Control_19" localSheetId="3">'Control Entry'!#REF!</definedName>
    <definedName name="Control_19">'Control Entry'!$D$30:$L$30</definedName>
    <definedName name="Control_2" localSheetId="3">'Control Entry'!$D$11:$L$11</definedName>
    <definedName name="Control_2">'Control Entry'!$D$13:$L$13</definedName>
    <definedName name="Control_20" localSheetId="3">'Control Entry'!#REF!</definedName>
    <definedName name="Control_20">'Control Entry'!$D$31:$L$31</definedName>
    <definedName name="Control_3" localSheetId="3">'Control Entry'!$D$12:$L$12</definedName>
    <definedName name="Control_3">'Control Entry'!$D$14:$L$14</definedName>
    <definedName name="Control_4" localSheetId="3">'Control Entry'!$D$13:$L$13</definedName>
    <definedName name="Control_4">'Control Entry'!$D$15:$L$15</definedName>
    <definedName name="Control_5" localSheetId="3">'Control Entry'!$D$14:$L$14</definedName>
    <definedName name="Control_5">'Control Entry'!$D$16:$L$16</definedName>
    <definedName name="Control_6" localSheetId="3">'Control Entry'!$D$15:$L$15</definedName>
    <definedName name="Control_6">'Control Entry'!$D$17:$L$17</definedName>
    <definedName name="Control_7" localSheetId="3">'Control Entry'!$D$16:$L$16</definedName>
    <definedName name="Control_7">'Control Entry'!$D$18:$L$18</definedName>
    <definedName name="Control_8" localSheetId="3">'Control Entry'!$D$17:$L$17</definedName>
    <definedName name="Control_8">'Control Entry'!$D$19:$L$19</definedName>
    <definedName name="Control_9" localSheetId="3">'Control Entry'!$D$18:$L$18</definedName>
    <definedName name="Control_9">'Control Entry'!$D$20:$L$20</definedName>
    <definedName name="Country" localSheetId="3">#REF!</definedName>
    <definedName name="Country">Riders!$I$2</definedName>
    <definedName name="Distance" localSheetId="3">'Control Entry'!$D$10:$D$19</definedName>
    <definedName name="Distance">'Control Entry'!$D$12:$D$31</definedName>
    <definedName name="email" localSheetId="3">#REF!</definedName>
    <definedName name="email">Riders!$N$2</definedName>
    <definedName name="Establishment_1" localSheetId="3">'Control Entry'!$F$10:$F$19</definedName>
    <definedName name="Establishment_1">'Control Entry'!$F$12:$F$31</definedName>
    <definedName name="Establishment_2" localSheetId="3">'Control Entry'!$G$10:$G$19</definedName>
    <definedName name="Establishment_2">'Control Entry'!$G$12:$G$31</definedName>
    <definedName name="Establishment_3" localSheetId="3">'Control Entry'!$H$10:$H$19</definedName>
    <definedName name="Establishment_3">'Control Entry'!$H$12:$H$31</definedName>
    <definedName name="Fax" localSheetId="3">#REF!</definedName>
    <definedName name="Fax">Riders!$M$2</definedName>
    <definedName name="First_Name" localSheetId="3">#REF!</definedName>
    <definedName name="First_Name">Riders!$C$2</definedName>
    <definedName name="Home_telephone" localSheetId="3">#REF!</definedName>
    <definedName name="Home_telephone">Riders!$K$2</definedName>
    <definedName name="HTML_CodePage" hidden="1">1252</definedName>
    <definedName name="HTML_Control" localSheetId="3" hidden="1">{"'Web sheet'!$A$1:$D$92"}</definedName>
    <definedName name="HTML_Control" localSheetId="4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localSheetId="4" hidden="1">"'[VI0100B Nanaimo Populaire.xls]Web results'!$A$2:$D$30"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localSheetId="4" hidden="1">"C:\My Documents\Web Page\100km_results.htm"</definedName>
    <definedName name="HTML7_12" hidden="1">"C:\My Documents\Web Page\200km_route_sheet.htm"</definedName>
    <definedName name="HTML7_2" hidden="1">1</definedName>
    <definedName name="HTML7_3" localSheetId="4" hidden="1">"VI0100B Nanaimo Populaire"</definedName>
    <definedName name="HTML7_3" hidden="1">"VI0200A  Tour of Cowichan Valley"</definedName>
    <definedName name="HTML7_4" localSheetId="4" hidden="1">"Ride Results"</definedName>
    <definedName name="HTML7_4" hidden="1">"Vancouver Island 200 km Brevet"</definedName>
    <definedName name="HTML7_5" localSheetId="4" hidden="1">"Results from March 15th, 1998"</definedName>
    <definedName name="HTML7_5" hidden="1">""</definedName>
    <definedName name="HTML7_6" hidden="1">1</definedName>
    <definedName name="HTML7_7" hidden="1">1</definedName>
    <definedName name="HTML7_8" localSheetId="4" hidden="1">"98-03-26"</definedName>
    <definedName name="HTML7_8" hidden="1">"97-11-23"</definedName>
    <definedName name="HTML7_9" hidden="1">"Stephen Hinde"</definedName>
    <definedName name="HTML8_1" localSheetId="4" hidden="1">"'[VI0100B Nanaimo Populaire.xls]Web results'!$A$1:$J$17"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4" hidden="1">"C:\My Documents\Web Page\100km_results.htm"</definedName>
    <definedName name="HTML8_12" hidden="1">"C:\My Documents\Web Page\300km_route_sheet_duncan.htm"</definedName>
    <definedName name="HTML8_2" hidden="1">1</definedName>
    <definedName name="HTML8_3" localSheetId="4" hidden="1">"VI0100B Nanaimo Populaire results"</definedName>
    <definedName name="HTML8_3" hidden="1">"VI0300A  Duncan--Victoria"</definedName>
    <definedName name="HTML8_4" localSheetId="4" hidden="1">"Populaire results"</definedName>
    <definedName name="HTML8_4" hidden="1">"Web sheet"</definedName>
    <definedName name="HTML8_5" localSheetId="4" hidden="1">"100 km bicycle ride on 15th March, 1998._x000D_Co-sponsored by the BC Randonneur Cycling Club and the Nanaimo Bicycle Club."</definedName>
    <definedName name="HTML8_5" hidden="1">""</definedName>
    <definedName name="HTML8_6" hidden="1">1</definedName>
    <definedName name="HTML8_7" hidden="1">1</definedName>
    <definedName name="HTML8_8" localSheetId="4" hidden="1">"98-03-26"</definedName>
    <definedName name="HTML8_8" hidden="1">"98-01-25"</definedName>
    <definedName name="HTML8_9" hidden="1">"Stephen Hinde"</definedName>
    <definedName name="HTMLCount" hidden="1">8</definedName>
    <definedName name="Initial" localSheetId="3">#REF!</definedName>
    <definedName name="Initial">Riders!$D$2</definedName>
    <definedName name="Locale" localSheetId="3">'Control Entry'!$E$10:$E$19</definedName>
    <definedName name="Locale">'Control Entry'!$E$12:$E$31</definedName>
    <definedName name="Max_time" localSheetId="3">'Control Entry'!$B$2</definedName>
    <definedName name="Max_time">'Control Entry'!$B$2</definedName>
    <definedName name="Open" localSheetId="3">'Control Entry'!$I$10:$I$19</definedName>
    <definedName name="Open">'Control Entry'!$I$12:$I$31</definedName>
    <definedName name="Open_time" localSheetId="3">'Control Entry'!$K$10:$K$19</definedName>
    <definedName name="Open_time">'Control Entry'!$K$12:$K$31</definedName>
    <definedName name="Postal_Code" localSheetId="3">#REF!</definedName>
    <definedName name="Postal_Code">Riders!$J$2</definedName>
    <definedName name="_xlnm.Print_Area" localSheetId="3">' Route'!$A$1:$D$81</definedName>
    <definedName name="_xlnm.Print_Area" localSheetId="1">'Control Card 1'!$A$1:$V$34</definedName>
    <definedName name="_xlnm.Print_Area" localSheetId="2">'Control Card 2'!$A$1:$V$34</definedName>
    <definedName name="_xlnm.Print_Titles" localSheetId="3">' Route'!$1:$1</definedName>
    <definedName name="Province_State" localSheetId="3">#REF!</definedName>
    <definedName name="Province_State">Riders!$H$2</definedName>
    <definedName name="Start_date" localSheetId="3">'Control Entry'!$B$7</definedName>
    <definedName name="Start_date">'Control Entry'!$B$7</definedName>
    <definedName name="Start_time" localSheetId="3">'Control Entry'!$B$8</definedName>
    <definedName name="Start_time">'Control Entry'!$B$8</definedName>
    <definedName name="surname" localSheetId="3">#REF!</definedName>
    <definedName name="surname">Riders!$B$2</definedName>
    <definedName name="Work_telephone" localSheetId="3">#REF!</definedName>
    <definedName name="Work_telephone">Riders!$L$2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6" i="2" l="1"/>
  <c r="S22" i="2"/>
  <c r="L22" i="2"/>
  <c r="D76" i="18"/>
  <c r="D8" i="18"/>
  <c r="D7" i="18"/>
  <c r="D3" i="18"/>
  <c r="D4" i="18"/>
  <c r="D5" i="18"/>
  <c r="D6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8" i="18"/>
  <c r="T7" i="19"/>
  <c r="E9" i="19"/>
  <c r="L7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8" i="19"/>
  <c r="E7" i="19"/>
  <c r="E6" i="19"/>
  <c r="D31" i="19"/>
  <c r="D28" i="19"/>
  <c r="D25" i="19"/>
  <c r="D22" i="19"/>
  <c r="D19" i="19"/>
  <c r="D16" i="19"/>
  <c r="D13" i="19"/>
  <c r="D10" i="19"/>
  <c r="D7" i="19"/>
  <c r="L31" i="1"/>
  <c r="C32" i="19"/>
  <c r="C31" i="19"/>
  <c r="C30" i="19"/>
  <c r="L30" i="1"/>
  <c r="C29" i="19"/>
  <c r="C28" i="19"/>
  <c r="C27" i="19"/>
  <c r="L29" i="1"/>
  <c r="C26" i="19"/>
  <c r="C25" i="19"/>
  <c r="C24" i="19"/>
  <c r="L28" i="1"/>
  <c r="C23" i="19"/>
  <c r="C22" i="19"/>
  <c r="C21" i="19"/>
  <c r="L27" i="1"/>
  <c r="C20" i="19"/>
  <c r="C19" i="19"/>
  <c r="C18" i="19"/>
  <c r="I12" i="1"/>
  <c r="K12" i="1"/>
  <c r="C1" i="1"/>
  <c r="B2" i="1"/>
  <c r="J26" i="1"/>
  <c r="L26" i="1"/>
  <c r="C17" i="19"/>
  <c r="C16" i="19"/>
  <c r="C15" i="19"/>
  <c r="J25" i="1"/>
  <c r="L25" i="1"/>
  <c r="C14" i="19"/>
  <c r="C13" i="19"/>
  <c r="C12" i="19"/>
  <c r="J24" i="1"/>
  <c r="L24" i="1"/>
  <c r="C11" i="19"/>
  <c r="C10" i="19"/>
  <c r="C9" i="19"/>
  <c r="J23" i="1"/>
  <c r="L23" i="1"/>
  <c r="C8" i="19"/>
  <c r="C7" i="19"/>
  <c r="C6" i="19"/>
  <c r="K31" i="1"/>
  <c r="B32" i="19"/>
  <c r="B31" i="19"/>
  <c r="B30" i="19"/>
  <c r="K30" i="1"/>
  <c r="B29" i="19"/>
  <c r="B28" i="19"/>
  <c r="B27" i="19"/>
  <c r="K29" i="1"/>
  <c r="B26" i="19"/>
  <c r="B25" i="19"/>
  <c r="B24" i="19"/>
  <c r="K28" i="1"/>
  <c r="B23" i="19"/>
  <c r="B22" i="19"/>
  <c r="B21" i="19"/>
  <c r="K27" i="1"/>
  <c r="B20" i="19"/>
  <c r="B19" i="19"/>
  <c r="B18" i="19"/>
  <c r="I26" i="1"/>
  <c r="K26" i="1"/>
  <c r="B17" i="19"/>
  <c r="B16" i="19"/>
  <c r="B15" i="19"/>
  <c r="I25" i="1"/>
  <c r="K25" i="1"/>
  <c r="B14" i="19"/>
  <c r="B13" i="19"/>
  <c r="B12" i="19"/>
  <c r="I24" i="1"/>
  <c r="K24" i="1"/>
  <c r="B11" i="19"/>
  <c r="B10" i="19"/>
  <c r="B9" i="19"/>
  <c r="I23" i="1"/>
  <c r="K23" i="1"/>
  <c r="B8" i="19"/>
  <c r="B7" i="19"/>
  <c r="B6" i="19"/>
  <c r="A31" i="19"/>
  <c r="A28" i="19"/>
  <c r="A25" i="19"/>
  <c r="A22" i="19"/>
  <c r="A19" i="19"/>
  <c r="A16" i="19"/>
  <c r="A13" i="19"/>
  <c r="A10" i="19"/>
  <c r="A7" i="19"/>
  <c r="E5" i="19"/>
  <c r="E4" i="19"/>
  <c r="E3" i="19"/>
  <c r="D4" i="19"/>
  <c r="J22" i="1"/>
  <c r="L22" i="1"/>
  <c r="C5" i="19"/>
  <c r="C4" i="19"/>
  <c r="C3" i="19"/>
  <c r="I22" i="1"/>
  <c r="K22" i="1"/>
  <c r="B5" i="19"/>
  <c r="B4" i="19"/>
  <c r="A4" i="19"/>
  <c r="B3" i="19"/>
  <c r="L21" i="1"/>
  <c r="K21" i="1"/>
  <c r="L20" i="1"/>
  <c r="K20" i="1"/>
  <c r="J19" i="1"/>
  <c r="L19" i="1"/>
  <c r="I19" i="1"/>
  <c r="K19" i="1"/>
  <c r="J18" i="1"/>
  <c r="L18" i="1"/>
  <c r="I18" i="1"/>
  <c r="K18" i="1"/>
  <c r="J17" i="1"/>
  <c r="L17" i="1"/>
  <c r="I17" i="1"/>
  <c r="K17" i="1"/>
  <c r="J16" i="1"/>
  <c r="L16" i="1"/>
  <c r="I16" i="1"/>
  <c r="K16" i="1"/>
  <c r="J15" i="1"/>
  <c r="L15" i="1"/>
  <c r="I15" i="1"/>
  <c r="K15" i="1"/>
  <c r="J14" i="1"/>
  <c r="L14" i="1"/>
  <c r="I14" i="1"/>
  <c r="K14" i="1"/>
  <c r="J13" i="1"/>
  <c r="L13" i="1"/>
  <c r="I13" i="1"/>
  <c r="K13" i="1"/>
  <c r="J12" i="1"/>
  <c r="L12" i="1"/>
  <c r="M6" i="19"/>
  <c r="R5" i="19"/>
  <c r="P5" i="19"/>
  <c r="M4" i="19"/>
  <c r="E32" i="2"/>
  <c r="C32" i="2"/>
  <c r="B32" i="2"/>
  <c r="E31" i="2"/>
  <c r="D31" i="2"/>
  <c r="C31" i="2"/>
  <c r="B31" i="2"/>
  <c r="A31" i="2"/>
  <c r="E30" i="2"/>
  <c r="C30" i="2"/>
  <c r="B30" i="2"/>
  <c r="E29" i="2"/>
  <c r="C29" i="2"/>
  <c r="B29" i="2"/>
  <c r="E28" i="2"/>
  <c r="D28" i="2"/>
  <c r="C28" i="2"/>
  <c r="B28" i="2"/>
  <c r="A28" i="2"/>
  <c r="E27" i="2"/>
  <c r="C27" i="2"/>
  <c r="B27" i="2"/>
  <c r="E26" i="2"/>
  <c r="C26" i="2"/>
  <c r="B26" i="2"/>
  <c r="E25" i="2"/>
  <c r="D25" i="2"/>
  <c r="C25" i="2"/>
  <c r="B25" i="2"/>
  <c r="A25" i="2"/>
  <c r="E24" i="2"/>
  <c r="C24" i="2"/>
  <c r="B24" i="2"/>
  <c r="E23" i="2"/>
  <c r="C23" i="2"/>
  <c r="B23" i="2"/>
  <c r="E22" i="2"/>
  <c r="D22" i="2"/>
  <c r="C22" i="2"/>
  <c r="B22" i="2"/>
  <c r="A22" i="2"/>
  <c r="E21" i="2"/>
  <c r="C21" i="2"/>
  <c r="B21" i="2"/>
  <c r="E20" i="2"/>
  <c r="C20" i="2"/>
  <c r="B20" i="2"/>
  <c r="E19" i="2"/>
  <c r="D19" i="2"/>
  <c r="C19" i="2"/>
  <c r="B19" i="2"/>
  <c r="A19" i="2"/>
  <c r="E18" i="2"/>
  <c r="C18" i="2"/>
  <c r="B18" i="2"/>
  <c r="E17" i="2"/>
  <c r="C17" i="2"/>
  <c r="B17" i="2"/>
  <c r="E16" i="2"/>
  <c r="D16" i="2"/>
  <c r="C16" i="2"/>
  <c r="B16" i="2"/>
  <c r="A16" i="2"/>
  <c r="E15" i="2"/>
  <c r="C15" i="2"/>
  <c r="B15" i="2"/>
  <c r="E14" i="2"/>
  <c r="C14" i="2"/>
  <c r="B14" i="2"/>
  <c r="E13" i="2"/>
  <c r="D13" i="2"/>
  <c r="C13" i="2"/>
  <c r="B13" i="2"/>
  <c r="A13" i="2"/>
  <c r="E12" i="2"/>
  <c r="C12" i="2"/>
  <c r="B12" i="2"/>
  <c r="E11" i="2"/>
  <c r="C11" i="2"/>
  <c r="B11" i="2"/>
  <c r="E10" i="2"/>
  <c r="D10" i="2"/>
  <c r="C10" i="2"/>
  <c r="B10" i="2"/>
  <c r="A10" i="2"/>
  <c r="E9" i="2"/>
  <c r="C9" i="2"/>
  <c r="B9" i="2"/>
  <c r="E8" i="2"/>
  <c r="C8" i="2"/>
  <c r="B8" i="2"/>
  <c r="E7" i="2"/>
  <c r="D7" i="2"/>
  <c r="C7" i="2"/>
  <c r="B7" i="2"/>
  <c r="A7" i="2"/>
  <c r="E6" i="2"/>
  <c r="C6" i="2"/>
  <c r="B6" i="2"/>
  <c r="R5" i="2"/>
  <c r="P5" i="2"/>
  <c r="E5" i="2"/>
  <c r="C5" i="2"/>
  <c r="B5" i="2"/>
  <c r="E4" i="2"/>
  <c r="D4" i="2"/>
  <c r="C4" i="2"/>
  <c r="B4" i="2"/>
  <c r="A4" i="2"/>
  <c r="E3" i="2"/>
  <c r="C3" i="2"/>
  <c r="B3" i="2"/>
  <c r="J27" i="1"/>
  <c r="J28" i="1"/>
  <c r="J29" i="1"/>
  <c r="J30" i="1"/>
  <c r="J31" i="1"/>
  <c r="I27" i="1"/>
  <c r="I28" i="1"/>
  <c r="I29" i="1"/>
  <c r="I30" i="1"/>
  <c r="I31" i="1"/>
  <c r="B2" i="11"/>
  <c r="C2" i="11"/>
  <c r="D2" i="11"/>
  <c r="N2" i="11"/>
  <c r="I2" i="11"/>
  <c r="H2" i="11"/>
  <c r="G2" i="11"/>
  <c r="F2" i="11"/>
  <c r="E2" i="11"/>
  <c r="J2" i="11"/>
  <c r="K2" i="11"/>
  <c r="M2" i="11"/>
  <c r="L2" i="11"/>
  <c r="I20" i="1"/>
  <c r="I21" i="1"/>
  <c r="J21" i="1"/>
  <c r="J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B2" authorId="0" shapeId="0" xr:uid="{00000000-0006-0000-0000-000001000000}">
      <text>
        <r>
          <rPr>
            <sz val="8"/>
            <color rgb="FF000000"/>
            <rFont val="Tahoma"/>
            <family val="2"/>
          </rPr>
          <t>Partial result of closing time calculation to avoid limitation of only 7 nested functions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8F6A066-EE93-4F71-80C3-4C4DF0A258D6}" keepAlive="1" name="Query - cuesheet" description="Connection to the 'cuesheet' query in the workbook." type="5" refreshedVersion="7" background="1" saveData="1">
    <dbPr connection="Provider=Microsoft.Mashup.OleDb.1;Data Source=$Workbook$;Location=cuesheet;Extended Properties=&quot;&quot;" command="SELECT * FROM [cuesheet]"/>
  </connection>
</connections>
</file>

<file path=xl/sharedStrings.xml><?xml version="1.0" encoding="utf-8"?>
<sst xmlns="http://schemas.openxmlformats.org/spreadsheetml/2006/main" count="380" uniqueCount="222">
  <si>
    <t>Founding member of LES RANDONNEURS MONDIAUX (1983)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</si>
  <si>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</si>
  <si>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</si>
  <si>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</si>
  <si>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</si>
  <si>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</si>
  <si>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</si>
  <si>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</si>
  <si>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</si>
  <si>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</si>
  <si>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</si>
  <si>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</si>
  <si>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20</t>
  </si>
  <si>
    <t>|</t>
  </si>
  <si>
    <t>DIST (km)</t>
  </si>
  <si>
    <t>Establishment</t>
  </si>
  <si>
    <t>Time of Passage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</si>
  <si>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</si>
  <si>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</si>
  <si>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</si>
  <si>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</si>
  <si>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</si>
  <si>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</si>
  <si>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</si>
  <si>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</si>
  <si>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Start time</t>
  </si>
  <si>
    <t>Finish time</t>
  </si>
  <si>
    <t>Elapsed time</t>
  </si>
  <si>
    <t>Rider's signature at completion</t>
  </si>
  <si>
    <t>Randonneur Committee Authorization</t>
  </si>
  <si>
    <t>Control 13</t>
  </si>
  <si>
    <t>Control 14</t>
  </si>
  <si>
    <t>Control 15</t>
  </si>
  <si>
    <t>Control 1</t>
  </si>
  <si>
    <t>r - 1/2 hr - route violation</t>
  </si>
  <si>
    <t>l - 1/2 hr - no lights</t>
  </si>
  <si>
    <t>Control 16</t>
  </si>
  <si>
    <t>Control 17</t>
  </si>
  <si>
    <t>Control 18</t>
  </si>
  <si>
    <t>Control 19</t>
  </si>
  <si>
    <t>Surname</t>
  </si>
  <si>
    <t>First Name</t>
  </si>
  <si>
    <t>Initial</t>
  </si>
  <si>
    <t>Address 1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</si>
  <si>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</si>
  <si>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</si>
  <si>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</si>
  <si>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</si>
  <si>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</si>
  <si>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</si>
  <si>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</si>
  <si>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</si>
  <si>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</si>
  <si>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Establishment 1</t>
  </si>
  <si>
    <t>Establishment 2</t>
  </si>
  <si>
    <t>Establishment 3</t>
  </si>
  <si>
    <t>Open</t>
  </si>
  <si>
    <t>Close</t>
  </si>
  <si>
    <t>Open time</t>
  </si>
  <si>
    <t>Close time</t>
  </si>
  <si>
    <t>f - 1/2 hr - no fenders</t>
  </si>
  <si>
    <t>e - rode early</t>
  </si>
  <si>
    <t>d - rode late</t>
  </si>
  <si>
    <t>Address 2</t>
  </si>
  <si>
    <t>Home telephone</t>
  </si>
  <si>
    <t>Work telephone</t>
  </si>
  <si>
    <t>Fax</t>
  </si>
  <si>
    <t>Turn</t>
  </si>
  <si>
    <t>L</t>
  </si>
  <si>
    <t>R</t>
  </si>
  <si>
    <t>Finish Time</t>
  </si>
  <si>
    <t>Penalties</t>
  </si>
  <si>
    <t>Rand Memb</t>
  </si>
  <si>
    <t>Pin</t>
  </si>
  <si>
    <t>SAANICH</t>
  </si>
  <si>
    <t>at km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</si>
  <si>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</si>
  <si>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</si>
  <si>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!!!CONGRATULATIONS!!!</t>
  </si>
  <si>
    <t>Schedule Date:</t>
  </si>
  <si>
    <r>
      <t xml:space="preserve">Please </t>
    </r>
    <r>
      <rPr>
        <b/>
        <i/>
        <sz val="16"/>
        <rFont val="Arial"/>
        <family val="2"/>
      </rPr>
      <t>answer questions</t>
    </r>
    <r>
      <rPr>
        <i/>
        <sz val="16"/>
        <rFont val="Arial"/>
        <family val="2"/>
      </rPr>
      <t xml:space="preserve"> and</t>
    </r>
    <r>
      <rPr>
        <b/>
        <i/>
        <sz val="16"/>
        <rFont val="Arial"/>
        <family val="2"/>
      </rPr>
      <t xml:space="preserve"> note time of day</t>
    </r>
  </si>
  <si>
    <t>Signature/Answer</t>
  </si>
  <si>
    <t xml:space="preserve">Brevet No. </t>
  </si>
  <si>
    <t>Member #</t>
  </si>
  <si>
    <t>(only add if change needed to database)</t>
  </si>
  <si>
    <t>Ride Day Emergency Contact</t>
  </si>
  <si>
    <t>Start Date</t>
  </si>
  <si>
    <t>Finish Date</t>
  </si>
  <si>
    <t>Bicycle Type
Circle one</t>
  </si>
  <si>
    <t>-------&gt;</t>
  </si>
  <si>
    <t>Single</t>
  </si>
  <si>
    <t>Tandem</t>
  </si>
  <si>
    <t>Fixed</t>
  </si>
  <si>
    <t>Recumbent</t>
  </si>
  <si>
    <t>Velomobile</t>
  </si>
  <si>
    <t>Report results or abandonment through registration email link</t>
  </si>
  <si>
    <t>Complete rider and finish information on Card 1</t>
  </si>
  <si>
    <t>Control Card 2</t>
  </si>
  <si>
    <t>NORTH SAANICH</t>
  </si>
  <si>
    <t>VICTORIA</t>
  </si>
  <si>
    <t>Circle Dr</t>
  </si>
  <si>
    <t>Self Sign</t>
  </si>
  <si>
    <t xml:space="preserve">Plaque:  BC Indians </t>
  </si>
  <si>
    <t>#of stone planters in front of WC's</t>
  </si>
  <si>
    <t>Knapp's rank?</t>
  </si>
  <si>
    <t>Bourke's rank?</t>
  </si>
  <si>
    <t>Governor-General 1960-??</t>
  </si>
  <si>
    <t>CAMAS CIRCLE  (bike lane)</t>
  </si>
  <si>
    <t>HEYWOOD WAY (1st right)</t>
  </si>
  <si>
    <t>SO</t>
  </si>
  <si>
    <t>PARK BLVD (Y)</t>
  </si>
  <si>
    <t>VANCOUVER ST (1st left)(no sign)</t>
  </si>
  <si>
    <t>HUMBOLT ST (1st left after All Way Stop)</t>
  </si>
  <si>
    <t>HUMBOLT ST BIKEWAY (at ping pong)</t>
  </si>
  <si>
    <t>WHARF ST BIKEWAY (lights)</t>
  </si>
  <si>
    <t>Control #1: 
THE HOMECOMING</t>
  </si>
  <si>
    <t>U</t>
  </si>
  <si>
    <t>S0</t>
  </si>
  <si>
    <t>HARBOUR ROAD BIKEWAY</t>
  </si>
  <si>
    <t>GALLOPING GOOSE REGIONAL TRAIL</t>
  </si>
  <si>
    <t>Control 2:  SAANICH MUNICIPAL CENOTAPH</t>
  </si>
  <si>
    <t>RETURN TO PARKING LOT</t>
  </si>
  <si>
    <t>DOUGLAS ST</t>
  </si>
  <si>
    <t>PATH (towards Rainbow Park)</t>
  </si>
  <si>
    <t>DOUGLAS ST (Cross McKenzie Ave to access)</t>
  </si>
  <si>
    <t>PATH (slight right)</t>
  </si>
  <si>
    <t>CHATTERTON WAY (at lights)</t>
  </si>
  <si>
    <t>THRU TUNNEL</t>
  </si>
  <si>
    <t>WEST SAANICH RD (bike lane)</t>
  </si>
  <si>
    <t>WILLINGDON RD (roundabout, Exit 3)</t>
  </si>
  <si>
    <t xml:space="preserve"> PATH ACCESS (close to roundabout)</t>
  </si>
  <si>
    <t>Flight Path (bike path)</t>
  </si>
  <si>
    <t>NORSEMAN RD</t>
  </si>
  <si>
    <t>CANORA RD</t>
  </si>
  <si>
    <t xml:space="preserve">MCTAVISH RD (exit 1, roundabout) </t>
  </si>
  <si>
    <t>Control 4: BC AVIATION MUSEUM</t>
  </si>
  <si>
    <t xml:space="preserve">BUS LOOP ACCESS, (exit 2, roundabout) </t>
  </si>
  <si>
    <t>FOOTBRIDGE</t>
  </si>
  <si>
    <t>LOCHSIDE REGIONAL TRAIL</t>
  </si>
  <si>
    <t>QUADRA ST</t>
  </si>
  <si>
    <t>CONTROL #5: AFGHAN MEMORIAL</t>
  </si>
  <si>
    <t>RETURN TO QUADRA ST</t>
  </si>
  <si>
    <t>BURDETT AVE</t>
  </si>
  <si>
    <t>FINISH: BEAGLE PUB</t>
  </si>
  <si>
    <t>JOHNSTON ST BRIDGE SHARED PATH (not road)</t>
  </si>
  <si>
    <t>DARWIN AVENUE  (through first bollards)</t>
  </si>
  <si>
    <t>TOWARDS BUILDINGS (first roadway)</t>
  </si>
  <si>
    <t>BEFORE BUILDING (on roadway)</t>
  </si>
  <si>
    <t>SIDEWALK BETWEEN BLDGS (SW corner of bldg)</t>
  </si>
  <si>
    <t>ROADWAY</t>
  </si>
  <si>
    <t>ROADWAY (after bldg)</t>
  </si>
  <si>
    <t>ROADWAY (by helipad)</t>
  </si>
  <si>
    <t>DOUGLAS CONNECTOR CYCLE PATH  (before hwy)</t>
  </si>
  <si>
    <t>QUADRA ST (use sidewalk)</t>
  </si>
  <si>
    <t>ROYAL OAK AVE (no exit)</t>
  </si>
  <si>
    <t>CONTROL 3: HEALS RIFLE RANGE</t>
  </si>
  <si>
    <t>WALLACE DR (postal boxes)</t>
  </si>
  <si>
    <t>EAST SAANICH RD (3 Way Stop)</t>
  </si>
  <si>
    <t>ENTRANCE GATE (in parking lot)</t>
  </si>
  <si>
    <t>NORSEMAN RD (Return to Canora Rd)</t>
  </si>
  <si>
    <t>CANORA RD ('Y)</t>
  </si>
  <si>
    <t>WILLINGDON RD (stop sign)</t>
  </si>
  <si>
    <t>PATH (at X-walk)</t>
  </si>
  <si>
    <t>LOCHSIDE DR  (at X-walk)</t>
  </si>
  <si>
    <t>MOUNT NEWTON X RD (3 Way Stop)</t>
  </si>
  <si>
    <t>LOCHSIDE REGIONAL TRAIL (Esso)</t>
  </si>
  <si>
    <t>LOCHSIDE REGIONAL TRAIL (not footbridge)</t>
  </si>
  <si>
    <t>LOCHSIDE REGIONAL TRAIL (stop sign)</t>
  </si>
  <si>
    <t>CORDOVA BAY RD (stop sign)</t>
  </si>
  <si>
    <t>LOCHSIDE DR  (road past lights)</t>
  </si>
  <si>
    <t>LOCHSIDE REGIONAL TRAIL (thu bollards)</t>
  </si>
  <si>
    <t>LOCHSIDE DR (thru bollards)</t>
  </si>
  <si>
    <t xml:space="preserve">LOCHSIDE REGIONAL TRAIL </t>
  </si>
  <si>
    <t>GALLOPING GOOSE REGIONAL TRAIL (bridge)</t>
  </si>
  <si>
    <t>HARBOUR ROAD BIKEWAY (don't cross road!)</t>
  </si>
  <si>
    <t xml:space="preserve">JOHNSON ST BRIDGE SHARED PATH </t>
  </si>
  <si>
    <t>PANDORA ST BIKEWAY (lights)</t>
  </si>
  <si>
    <t>QUADRA ST (Domino's Pizza)</t>
  </si>
  <si>
    <t xml:space="preserve">SIDEWALK  </t>
  </si>
  <si>
    <t>AFGHAN MEMORIAL PARK (by Christchurch)</t>
  </si>
  <si>
    <t>VANCOUVER ST (stop sign)</t>
  </si>
  <si>
    <t xml:space="preserve">OLIPHANT AVE </t>
  </si>
  <si>
    <t>COOK ST (stop sign)</t>
  </si>
  <si>
    <t>START: Victoria
BC Indians War Memorial, Beacon Hill Park</t>
  </si>
  <si>
    <t>5131</t>
  </si>
  <si>
    <t>Homecoming Memorial</t>
  </si>
  <si>
    <t>Wharf St.</t>
  </si>
  <si>
    <t>Statue of man, dog, girl</t>
  </si>
  <si>
    <t>CENTRAL SAANICH</t>
  </si>
  <si>
    <t>5830 Wallace Dr.</t>
  </si>
  <si>
    <t>Victoria Int. Airport</t>
  </si>
  <si>
    <t xml:space="preserve"> 1910 Norseman Rd.</t>
  </si>
  <si>
    <t>Afghanistan Memorial</t>
  </si>
  <si>
    <t>Quadra St.</t>
  </si>
  <si>
    <t>Quadra and Courtney St's</t>
  </si>
  <si>
    <t>Beagle Pub</t>
  </si>
  <si>
    <t xml:space="preserve">301 Cook St. </t>
  </si>
  <si>
    <t>Saanich Municipal Cenotaph</t>
  </si>
  <si>
    <t>Saanich Municipal Hall</t>
  </si>
  <si>
    <t>770 Vernon Ave.</t>
  </si>
  <si>
    <t>BC Indian ?? And Welfare Society</t>
  </si>
  <si>
    <t>Plaque on back of totem pole</t>
  </si>
  <si>
    <t>Granite marker on the water side</t>
  </si>
  <si>
    <t>Service to ??</t>
  </si>
  <si>
    <t>4th parking stall to right of gate</t>
  </si>
  <si>
    <t>What covers the back of memorial?</t>
  </si>
  <si>
    <t>Outside colour of the doors?</t>
  </si>
  <si>
    <t xml:space="preserve">Control Card </t>
  </si>
  <si>
    <t>65km Randonnee</t>
  </si>
  <si>
    <t xml:space="preserve">Event No. </t>
  </si>
  <si>
    <t xml:space="preserve">Fallen Leaves Social </t>
  </si>
  <si>
    <t>Heal's Rifle Range</t>
  </si>
  <si>
    <t>Main Gate</t>
  </si>
  <si>
    <t>3rd sign left of gate</t>
  </si>
  <si>
    <t>Firing range in French</t>
  </si>
  <si>
    <t>Champ de _____</t>
  </si>
  <si>
    <t>On base of memorial</t>
  </si>
  <si>
    <t>The first listed soldier on left</t>
  </si>
  <si>
    <t>Allard, Matthieu ???</t>
  </si>
  <si>
    <t>Plaque on bottom left</t>
  </si>
  <si>
    <t xml:space="preserve">In Memory of </t>
  </si>
  <si>
    <t>Major Ernest ____MacQuarrie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</si>
</sst>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m/yy\ hh:mm\ AM/PM"/>
    <numFmt numFmtId="165" formatCode="d/mmm/yy"/>
    <numFmt numFmtId="166" formatCode="dddd"/>
    <numFmt numFmtId="167" formatCode="0.0"/>
    <numFmt numFmtId="168" formatCode="mmmm\ d\,\ yyyy"/>
    <numFmt numFmtId="169" formatCode="[&lt;=9999999]###\-####;\(###\)\ ###\-####"/>
  </numFmts>
  <fonts count="33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8"/>
      <name val="Verdana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sz val="8"/>
      <name val="Arial"/>
      <family val="2"/>
    </font>
    <font>
      <b/>
      <sz val="16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6"/>
      <name val="Arial"/>
      <family val="2"/>
    </font>
    <font>
      <sz val="20"/>
      <color theme="0" tint="-0.14999847407452621"/>
      <name val="Impact"/>
      <family val="2"/>
    </font>
    <font>
      <sz val="16"/>
      <name val="Arial Narrow"/>
      <family val="2"/>
    </font>
    <font>
      <sz val="14"/>
      <color rgb="FF000000"/>
      <name val="Helvetica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97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25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16" xfId="0" applyBorder="1"/>
    <xf numFmtId="0" fontId="0" fillId="0" borderId="0" xfId="0" applyAlignment="1">
      <alignment horizontal="righ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2" borderId="5" xfId="0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0" fontId="0" fillId="2" borderId="7" xfId="0" applyFill="1" applyBorder="1" applyAlignment="1">
      <alignment horizontal="centerContinuous"/>
    </xf>
    <xf numFmtId="0" fontId="0" fillId="2" borderId="0" xfId="0" applyFill="1"/>
    <xf numFmtId="0" fontId="0" fillId="2" borderId="10" xfId="0" applyFill="1" applyBorder="1"/>
    <xf numFmtId="0" fontId="0" fillId="2" borderId="11" xfId="0" applyFill="1" applyBorder="1"/>
    <xf numFmtId="0" fontId="0" fillId="2" borderId="7" xfId="0" applyFill="1" applyBorder="1"/>
    <xf numFmtId="0" fontId="7" fillId="2" borderId="15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0" fillId="2" borderId="8" xfId="0" applyFill="1" applyBorder="1" applyAlignment="1">
      <alignment horizontal="right"/>
    </xf>
    <xf numFmtId="20" fontId="0" fillId="0" borderId="9" xfId="0" applyNumberFormat="1" applyBorder="1" applyProtection="1">
      <protection locked="0"/>
    </xf>
    <xf numFmtId="0" fontId="0" fillId="2" borderId="1" xfId="0" applyFill="1" applyBorder="1" applyAlignment="1">
      <alignment horizontal="right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right"/>
    </xf>
    <xf numFmtId="0" fontId="0" fillId="2" borderId="4" xfId="0" applyFill="1" applyBorder="1"/>
    <xf numFmtId="15" fontId="0" fillId="0" borderId="4" xfId="0" applyNumberForma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6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10" fillId="0" borderId="0" xfId="0" applyFont="1"/>
    <xf numFmtId="0" fontId="0" fillId="0" borderId="18" xfId="0" applyBorder="1"/>
    <xf numFmtId="0" fontId="0" fillId="0" borderId="19" xfId="0" applyBorder="1"/>
    <xf numFmtId="0" fontId="0" fillId="0" borderId="22" xfId="0" applyBorder="1"/>
    <xf numFmtId="0" fontId="10" fillId="0" borderId="18" xfId="0" applyFont="1" applyBorder="1" applyProtection="1">
      <protection locked="0"/>
    </xf>
    <xf numFmtId="0" fontId="0" fillId="0" borderId="18" xfId="0" applyBorder="1" applyProtection="1">
      <protection locked="0"/>
    </xf>
    <xf numFmtId="0" fontId="10" fillId="0" borderId="18" xfId="0" applyFont="1" applyBorder="1" applyProtection="1"/>
    <xf numFmtId="0" fontId="10" fillId="0" borderId="0" xfId="0" applyFont="1" applyProtection="1"/>
    <xf numFmtId="0" fontId="0" fillId="0" borderId="0" xfId="0" applyProtection="1"/>
    <xf numFmtId="0" fontId="0" fillId="0" borderId="18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0" xfId="0" applyBorder="1" applyProtection="1"/>
    <xf numFmtId="0" fontId="0" fillId="0" borderId="17" xfId="0" applyBorder="1" applyProtection="1"/>
    <xf numFmtId="0" fontId="0" fillId="0" borderId="9" xfId="0" applyBorder="1" applyProtection="1"/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169" fontId="12" fillId="2" borderId="15" xfId="0" applyNumberFormat="1" applyFont="1" applyFill="1" applyBorder="1"/>
    <xf numFmtId="169" fontId="12" fillId="2" borderId="15" xfId="0" applyNumberFormat="1" applyFont="1" applyFill="1" applyBorder="1" applyAlignment="1">
      <alignment horizontal="center"/>
    </xf>
    <xf numFmtId="169" fontId="0" fillId="0" borderId="0" xfId="0" applyNumberFormat="1"/>
    <xf numFmtId="169" fontId="10" fillId="0" borderId="18" xfId="0" applyNumberFormat="1" applyFont="1" applyBorder="1" applyAlignment="1" applyProtection="1">
      <alignment horizontal="centerContinuous"/>
    </xf>
    <xf numFmtId="167" fontId="0" fillId="0" borderId="12" xfId="0" applyNumberFormat="1" applyBorder="1" applyProtection="1">
      <protection locked="0"/>
    </xf>
    <xf numFmtId="167" fontId="0" fillId="0" borderId="14" xfId="0" applyNumberForma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3" xfId="0" applyFont="1" applyBorder="1" applyProtection="1">
      <protection locked="0"/>
    </xf>
    <xf numFmtId="169" fontId="13" fillId="0" borderId="3" xfId="0" applyNumberFormat="1" applyFont="1" applyBorder="1" applyProtection="1">
      <protection locked="0"/>
    </xf>
    <xf numFmtId="0" fontId="8" fillId="0" borderId="18" xfId="0" applyFont="1" applyBorder="1" applyProtection="1"/>
    <xf numFmtId="169" fontId="14" fillId="0" borderId="18" xfId="0" applyNumberFormat="1" applyFont="1" applyBorder="1" applyAlignment="1" applyProtection="1">
      <alignment horizontal="centerContinuous"/>
    </xf>
    <xf numFmtId="0" fontId="14" fillId="0" borderId="18" xfId="0" applyFont="1" applyBorder="1" applyProtection="1"/>
    <xf numFmtId="167" fontId="15" fillId="0" borderId="16" xfId="0" applyNumberFormat="1" applyFont="1" applyBorder="1" applyAlignment="1">
      <alignment horizontal="center" wrapText="1"/>
    </xf>
    <xf numFmtId="166" fontId="15" fillId="0" borderId="16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167" fontId="15" fillId="0" borderId="8" xfId="0" applyNumberFormat="1" applyFont="1" applyBorder="1"/>
    <xf numFmtId="165" fontId="15" fillId="0" borderId="8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wrapText="1"/>
    </xf>
    <xf numFmtId="0" fontId="0" fillId="0" borderId="3" xfId="0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0" xfId="0" applyFont="1"/>
    <xf numFmtId="0" fontId="12" fillId="2" borderId="15" xfId="0" applyFont="1" applyFill="1" applyBorder="1"/>
    <xf numFmtId="0" fontId="12" fillId="2" borderId="15" xfId="0" applyFont="1" applyFill="1" applyBorder="1" applyAlignment="1">
      <alignment wrapText="1"/>
    </xf>
    <xf numFmtId="0" fontId="12" fillId="2" borderId="15" xfId="0" applyFont="1" applyFill="1" applyBorder="1" applyAlignment="1">
      <alignment horizontal="center"/>
    </xf>
    <xf numFmtId="0" fontId="13" fillId="3" borderId="3" xfId="0" applyFont="1" applyFill="1" applyBorder="1"/>
    <xf numFmtId="169" fontId="13" fillId="3" borderId="3" xfId="0" applyNumberFormat="1" applyFont="1" applyFill="1" applyBorder="1" applyProtection="1">
      <protection locked="0"/>
    </xf>
    <xf numFmtId="0" fontId="13" fillId="3" borderId="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69" fontId="13" fillId="0" borderId="3" xfId="0" applyNumberFormat="1" applyFont="1" applyFill="1" applyBorder="1" applyProtection="1"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 applyProtection="1"/>
    <xf numFmtId="167" fontId="0" fillId="0" borderId="12" xfId="0" applyNumberFormat="1" applyBorder="1" applyProtection="1">
      <protection locked="0"/>
    </xf>
    <xf numFmtId="0" fontId="0" fillId="0" borderId="0" xfId="0" applyBorder="1" applyAlignment="1">
      <alignment horizontal="right"/>
    </xf>
    <xf numFmtId="0" fontId="0" fillId="0" borderId="3" xfId="0" applyFont="1" applyBorder="1" applyProtection="1">
      <protection locked="0"/>
    </xf>
    <xf numFmtId="0" fontId="19" fillId="0" borderId="3" xfId="99" applyBorder="1" applyProtection="1">
      <protection locked="0"/>
    </xf>
    <xf numFmtId="0" fontId="0" fillId="0" borderId="3" xfId="0" applyFont="1" applyBorder="1" applyAlignment="1" applyProtection="1">
      <alignment horizontal="center"/>
      <protection locked="0"/>
    </xf>
    <xf numFmtId="49" fontId="21" fillId="0" borderId="4" xfId="0" applyNumberFormat="1" applyFont="1" applyBorder="1" applyAlignment="1" applyProtection="1">
      <alignment horizontal="center"/>
      <protection locked="0"/>
    </xf>
    <xf numFmtId="49" fontId="13" fillId="0" borderId="13" xfId="0" applyNumberFormat="1" applyFont="1" applyBorder="1" applyAlignment="1" applyProtection="1">
      <alignment horizontal="center"/>
      <protection locked="0"/>
    </xf>
    <xf numFmtId="0" fontId="24" fillId="0" borderId="16" xfId="0" applyFont="1" applyBorder="1" applyAlignment="1">
      <alignment horizontal="center" vertical="center" wrapText="1"/>
    </xf>
    <xf numFmtId="0" fontId="13" fillId="0" borderId="13" xfId="0" applyFont="1" applyBorder="1" applyProtection="1">
      <protection locked="0"/>
    </xf>
    <xf numFmtId="49" fontId="13" fillId="0" borderId="4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justify"/>
    </xf>
    <xf numFmtId="167" fontId="12" fillId="3" borderId="25" xfId="162" applyNumberFormat="1" applyFont="1" applyFill="1" applyBorder="1" applyAlignment="1">
      <alignment horizontal="center" wrapText="1"/>
    </xf>
    <xf numFmtId="167" fontId="12" fillId="3" borderId="25" xfId="162" applyNumberFormat="1" applyFont="1" applyFill="1" applyBorder="1" applyAlignment="1">
      <alignment horizontal="center" textRotation="90" wrapText="1"/>
    </xf>
    <xf numFmtId="167" fontId="12" fillId="3" borderId="31" xfId="162" applyNumberFormat="1" applyFont="1" applyFill="1" applyBorder="1"/>
    <xf numFmtId="167" fontId="25" fillId="0" borderId="30" xfId="162" applyNumberFormat="1" applyBorder="1"/>
    <xf numFmtId="167" fontId="25" fillId="0" borderId="25" xfId="162" applyNumberFormat="1" applyBorder="1"/>
    <xf numFmtId="49" fontId="0" fillId="0" borderId="4" xfId="0" applyNumberFormat="1" applyFont="1" applyBorder="1" applyAlignment="1" applyProtection="1">
      <alignment horizontal="right"/>
      <protection locked="0"/>
    </xf>
    <xf numFmtId="0" fontId="0" fillId="2" borderId="36" xfId="0" applyFill="1" applyBorder="1" applyAlignment="1">
      <alignment horizontal="right"/>
    </xf>
    <xf numFmtId="15" fontId="0" fillId="0" borderId="29" xfId="0" applyNumberFormat="1" applyBorder="1" applyProtection="1">
      <protection locked="0"/>
    </xf>
    <xf numFmtId="0" fontId="0" fillId="0" borderId="0" xfId="0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7" fontId="24" fillId="0" borderId="16" xfId="0" applyNumberFormat="1" applyFont="1" applyBorder="1" applyAlignment="1">
      <alignment horizontal="center" vertical="center"/>
    </xf>
    <xf numFmtId="18" fontId="24" fillId="0" borderId="1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/>
    </xf>
    <xf numFmtId="0" fontId="10" fillId="0" borderId="0" xfId="0" applyFont="1" applyAlignment="1">
      <alignment horizontal="left" vertical="center" wrapText="1"/>
    </xf>
    <xf numFmtId="0" fontId="7" fillId="0" borderId="0" xfId="0" applyNumberFormat="1" applyFont="1" applyBorder="1" applyAlignment="1" applyProtection="1">
      <alignment horizontal="left" vertical="center"/>
    </xf>
    <xf numFmtId="169" fontId="7" fillId="0" borderId="0" xfId="0" applyNumberFormat="1" applyFont="1" applyBorder="1" applyAlignment="1" applyProtection="1">
      <alignment horizontal="left" vertical="center"/>
    </xf>
    <xf numFmtId="0" fontId="16" fillId="0" borderId="16" xfId="0" applyFont="1" applyBorder="1" applyAlignment="1">
      <alignment horizontal="center" vertical="top" wrapText="1"/>
    </xf>
    <xf numFmtId="0" fontId="0" fillId="0" borderId="0" xfId="0" applyBorder="1"/>
    <xf numFmtId="0" fontId="10" fillId="0" borderId="0" xfId="0" applyFont="1" applyBorder="1" applyAlignment="1" applyProtection="1">
      <alignment horizontal="right"/>
    </xf>
    <xf numFmtId="0" fontId="29" fillId="0" borderId="18" xfId="0" applyFont="1" applyBorder="1" applyProtection="1"/>
    <xf numFmtId="0" fontId="10" fillId="0" borderId="6" xfId="0" applyFont="1" applyBorder="1" applyProtection="1"/>
    <xf numFmtId="0" fontId="0" fillId="4" borderId="0" xfId="0" applyFill="1"/>
    <xf numFmtId="0" fontId="7" fillId="0" borderId="0" xfId="0" applyFont="1" applyAlignment="1">
      <alignment vertical="center" wrapText="1"/>
    </xf>
    <xf numFmtId="0" fontId="10" fillId="0" borderId="0" xfId="0" applyFont="1" applyBorder="1" applyProtection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horizontal="right" vertical="center"/>
    </xf>
    <xf numFmtId="0" fontId="5" fillId="0" borderId="0" xfId="0" applyFont="1" applyBorder="1" applyAlignment="1" applyProtection="1">
      <alignment wrapText="1"/>
    </xf>
    <xf numFmtId="0" fontId="31" fillId="0" borderId="0" xfId="0" applyFont="1" applyAlignment="1">
      <alignment horizontal="center" vertical="top"/>
    </xf>
    <xf numFmtId="0" fontId="31" fillId="0" borderId="0" xfId="0" applyFont="1"/>
    <xf numFmtId="0" fontId="10" fillId="0" borderId="23" xfId="0" applyFont="1" applyBorder="1"/>
    <xf numFmtId="167" fontId="14" fillId="0" borderId="0" xfId="0" applyNumberFormat="1" applyFont="1" applyAlignment="1">
      <alignment vertical="top"/>
    </xf>
    <xf numFmtId="168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 applyProtection="1">
      <alignment horizontal="left"/>
    </xf>
    <xf numFmtId="0" fontId="5" fillId="0" borderId="20" xfId="0" applyFont="1" applyBorder="1" applyAlignment="1">
      <alignment vertical="top"/>
    </xf>
    <xf numFmtId="0" fontId="0" fillId="0" borderId="13" xfId="0" applyFont="1" applyBorder="1" applyProtection="1">
      <protection locked="0"/>
    </xf>
    <xf numFmtId="49" fontId="0" fillId="0" borderId="13" xfId="0" applyNumberFormat="1" applyFont="1" applyBorder="1" applyAlignment="1" applyProtection="1">
      <alignment horizontal="center"/>
      <protection locked="0"/>
    </xf>
    <xf numFmtId="49" fontId="0" fillId="0" borderId="4" xfId="0" applyNumberFormat="1" applyFont="1" applyBorder="1" applyAlignment="1" applyProtection="1">
      <alignment horizontal="center"/>
      <protection locked="0"/>
    </xf>
    <xf numFmtId="167" fontId="0" fillId="0" borderId="37" xfId="0" applyNumberFormat="1" applyBorder="1" applyProtection="1">
      <protection locked="0"/>
    </xf>
    <xf numFmtId="0" fontId="0" fillId="0" borderId="35" xfId="0" applyBorder="1" applyProtection="1">
      <protection locked="0"/>
    </xf>
    <xf numFmtId="49" fontId="0" fillId="0" borderId="35" xfId="0" applyNumberFormat="1" applyBorder="1" applyAlignment="1" applyProtection="1">
      <alignment horizontal="center"/>
      <protection locked="0"/>
    </xf>
    <xf numFmtId="49" fontId="13" fillId="0" borderId="29" xfId="0" applyNumberFormat="1" applyFont="1" applyBorder="1" applyAlignment="1" applyProtection="1">
      <alignment horizontal="center"/>
      <protection locked="0"/>
    </xf>
    <xf numFmtId="0" fontId="0" fillId="0" borderId="38" xfId="0" applyFont="1" applyBorder="1" applyProtection="1">
      <protection locked="0"/>
    </xf>
    <xf numFmtId="49" fontId="0" fillId="0" borderId="35" xfId="0" applyNumberFormat="1" applyFont="1" applyBorder="1" applyAlignment="1" applyProtection="1">
      <alignment horizontal="center"/>
      <protection locked="0"/>
    </xf>
    <xf numFmtId="49" fontId="0" fillId="0" borderId="29" xfId="0" applyNumberFormat="1" applyFont="1" applyBorder="1" applyAlignment="1" applyProtection="1">
      <alignment horizontal="center"/>
      <protection locked="0"/>
    </xf>
    <xf numFmtId="167" fontId="3" fillId="5" borderId="32" xfId="162" applyNumberFormat="1" applyFont="1" applyFill="1" applyBorder="1" applyAlignment="1">
      <alignment wrapText="1"/>
    </xf>
    <xf numFmtId="167" fontId="0" fillId="5" borderId="25" xfId="162" applyNumberFormat="1" applyFont="1" applyFill="1" applyBorder="1"/>
    <xf numFmtId="167" fontId="3" fillId="5" borderId="25" xfId="162" applyNumberFormat="1" applyFont="1" applyFill="1" applyBorder="1"/>
    <xf numFmtId="167" fontId="12" fillId="5" borderId="12" xfId="162" applyNumberFormat="1" applyFont="1" applyFill="1" applyBorder="1" applyAlignment="1">
      <alignment vertical="center"/>
    </xf>
    <xf numFmtId="167" fontId="3" fillId="5" borderId="32" xfId="164" applyNumberFormat="1" applyFont="1" applyFill="1" applyBorder="1"/>
    <xf numFmtId="167" fontId="3" fillId="5" borderId="32" xfId="164" applyNumberFormat="1" applyFill="1" applyBorder="1"/>
    <xf numFmtId="167" fontId="3" fillId="5" borderId="32" xfId="162" applyNumberFormat="1" applyFont="1" applyFill="1" applyBorder="1"/>
    <xf numFmtId="167" fontId="3" fillId="5" borderId="12" xfId="164" applyNumberFormat="1" applyFill="1" applyBorder="1"/>
    <xf numFmtId="167" fontId="3" fillId="5" borderId="33" xfId="162" applyNumberFormat="1" applyFont="1" applyFill="1" applyBorder="1" applyAlignment="1">
      <alignment wrapText="1"/>
    </xf>
    <xf numFmtId="167" fontId="12" fillId="5" borderId="31" xfId="162" applyNumberFormat="1" applyFont="1" applyFill="1" applyBorder="1"/>
    <xf numFmtId="167" fontId="3" fillId="5" borderId="31" xfId="162" applyNumberFormat="1" applyFont="1" applyFill="1" applyBorder="1" applyAlignment="1">
      <alignment wrapText="1"/>
    </xf>
    <xf numFmtId="167" fontId="12" fillId="3" borderId="12" xfId="153" applyNumberFormat="1" applyFont="1" applyFill="1" applyBorder="1" applyAlignment="1">
      <alignment vertical="center"/>
    </xf>
    <xf numFmtId="167" fontId="12" fillId="3" borderId="31" xfId="162" applyNumberFormat="1" applyFont="1" applyFill="1" applyBorder="1" applyAlignment="1">
      <alignment horizontal="center" wrapText="1"/>
    </xf>
    <xf numFmtId="167" fontId="13" fillId="5" borderId="31" xfId="162" applyNumberFormat="1" applyFont="1" applyFill="1" applyBorder="1"/>
    <xf numFmtId="167" fontId="1" fillId="5" borderId="25" xfId="153" applyNumberFormat="1" applyFont="1" applyFill="1" applyBorder="1" applyAlignment="1">
      <alignment wrapText="1"/>
    </xf>
    <xf numFmtId="167" fontId="0" fillId="5" borderId="25" xfId="153" applyNumberFormat="1" applyFont="1" applyFill="1" applyBorder="1"/>
    <xf numFmtId="167" fontId="32" fillId="5" borderId="25" xfId="0" applyNumberFormat="1" applyFont="1" applyFill="1" applyBorder="1"/>
    <xf numFmtId="167" fontId="32" fillId="6" borderId="25" xfId="0" applyNumberFormat="1" applyFont="1" applyFill="1" applyBorder="1"/>
    <xf numFmtId="167" fontId="12" fillId="3" borderId="25" xfId="162" applyNumberFormat="1" applyFont="1" applyFill="1" applyBorder="1" applyAlignment="1">
      <alignment horizontal="center" vertical="top" wrapText="1"/>
    </xf>
    <xf numFmtId="167" fontId="12" fillId="3" borderId="30" xfId="153" applyNumberFormat="1" applyFont="1" applyFill="1" applyBorder="1"/>
    <xf numFmtId="167" fontId="12" fillId="3" borderId="30" xfId="153" applyNumberFormat="1" applyFont="1" applyFill="1" applyBorder="1" applyAlignment="1">
      <alignment horizontal="center" vertical="center" wrapText="1"/>
    </xf>
    <xf numFmtId="167" fontId="2" fillId="5" borderId="25" xfId="162" applyNumberFormat="1" applyFont="1" applyFill="1" applyBorder="1"/>
    <xf numFmtId="167" fontId="12" fillId="5" borderId="30" xfId="162" applyNumberFormat="1" applyFont="1" applyFill="1" applyBorder="1"/>
    <xf numFmtId="167" fontId="12" fillId="5" borderId="30" xfId="162" applyNumberFormat="1" applyFont="1" applyFill="1" applyBorder="1" applyAlignment="1">
      <alignment horizontal="center" vertical="center" wrapText="1"/>
    </xf>
    <xf numFmtId="167" fontId="3" fillId="5" borderId="25" xfId="164" applyNumberFormat="1" applyFont="1" applyFill="1" applyBorder="1"/>
    <xf numFmtId="167" fontId="3" fillId="5" borderId="25" xfId="164" applyNumberFormat="1" applyFill="1" applyBorder="1"/>
    <xf numFmtId="167" fontId="0" fillId="5" borderId="25" xfId="164" applyNumberFormat="1" applyFont="1" applyFill="1" applyBorder="1"/>
    <xf numFmtId="167" fontId="13" fillId="0" borderId="0" xfId="163" applyNumberFormat="1"/>
    <xf numFmtId="167" fontId="3" fillId="5" borderId="25" xfId="162" applyNumberFormat="1" applyFont="1" applyFill="1" applyBorder="1" applyAlignment="1">
      <alignment wrapText="1"/>
    </xf>
    <xf numFmtId="167" fontId="26" fillId="0" borderId="25" xfId="162" applyNumberFormat="1" applyFont="1" applyFill="1" applyBorder="1"/>
    <xf numFmtId="167" fontId="1" fillId="5" borderId="25" xfId="164" applyNumberFormat="1" applyFont="1" applyFill="1" applyBorder="1"/>
    <xf numFmtId="167" fontId="3" fillId="5" borderId="30" xfId="164" applyNumberFormat="1" applyFont="1" applyFill="1" applyBorder="1"/>
    <xf numFmtId="167" fontId="1" fillId="5" borderId="30" xfId="164" applyNumberFormat="1" applyFont="1" applyFill="1" applyBorder="1"/>
    <xf numFmtId="0" fontId="13" fillId="0" borderId="5" xfId="0" applyFont="1" applyBorder="1" applyAlignment="1" applyProtection="1">
      <alignment horizontal="centerContinuous"/>
      <protection locked="0"/>
    </xf>
    <xf numFmtId="0" fontId="5" fillId="0" borderId="0" xfId="0" applyFont="1" applyBorder="1" applyAlignment="1" applyProtection="1">
      <alignment horizontal="center" vertical="top" wrapText="1"/>
    </xf>
    <xf numFmtId="0" fontId="5" fillId="0" borderId="20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168" fontId="10" fillId="0" borderId="18" xfId="0" applyNumberFormat="1" applyFont="1" applyBorder="1" applyAlignment="1">
      <alignment horizontal="center"/>
    </xf>
    <xf numFmtId="0" fontId="0" fillId="0" borderId="18" xfId="0" applyBorder="1" applyAlignment="1" applyProtection="1">
      <alignment horizontal="left"/>
    </xf>
    <xf numFmtId="0" fontId="10" fillId="0" borderId="0" xfId="0" applyFont="1" applyAlignment="1">
      <alignment horizontal="center"/>
    </xf>
    <xf numFmtId="168" fontId="10" fillId="0" borderId="0" xfId="0" applyNumberFormat="1" applyFont="1" applyBorder="1" applyAlignment="1">
      <alignment horizontal="center"/>
    </xf>
    <xf numFmtId="0" fontId="5" fillId="0" borderId="0" xfId="0" applyFont="1" applyBorder="1" applyAlignment="1" applyProtection="1">
      <alignment horizontal="center" wrapText="1"/>
    </xf>
    <xf numFmtId="0" fontId="6" fillId="0" borderId="0" xfId="0" applyFont="1" applyAlignment="1">
      <alignment horizontal="center" vertical="top"/>
    </xf>
    <xf numFmtId="0" fontId="10" fillId="0" borderId="18" xfId="0" applyFont="1" applyBorder="1" applyAlignment="1" applyProtection="1">
      <alignment horizontal="left"/>
    </xf>
    <xf numFmtId="0" fontId="18" fillId="0" borderId="0" xfId="0" applyFont="1" applyAlignment="1">
      <alignment horizontal="center"/>
    </xf>
    <xf numFmtId="0" fontId="7" fillId="0" borderId="18" xfId="0" applyFont="1" applyFill="1" applyBorder="1" applyAlignment="1">
      <alignment horizontal="center" wrapText="1"/>
    </xf>
    <xf numFmtId="169" fontId="7" fillId="0" borderId="18" xfId="0" applyNumberFormat="1" applyFont="1" applyFill="1" applyBorder="1" applyAlignment="1">
      <alignment horizontal="left" wrapText="1"/>
    </xf>
    <xf numFmtId="0" fontId="10" fillId="0" borderId="18" xfId="0" applyFont="1" applyBorder="1" applyAlignment="1">
      <alignment horizontal="left"/>
    </xf>
    <xf numFmtId="0" fontId="6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center"/>
    </xf>
    <xf numFmtId="0" fontId="7" fillId="0" borderId="0" xfId="0" applyFont="1" applyAlignment="1" applyProtection="1">
      <alignment horizontal="right" vertical="center"/>
    </xf>
    <xf numFmtId="168" fontId="7" fillId="0" borderId="0" xfId="0" applyNumberFormat="1" applyFont="1" applyBorder="1" applyAlignment="1">
      <alignment horizontal="left" vertical="center"/>
    </xf>
    <xf numFmtId="167" fontId="14" fillId="0" borderId="20" xfId="0" applyNumberFormat="1" applyFont="1" applyBorder="1" applyAlignment="1">
      <alignment horizontal="center" vertical="center"/>
    </xf>
    <xf numFmtId="0" fontId="10" fillId="4" borderId="0" xfId="0" applyFont="1" applyFill="1" applyAlignment="1">
      <alignment horizontal="center" wrapText="1"/>
    </xf>
    <xf numFmtId="169" fontId="7" fillId="4" borderId="18" xfId="0" applyNumberFormat="1" applyFont="1" applyFill="1" applyBorder="1" applyAlignment="1" applyProtection="1">
      <alignment horizontal="left"/>
    </xf>
    <xf numFmtId="0" fontId="10" fillId="0" borderId="0" xfId="0" applyFont="1" applyBorder="1" applyAlignment="1">
      <alignment horizontal="center"/>
    </xf>
    <xf numFmtId="169" fontId="14" fillId="4" borderId="18" xfId="0" applyNumberFormat="1" applyFont="1" applyFill="1" applyBorder="1" applyAlignment="1" applyProtection="1">
      <alignment horizontal="left"/>
    </xf>
    <xf numFmtId="168" fontId="10" fillId="0" borderId="6" xfId="0" applyNumberFormat="1" applyFont="1" applyBorder="1" applyAlignment="1">
      <alignment horizontal="center"/>
    </xf>
    <xf numFmtId="18" fontId="30" fillId="0" borderId="6" xfId="0" applyNumberFormat="1" applyFont="1" applyBorder="1" applyAlignment="1">
      <alignment horizontal="center" wrapText="1"/>
    </xf>
    <xf numFmtId="168" fontId="10" fillId="0" borderId="20" xfId="0" applyNumberFormat="1" applyFont="1" applyBorder="1" applyAlignment="1">
      <alignment horizontal="center" vertical="center"/>
    </xf>
    <xf numFmtId="18" fontId="30" fillId="0" borderId="0" xfId="0" applyNumberFormat="1" applyFont="1" applyBorder="1" applyAlignment="1">
      <alignment horizontal="center" wrapText="1"/>
    </xf>
    <xf numFmtId="167" fontId="27" fillId="0" borderId="34" xfId="162" applyNumberFormat="1" applyFont="1" applyBorder="1" applyAlignment="1">
      <alignment horizontal="center"/>
    </xf>
    <xf numFmtId="167" fontId="27" fillId="0" borderId="24" xfId="162" applyNumberFormat="1" applyFont="1" applyBorder="1" applyAlignment="1">
      <alignment horizontal="center"/>
    </xf>
    <xf numFmtId="167" fontId="27" fillId="0" borderId="26" xfId="162" applyNumberFormat="1" applyFont="1" applyBorder="1" applyAlignment="1">
      <alignment horizontal="center"/>
    </xf>
    <xf numFmtId="167" fontId="3" fillId="0" borderId="27" xfId="164" applyNumberFormat="1" applyBorder="1" applyAlignment="1">
      <alignment horizontal="center"/>
    </xf>
    <xf numFmtId="167" fontId="3" fillId="0" borderId="28" xfId="164" applyNumberFormat="1" applyBorder="1" applyAlignment="1">
      <alignment horizontal="center"/>
    </xf>
    <xf numFmtId="167" fontId="3" fillId="0" borderId="35" xfId="164" applyNumberFormat="1" applyBorder="1" applyAlignment="1">
      <alignment horizontal="center"/>
    </xf>
    <xf numFmtId="167" fontId="3" fillId="0" borderId="34" xfId="164" applyNumberFormat="1" applyBorder="1" applyAlignment="1">
      <alignment horizontal="center"/>
    </xf>
    <xf numFmtId="167" fontId="3" fillId="0" borderId="24" xfId="164" applyNumberFormat="1" applyBorder="1" applyAlignment="1">
      <alignment horizontal="center"/>
    </xf>
    <xf numFmtId="167" fontId="3" fillId="0" borderId="26" xfId="164" applyNumberForma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</cellXfs>
  <cellStyles count="19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1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/>
    <cellStyle name="Normal" xfId="0" builtinId="0"/>
    <cellStyle name="Normal 2" xfId="153" xr:uid="{00000000-0005-0000-0000-0000BD000000}"/>
    <cellStyle name="Normal 2 2" xfId="162" xr:uid="{00000000-0005-0000-0000-0000BE000000}"/>
    <cellStyle name="Normal 3" xfId="160" xr:uid="{00000000-0005-0000-0000-0000BF000000}"/>
    <cellStyle name="Normal 3 2" xfId="165" xr:uid="{00000000-0005-0000-0000-0000C0000000}"/>
    <cellStyle name="Normal 3 2 2" xfId="166" xr:uid="{00000000-0005-0000-0000-0000C1000000}"/>
    <cellStyle name="Normal 3 2 3" xfId="164" xr:uid="{00000000-0005-0000-0000-0000C2000000}"/>
    <cellStyle name="Normal 4" xfId="163" xr:uid="{00000000-0005-0000-0000-0000C3000000}"/>
    <cellStyle name="Normal 5" xfId="167" xr:uid="{00000000-0005-0000-0000-0000C4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1308100</xdr:colOff>
      <xdr:row>1</xdr:row>
      <xdr:rowOff>406400</xdr:rowOff>
    </xdr:from>
    <xdr:to>
      <xdr:col>12</xdr:col>
      <xdr:colOff>773</xdr:colOff>
      <xdr:row>5</xdr:row>
      <xdr:rowOff>172043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9300" y="647700"/>
          <a:ext cx="2009913" cy="1556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1308100</xdr:colOff>
      <xdr:row>1</xdr:row>
      <xdr:rowOff>406400</xdr:rowOff>
    </xdr:from>
    <xdr:to>
      <xdr:col>11</xdr:col>
      <xdr:colOff>587513</xdr:colOff>
      <xdr:row>5</xdr:row>
      <xdr:rowOff>172043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2700" y="647700"/>
          <a:ext cx="2009913" cy="1556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showGridLines="0" topLeftCell="D1" zoomScale="150" zoomScaleNormal="150" zoomScalePageLayoutView="150" workbookViewId="0">
      <selection activeCell="G15" sqref="G15"/>
    </sheetView>
  </sheetViews>
  <sheetFormatPr defaultColWidth="8.88671875" defaultRowHeight="13.2" x14ac:dyDescent="0.25"/>
  <cols>
    <col min="1" max="1" width="16.44140625" style="2" customWidth="1"/>
    <col min="2" max="2" width="9.6640625" bestFit="1" customWidth="1"/>
    <col min="3" max="3" width="0" style="5" hidden="1" customWidth="1"/>
    <col min="4" max="4" width="8.33203125" customWidth="1"/>
    <col min="5" max="5" width="28.6640625" customWidth="1"/>
    <col min="6" max="8" width="25.6640625" customWidth="1"/>
    <col min="9" max="12" width="17.88671875" hidden="1" customWidth="1"/>
  </cols>
  <sheetData>
    <row r="1" spans="1:12" x14ac:dyDescent="0.25">
      <c r="A1" s="23" t="s">
        <v>44</v>
      </c>
      <c r="B1" s="24">
        <v>65</v>
      </c>
      <c r="C1">
        <f>IF(Brevet_Length&gt;=1200,Brevet_Length,IF(Brevet_Length&gt;=1000,1000,IF(Brevet_Length&gt;=600,600,IF(Brevet_Length&gt;=400,400,IF(Brevet_Length&gt;=300,300,IF(Brevet_Length&gt;=200,200,100))))))</f>
        <v>100</v>
      </c>
    </row>
    <row r="2" spans="1:12" ht="13.8" thickBot="1" x14ac:dyDescent="0.3">
      <c r="A2" s="25" t="s">
        <v>45</v>
      </c>
      <c r="B2" s="26">
        <f>IF(brevet=1200,90,IF(brevet=1000,75,IF(brevet=600,40,IF(brevet=400,27,IF(brevet=300,20,IF(brevet=200,13.5,IF(brevet=100,7,0)))))))</f>
        <v>7</v>
      </c>
    </row>
    <row r="3" spans="1:12" ht="13.8" thickBot="1" x14ac:dyDescent="0.3">
      <c r="A3" s="25" t="s">
        <v>46</v>
      </c>
      <c r="B3" s="173" t="s">
        <v>210</v>
      </c>
      <c r="C3" s="29"/>
      <c r="D3" s="3"/>
      <c r="E3" s="3"/>
      <c r="F3" s="3" t="s">
        <v>201</v>
      </c>
      <c r="G3" s="3"/>
      <c r="H3" s="4"/>
    </row>
    <row r="4" spans="1:12" x14ac:dyDescent="0.25">
      <c r="A4" s="25" t="s">
        <v>47</v>
      </c>
      <c r="B4" s="100" t="s">
        <v>184</v>
      </c>
      <c r="C4" s="46"/>
      <c r="D4" s="47"/>
      <c r="E4" s="47"/>
      <c r="F4" s="47"/>
      <c r="G4" s="47"/>
      <c r="H4" s="47"/>
    </row>
    <row r="5" spans="1:12" x14ac:dyDescent="0.25">
      <c r="A5" s="25" t="s">
        <v>79</v>
      </c>
      <c r="B5" s="27">
        <v>44511</v>
      </c>
      <c r="C5" s="46"/>
      <c r="D5" s="47"/>
      <c r="E5" s="47"/>
      <c r="F5" s="47"/>
      <c r="G5" s="47"/>
      <c r="H5" s="47"/>
    </row>
    <row r="6" spans="1:12" ht="8.1" customHeight="1" x14ac:dyDescent="0.25">
      <c r="E6" s="47"/>
      <c r="F6" s="47" t="s">
        <v>202</v>
      </c>
      <c r="G6" s="47"/>
      <c r="H6" s="47"/>
    </row>
    <row r="7" spans="1:12" ht="13.8" thickBot="1" x14ac:dyDescent="0.3">
      <c r="A7" s="101" t="s">
        <v>48</v>
      </c>
      <c r="B7" s="102">
        <v>44511</v>
      </c>
      <c r="F7" t="s">
        <v>203</v>
      </c>
    </row>
    <row r="8" spans="1:12" ht="13.8" thickBot="1" x14ac:dyDescent="0.3">
      <c r="A8" s="21" t="s">
        <v>49</v>
      </c>
      <c r="B8" s="22">
        <v>0.5</v>
      </c>
    </row>
    <row r="9" spans="1:12" ht="13.8" thickBot="1" x14ac:dyDescent="0.3">
      <c r="D9" s="8" t="s">
        <v>50</v>
      </c>
      <c r="E9" s="9"/>
      <c r="F9" s="9"/>
      <c r="G9" s="9"/>
      <c r="H9" s="10"/>
    </row>
    <row r="10" spans="1:12" ht="8.25" hidden="1" customHeight="1" thickBot="1" x14ac:dyDescent="0.3">
      <c r="D10" s="11"/>
      <c r="E10" s="11"/>
      <c r="F10" s="11"/>
      <c r="G10" s="11"/>
      <c r="H10" s="11"/>
    </row>
    <row r="11" spans="1:12" ht="13.8" thickBot="1" x14ac:dyDescent="0.3">
      <c r="D11" s="12" t="s">
        <v>51</v>
      </c>
      <c r="E11" s="13" t="s">
        <v>52</v>
      </c>
      <c r="F11" s="13" t="s">
        <v>53</v>
      </c>
      <c r="G11" s="13" t="s">
        <v>54</v>
      </c>
      <c r="H11" s="14" t="s">
        <v>55</v>
      </c>
      <c r="I11" t="s">
        <v>56</v>
      </c>
      <c r="J11" t="s">
        <v>57</v>
      </c>
      <c r="K11" t="s">
        <v>58</v>
      </c>
      <c r="L11" t="s">
        <v>59</v>
      </c>
    </row>
    <row r="12" spans="1:12" x14ac:dyDescent="0.25">
      <c r="C12" s="5" t="s">
        <v>33</v>
      </c>
      <c r="D12" s="84">
        <v>0</v>
      </c>
      <c r="E12" s="130" t="s">
        <v>99</v>
      </c>
      <c r="F12" s="131"/>
      <c r="G12" s="131" t="s">
        <v>102</v>
      </c>
      <c r="H12" s="132" t="s">
        <v>100</v>
      </c>
      <c r="I12" s="6">
        <f>Start_date+Start_time</f>
        <v>44511.5</v>
      </c>
      <c r="J12" s="6">
        <f>I12+"1:00"</f>
        <v>44511.541666666664</v>
      </c>
      <c r="K12" s="7">
        <f>IF(ISBLANK(Distance),"",Open Control_1)</f>
        <v>44511.5</v>
      </c>
      <c r="L12" s="7">
        <f>IF(ISBLANK(Distance),"",Close Control_1)</f>
        <v>44511.541666666664</v>
      </c>
    </row>
    <row r="13" spans="1:12" x14ac:dyDescent="0.25">
      <c r="C13" s="5" t="s">
        <v>1</v>
      </c>
      <c r="D13" s="84">
        <v>2.2000000000000002</v>
      </c>
      <c r="E13" s="130" t="s">
        <v>99</v>
      </c>
      <c r="F13" s="131" t="s">
        <v>185</v>
      </c>
      <c r="G13" s="131" t="s">
        <v>187</v>
      </c>
      <c r="H13" s="132" t="s">
        <v>186</v>
      </c>
      <c r="I13">
        <f>IF(ISBLANK(Distance),"",IF(Distance&gt;1000,(Distance-1000)/26+33.0847,(IF(Distance&gt;600,(Distance-600)/28+18.799,(IF(Distance&gt;400,(Distance-400)/30+12.1324,(IF(Distance&gt;200,(Distance-200)/32+5.8824,Distance/34))))))))</f>
        <v>6.4705882352941183E-2</v>
      </c>
      <c r="J13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0.14666666666666667</v>
      </c>
      <c r="K13" s="7">
        <f>IF(ISBLANK(Distance),"",Open_time Control_1+(INT(Open)&amp;":"&amp;IF(ROUND(((Open-INT(Open))*60),0)&lt;10,0,"")&amp;ROUND(((Open-INT(Open))*60),0)))</f>
        <v>44511.50277777778</v>
      </c>
      <c r="L13" s="7">
        <f>IF(ISBLANK(Distance),"",Open_time Control_1+(INT(Close)&amp;":"&amp;IF(ROUND(((Close-INT(Close))*60),0)&lt;10,0,"")&amp;ROUND(((Close-INT(Close))*60),0)))</f>
        <v>44511.506249999999</v>
      </c>
    </row>
    <row r="14" spans="1:12" x14ac:dyDescent="0.25">
      <c r="C14" s="5" t="s">
        <v>2</v>
      </c>
      <c r="D14" s="84">
        <v>7.4</v>
      </c>
      <c r="E14" s="130" t="s">
        <v>74</v>
      </c>
      <c r="F14" s="131" t="s">
        <v>197</v>
      </c>
      <c r="G14" s="131" t="s">
        <v>198</v>
      </c>
      <c r="H14" s="132" t="s">
        <v>199</v>
      </c>
      <c r="I14">
        <f>IF(ISBLANK(Distance),"",IF(Distance&gt;1000,(Distance-1000)/26+33.0847,(IF(Distance&gt;600,(Distance-600)/28+18.799,(IF(Distance&gt;400,(Distance-400)/30+12.1324,(IF(Distance&gt;200,(Distance-200)/32+5.8824,Distance/34))))))))</f>
        <v>0.21764705882352942</v>
      </c>
      <c r="J14">
        <f t="shared" ref="J14:J29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0.49333333333333335</v>
      </c>
      <c r="K14" s="7">
        <f>IF(ISBLANK(Distance),"",Open_time Control_1+(INT(Open)&amp;":"&amp;IF(ROUND(((Open-INT(Open))*60),0)&lt;10,0,"")&amp;ROUND(((Open-INT(Open))*60),0)))</f>
        <v>44511.509027777778</v>
      </c>
      <c r="L14" s="7">
        <f>IF(ISBLANK(Distance),"",Open_time Control_1+(INT(Close)&amp;":"&amp;IF(ROUND(((Close-INT(Close))*60),0)&lt;10,0,"")&amp;ROUND(((Close-INT(Close))*60),0)))</f>
        <v>44511.520833333336</v>
      </c>
    </row>
    <row r="15" spans="1:12" x14ac:dyDescent="0.25">
      <c r="C15" s="5" t="s">
        <v>3</v>
      </c>
      <c r="D15" s="84">
        <v>20.5</v>
      </c>
      <c r="E15" s="130" t="s">
        <v>188</v>
      </c>
      <c r="F15" s="131" t="s">
        <v>211</v>
      </c>
      <c r="G15" s="131" t="s">
        <v>212</v>
      </c>
      <c r="H15" s="132" t="s">
        <v>189</v>
      </c>
      <c r="I15">
        <f t="shared" ref="I15:I30" si="1">IF(ISBLANK(Distance),"",IF(Distance&gt;1000,(Distance-1000)/26+33.0847,(IF(Distance&gt;600,(Distance-600)/28+18.799,(IF(Distance&gt;400,(Distance-400)/30+12.1324,(IF(Distance&gt;200,(Distance-200)/32+5.8824,Distance/34))))))))</f>
        <v>0.6029411764705882</v>
      </c>
      <c r="J15">
        <f t="shared" si="0"/>
        <v>1.3666666666666667</v>
      </c>
      <c r="K15" s="7">
        <f>IF(ISBLANK(Distance),"",Open_time Control_1+(INT(Open)&amp;":"&amp;IF(ROUND(((Open-INT(Open))*60),0)&lt;10,0,"")&amp;ROUND(((Open-INT(Open))*60),0)))</f>
        <v>44511.525000000001</v>
      </c>
      <c r="L15" s="7">
        <f>IF(ISBLANK(Distance),"",Open_time Control_1+(INT(Close)&amp;":"&amp;IF(ROUND(((Close-INT(Close))*60),0)&lt;10,0,"")&amp;ROUND(((Close-INT(Close))*60),0)))</f>
        <v>44511.556944444441</v>
      </c>
    </row>
    <row r="16" spans="1:12" x14ac:dyDescent="0.25">
      <c r="C16" s="5" t="s">
        <v>4</v>
      </c>
      <c r="D16" s="84">
        <v>34.5</v>
      </c>
      <c r="E16" s="130" t="s">
        <v>98</v>
      </c>
      <c r="F16" s="131" t="s">
        <v>205</v>
      </c>
      <c r="G16" s="131" t="s">
        <v>191</v>
      </c>
      <c r="H16" s="132" t="s">
        <v>190</v>
      </c>
      <c r="I16">
        <f t="shared" si="1"/>
        <v>1.0147058823529411</v>
      </c>
      <c r="J16">
        <f t="shared" si="0"/>
        <v>2.2999999999999998</v>
      </c>
      <c r="K16" s="7">
        <f>IF(ISBLANK(Distance),"",Open_time Control_1+(INT(Open)&amp;":"&amp;IF(ROUND(((Open-INT(Open))*60),0)&lt;10,0,"")&amp;ROUND(((Open-INT(Open))*60),0)))</f>
        <v>44511.542361111111</v>
      </c>
      <c r="L16" s="7">
        <f>IF(ISBLANK(Distance),"",Open_time Control_1+(INT(Close)&amp;":"&amp;IF(ROUND(((Close-INT(Close))*60),0)&lt;10,0,"")&amp;ROUND(((Close-INT(Close))*60),0)))</f>
        <v>44511.595833333333</v>
      </c>
    </row>
    <row r="17" spans="3:12" x14ac:dyDescent="0.25">
      <c r="C17" s="5" t="s">
        <v>5</v>
      </c>
      <c r="D17" s="84">
        <v>63.2</v>
      </c>
      <c r="E17" s="130" t="s">
        <v>99</v>
      </c>
      <c r="F17" s="131" t="s">
        <v>192</v>
      </c>
      <c r="G17" s="131" t="s">
        <v>194</v>
      </c>
      <c r="H17" s="132" t="s">
        <v>193</v>
      </c>
      <c r="I17">
        <f t="shared" si="1"/>
        <v>1.8588235294117648</v>
      </c>
      <c r="J17">
        <f t="shared" si="0"/>
        <v>4.2133333333333338</v>
      </c>
      <c r="K17" s="7">
        <f>IF(ISBLANK(Distance),"",Open_time Control_1+(INT(Open)&amp;":"&amp;IF(ROUND(((Open-INT(Open))*60),0)&lt;10,0,"")&amp;ROUND(((Open-INT(Open))*60),0)))</f>
        <v>44511.577777777777</v>
      </c>
      <c r="L17" s="7">
        <f>IF(ISBLANK(Distance),"",Open_time Control_1+(INT(Close)&amp;":"&amp;IF(ROUND(((Close-INT(Close))*60),0)&lt;10,0,"")&amp;ROUND(((Close-INT(Close))*60),0)))</f>
        <v>44511.675694444442</v>
      </c>
    </row>
    <row r="18" spans="3:12" x14ac:dyDescent="0.25">
      <c r="C18" s="5" t="s">
        <v>6</v>
      </c>
      <c r="D18" s="84">
        <v>64.599999999999994</v>
      </c>
      <c r="E18" s="130" t="s">
        <v>99</v>
      </c>
      <c r="F18" s="90" t="s">
        <v>195</v>
      </c>
      <c r="G18" s="131" t="s">
        <v>196</v>
      </c>
      <c r="H18" s="132"/>
      <c r="I18">
        <f t="shared" si="1"/>
        <v>1.9</v>
      </c>
      <c r="J18">
        <f t="shared" si="0"/>
        <v>4.3066666666666666</v>
      </c>
      <c r="K18" s="7">
        <f>IF(ISBLANK(Distance),"",Open_time Control_1+(INT(Open)&amp;":"&amp;IF(ROUND(((Open-INT(Open))*60),0)&lt;10,0,"")&amp;ROUND(((Open-INT(Open))*60),0)))</f>
        <v>44511.57916666667</v>
      </c>
      <c r="L18" s="7">
        <f>IF(ISBLANK(Distance),"",Open_time Control_1+(INT(Close)&amp;":"&amp;IF(ROUND(((Close-INT(Close))*60),0)&lt;10,0,"")&amp;ROUND(((Close-INT(Close))*60),0)))</f>
        <v>44511.679166666669</v>
      </c>
    </row>
    <row r="19" spans="3:12" x14ac:dyDescent="0.25">
      <c r="C19" s="5" t="s">
        <v>7</v>
      </c>
      <c r="D19" s="84"/>
      <c r="E19" s="130"/>
      <c r="F19" s="131"/>
      <c r="G19" s="131"/>
      <c r="H19" s="132"/>
      <c r="I19" t="str">
        <f t="shared" si="1"/>
        <v/>
      </c>
      <c r="J19" t="str">
        <f t="shared" si="0"/>
        <v/>
      </c>
      <c r="K19" s="7" t="str">
        <f>IF(ISBLANK(Distance),"",Open_time Control_1+(INT(Open)&amp;":"&amp;IF(ROUND(((Open-INT(Open))*60),0)&lt;10,0,"")&amp;ROUND(((Open-INT(Open))*60),0)))</f>
        <v/>
      </c>
      <c r="L19" s="7" t="str">
        <f>IF(ISBLANK(Distance),"",Open_time Control_1+(INT(Close)&amp;":"&amp;IF(ROUND(((Close-INT(Close))*60),0)&lt;10,0,"")&amp;ROUND(((Close-INT(Close))*60),0)))</f>
        <v/>
      </c>
    </row>
    <row r="20" spans="3:12" x14ac:dyDescent="0.25">
      <c r="C20" s="5" t="s">
        <v>8</v>
      </c>
      <c r="D20" s="84"/>
      <c r="E20" s="28"/>
      <c r="F20" s="90"/>
      <c r="G20" s="90"/>
      <c r="H20" s="93"/>
      <c r="I20" t="str">
        <f t="shared" si="1"/>
        <v/>
      </c>
      <c r="J20" t="str">
        <f t="shared" si="0"/>
        <v/>
      </c>
      <c r="K20" s="7" t="str">
        <f>IF(ISBLANK(Distance),"",Open_time Control_1+(INT(Open)&amp;":"&amp;IF(ROUND(((Open-INT(Open))*60),0)&lt;10,0,"")&amp;ROUND(((Open-INT(Open))*60),0)))</f>
        <v/>
      </c>
      <c r="L20" s="7" t="str">
        <f>IF(ISBLANK(Distance),"",Open_time Control_1+(INT(Close)&amp;":"&amp;IF(ROUND(((Close-INT(Close))*60),0)&lt;10,0,"")&amp;ROUND(((Close-INT(Close))*60),0)))</f>
        <v/>
      </c>
    </row>
    <row r="21" spans="3:12" ht="13.8" thickBot="1" x14ac:dyDescent="0.3">
      <c r="C21" s="5" t="s">
        <v>9</v>
      </c>
      <c r="D21" s="133"/>
      <c r="E21" s="134"/>
      <c r="F21" s="135"/>
      <c r="G21" s="135"/>
      <c r="H21" s="136"/>
      <c r="I21" t="str">
        <f t="shared" si="1"/>
        <v/>
      </c>
      <c r="J21" t="str">
        <f t="shared" si="0"/>
        <v/>
      </c>
      <c r="K21" s="7" t="str">
        <f>IF(ISBLANK(Distance),"",Open_time Control_1+(INT(Open)&amp;":"&amp;IF(ROUND(((Open-INT(Open))*60),0)&lt;10,0,"")&amp;ROUND(((Open-INT(Open))*60),0)))</f>
        <v/>
      </c>
      <c r="L21" s="7" t="str">
        <f>IF(ISBLANK(Distance),"",Open_time Control_1+(INT(Close)&amp;":"&amp;IF(ROUND(((Close-INT(Close))*60),0)&lt;10,0,"")&amp;ROUND(((Close-INT(Close))*60),0)))</f>
        <v/>
      </c>
    </row>
    <row r="22" spans="3:12" x14ac:dyDescent="0.25">
      <c r="C22" s="5" t="s">
        <v>10</v>
      </c>
      <c r="D22" s="84"/>
      <c r="E22" s="130"/>
      <c r="F22" s="131"/>
      <c r="G22" s="131"/>
      <c r="H22" s="132"/>
      <c r="I22" t="str">
        <f t="shared" si="1"/>
        <v/>
      </c>
      <c r="J22" t="str">
        <f t="shared" si="0"/>
        <v/>
      </c>
      <c r="K22" s="7" t="str">
        <f>IF(ISBLANK(Distance),"",Open_time Control_1+(INT(Open)&amp;":"&amp;IF(ROUND(((Open-INT(Open))*60),0)&lt;10,0,"")&amp;ROUND(((Open-INT(Open))*60),0)))</f>
        <v/>
      </c>
      <c r="L22" s="7" t="str">
        <f>IF(ISBLANK(Distance),"",Open_time Control_1+(INT(Close)&amp;":"&amp;IF(ROUND(((Close-INT(Close))*60),0)&lt;10,0,"")&amp;ROUND(((Close-INT(Close))*60),0)))</f>
        <v/>
      </c>
    </row>
    <row r="23" spans="3:12" x14ac:dyDescent="0.25">
      <c r="C23" s="5" t="s">
        <v>11</v>
      </c>
      <c r="D23" s="52"/>
      <c r="E23" s="130"/>
      <c r="F23" s="131"/>
      <c r="G23" s="131"/>
      <c r="H23" s="132"/>
      <c r="I23" t="str">
        <f t="shared" si="1"/>
        <v/>
      </c>
      <c r="J23" t="str">
        <f t="shared" si="0"/>
        <v/>
      </c>
      <c r="K23" s="7" t="str">
        <f>IF(ISBLANK(Distance),"",Open_time Control_1+(INT(Open)&amp;":"&amp;IF(ROUND(((Open-INT(Open))*60),0)&lt;10,0,"")&amp;ROUND(((Open-INT(Open))*60),0)))</f>
        <v/>
      </c>
      <c r="L23" s="7" t="str">
        <f>IF(ISBLANK(Distance),"",Open_time Control_1+(INT(Close)&amp;":"&amp;IF(ROUND(((Close-INT(Close))*60),0)&lt;10,0,"")&amp;ROUND(((Close-INT(Close))*60),0)))</f>
        <v/>
      </c>
    </row>
    <row r="24" spans="3:12" x14ac:dyDescent="0.25">
      <c r="C24" s="5" t="s">
        <v>30</v>
      </c>
      <c r="D24" s="52"/>
      <c r="E24" s="130"/>
      <c r="F24" s="131"/>
      <c r="G24" s="131"/>
      <c r="H24" s="132"/>
      <c r="I24" t="str">
        <f t="shared" si="1"/>
        <v/>
      </c>
      <c r="J24" t="str">
        <f t="shared" si="0"/>
        <v/>
      </c>
      <c r="K24" s="7" t="str">
        <f>IF(ISBLANK(Distance),"",Open_time Control_1+(INT(Open)&amp;":"&amp;IF(ROUND(((Open-INT(Open))*60),0)&lt;10,0,"")&amp;ROUND(((Open-INT(Open))*60),0)))</f>
        <v/>
      </c>
      <c r="L24" s="7" t="str">
        <f>IF(ISBLANK(Distance),"",Open_time Control_1+(INT(Close)&amp;":"&amp;IF(ROUND(((Close-INT(Close))*60),0)&lt;10,0,"")&amp;ROUND(((Close-INT(Close))*60),0)))</f>
        <v/>
      </c>
    </row>
    <row r="25" spans="3:12" x14ac:dyDescent="0.25">
      <c r="C25" s="5" t="s">
        <v>31</v>
      </c>
      <c r="D25" s="52"/>
      <c r="E25" s="130"/>
      <c r="F25" s="131"/>
      <c r="G25" s="131"/>
      <c r="H25" s="132"/>
      <c r="I25" t="str">
        <f t="shared" si="1"/>
        <v/>
      </c>
      <c r="J25" t="str">
        <f t="shared" si="0"/>
        <v/>
      </c>
      <c r="K25" s="7" t="str">
        <f>IF(ISBLANK(Distance),"",Open_time Control_1+(INT(Open)&amp;":"&amp;IF(ROUND(((Open-INT(Open))*60),0)&lt;10,0,"")&amp;ROUND(((Open-INT(Open))*60),0)))</f>
        <v/>
      </c>
      <c r="L25" s="7" t="str">
        <f>IF(ISBLANK(Distance),"",Open_time Control_1+(INT(Close)&amp;":"&amp;IF(ROUND(((Close-INT(Close))*60),0)&lt;10,0,"")&amp;ROUND(((Close-INT(Close))*60),0)))</f>
        <v/>
      </c>
    </row>
    <row r="26" spans="3:12" x14ac:dyDescent="0.25">
      <c r="C26" s="5" t="s">
        <v>32</v>
      </c>
      <c r="D26" s="52"/>
      <c r="E26" s="130"/>
      <c r="F26" s="131"/>
      <c r="G26" s="131"/>
      <c r="H26" s="132"/>
      <c r="I26" t="str">
        <f t="shared" si="1"/>
        <v/>
      </c>
      <c r="J26" t="str">
        <f t="shared" si="0"/>
        <v/>
      </c>
      <c r="K26" s="7" t="str">
        <f>IF(ISBLANK(Distance),"",Open_time Control_1+(INT(Open)&amp;":"&amp;IF(ROUND(((Open-INT(Open))*60),0)&lt;10,0,"")&amp;ROUND(((Open-INT(Open))*60),0)))</f>
        <v/>
      </c>
      <c r="L26" s="7" t="str">
        <f>IF(ISBLANK(Distance),"",Open_time Control_1+(INT(Close)&amp;":"&amp;IF(ROUND(((Close-INT(Close))*60),0)&lt;10,0,"")&amp;ROUND(((Close-INT(Close))*60),0)))</f>
        <v/>
      </c>
    </row>
    <row r="27" spans="3:12" x14ac:dyDescent="0.25">
      <c r="C27" s="5" t="s">
        <v>36</v>
      </c>
      <c r="D27" s="52"/>
      <c r="E27" s="92"/>
      <c r="F27" s="90"/>
      <c r="G27" s="90"/>
      <c r="H27" s="89"/>
      <c r="I27" t="str">
        <f t="shared" si="1"/>
        <v/>
      </c>
      <c r="J27" t="str">
        <f t="shared" si="0"/>
        <v/>
      </c>
      <c r="K27" s="7" t="str">
        <f>IF(ISBLANK(Distance),"",Open_time Control_1+(INT(Open)&amp;":"&amp;IF(ROUND(((Open-INT(Open))*60),0)&lt;10,0,"")&amp;ROUND(((Open-INT(Open))*60),0)))</f>
        <v/>
      </c>
      <c r="L27" s="7" t="str">
        <f>IF(ISBLANK(Distance),"",Open_time Control_1+(INT(Close)&amp;":"&amp;IF(ROUND(((Close-INT(Close))*60),0)&lt;10,0,"")&amp;ROUND(((Close-INT(Close))*60),0)))</f>
        <v/>
      </c>
    </row>
    <row r="28" spans="3:12" x14ac:dyDescent="0.25">
      <c r="C28" s="5" t="s">
        <v>37</v>
      </c>
      <c r="D28" s="52"/>
      <c r="E28" s="130"/>
      <c r="F28" s="131"/>
      <c r="G28" s="131"/>
      <c r="H28" s="132"/>
      <c r="I28" t="str">
        <f t="shared" si="1"/>
        <v/>
      </c>
      <c r="J28" t="str">
        <f t="shared" si="0"/>
        <v/>
      </c>
      <c r="K28" s="7" t="str">
        <f>IF(ISBLANK(Distance),"",Open_time Control_1+(INT(Open)&amp;":"&amp;IF(ROUND(((Open-INT(Open))*60),0)&lt;10,0,"")&amp;ROUND(((Open-INT(Open))*60),0)))</f>
        <v/>
      </c>
      <c r="L28" s="7" t="str">
        <f>IF(ISBLANK(Distance),"",Open_time Control_1+(INT(Close)&amp;":"&amp;IF(ROUND(((Close-INT(Close))*60),0)&lt;10,0,"")&amp;ROUND(((Close-INT(Close))*60),0)))</f>
        <v/>
      </c>
    </row>
    <row r="29" spans="3:12" x14ac:dyDescent="0.25">
      <c r="C29" s="5" t="s">
        <v>38</v>
      </c>
      <c r="D29" s="52"/>
      <c r="E29" s="130"/>
      <c r="F29" s="131"/>
      <c r="G29" s="131"/>
      <c r="H29" s="132"/>
      <c r="I29" t="str">
        <f t="shared" si="1"/>
        <v/>
      </c>
      <c r="J29" t="str">
        <f t="shared" si="0"/>
        <v/>
      </c>
      <c r="K29" s="7" t="str">
        <f>IF(ISBLANK(Distance),"",Open_time Control_1+(INT(Open)&amp;":"&amp;IF(ROUND(((Open-INT(Open))*60),0)&lt;10,0,"")&amp;ROUND(((Open-INT(Open))*60),0)))</f>
        <v/>
      </c>
      <c r="L29" s="7" t="str">
        <f>IF(ISBLANK(Distance),"",Open_time Control_1+(INT(Close)&amp;":"&amp;IF(ROUND(((Close-INT(Close))*60),0)&lt;10,0,"")&amp;ROUND(((Close-INT(Close))*60),0)))</f>
        <v/>
      </c>
    </row>
    <row r="30" spans="3:12" x14ac:dyDescent="0.25">
      <c r="C30" s="5" t="s">
        <v>39</v>
      </c>
      <c r="D30" s="52"/>
      <c r="E30" s="130"/>
      <c r="F30" s="131"/>
      <c r="G30" s="131"/>
      <c r="H30" s="132"/>
      <c r="I30" t="str">
        <f t="shared" si="1"/>
        <v/>
      </c>
      <c r="J30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30" s="7" t="str">
        <f>IF(ISBLANK(Distance),"",Open_time Control_1+(INT(Open)&amp;":"&amp;IF(ROUND(((Open-INT(Open))*60),0)&lt;10,0,"")&amp;ROUND(((Open-INT(Open))*60),0)))</f>
        <v/>
      </c>
      <c r="L30" s="7" t="str">
        <f>IF(ISBLANK(Distance),"",Open_time Control_1+(INT(Close)&amp;":"&amp;IF(ROUND(((Close-INT(Close))*60),0)&lt;10,0,"")&amp;ROUND(((Close-INT(Close))*60),0)))</f>
        <v/>
      </c>
    </row>
    <row r="31" spans="3:12" ht="13.8" thickBot="1" x14ac:dyDescent="0.3">
      <c r="C31" s="5" t="s">
        <v>12</v>
      </c>
      <c r="D31" s="53"/>
      <c r="E31" s="137"/>
      <c r="F31" s="138"/>
      <c r="G31" s="138"/>
      <c r="H31" s="139"/>
      <c r="I31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31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31" s="7" t="str">
        <f>IF(ISBLANK(Distance),"",Open_time Control_1+(INT(Open)&amp;":"&amp;IF(ROUND(((Open-INT(Open))*60),0)&lt;10,0,"")&amp;ROUND(((Open-INT(Open))*60),0)))</f>
        <v/>
      </c>
      <c r="L31" s="7" t="str">
        <f>IF(ISBLANK(Distance),"",Open_time Control_1+(INT(Close)&amp;":"&amp;IF(ROUND(((Close-INT(Close))*60),0)&lt;10,0,"")&amp;ROUND(((Close-INT(Close))*60),0)))</f>
        <v/>
      </c>
    </row>
  </sheetData>
  <phoneticPr fontId="17" type="noConversion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showGridLines="0" tabSelected="1" topLeftCell="E13" workbookViewId="0">
      <selection activeCell="F20" sqref="F20"/>
    </sheetView>
  </sheetViews>
  <sheetFormatPr defaultColWidth="8.88671875" defaultRowHeight="13.2" x14ac:dyDescent="0.25"/>
  <cols>
    <col min="1" max="1" width="8.44140625" style="1" customWidth="1"/>
    <col min="2" max="3" width="11.6640625" customWidth="1"/>
    <col min="4" max="4" width="18" customWidth="1"/>
    <col min="5" max="5" width="23.88671875" customWidth="1"/>
    <col min="6" max="6" width="42" customWidth="1"/>
    <col min="7" max="7" width="13.44140625" customWidth="1"/>
    <col min="8" max="8" width="9" style="85" customWidth="1"/>
    <col min="9" max="9" width="12" customWidth="1"/>
    <col min="13" max="13" width="8.88671875" customWidth="1"/>
    <col min="14" max="14" width="10.88671875" customWidth="1"/>
    <col min="15" max="15" width="8.88671875" customWidth="1"/>
    <col min="20" max="22" width="8.88671875" customWidth="1"/>
  </cols>
  <sheetData>
    <row r="1" spans="1:22" ht="21" thickBot="1" x14ac:dyDescent="0.3">
      <c r="A1" s="190" t="s">
        <v>80</v>
      </c>
      <c r="B1" s="190"/>
      <c r="C1" s="190"/>
      <c r="D1" s="190"/>
      <c r="E1" s="190"/>
      <c r="F1" s="190"/>
      <c r="G1" s="190"/>
      <c r="H1" s="103" t="s">
        <v>13</v>
      </c>
    </row>
    <row r="2" spans="1:22" ht="33.75" customHeight="1" thickBot="1" x14ac:dyDescent="0.35">
      <c r="A2" s="15" t="s">
        <v>14</v>
      </c>
      <c r="B2" s="16" t="s">
        <v>56</v>
      </c>
      <c r="C2" s="16" t="s">
        <v>57</v>
      </c>
      <c r="D2" s="16" t="s">
        <v>52</v>
      </c>
      <c r="E2" s="16" t="s">
        <v>15</v>
      </c>
      <c r="F2" s="16" t="s">
        <v>81</v>
      </c>
      <c r="G2" s="15" t="s">
        <v>16</v>
      </c>
      <c r="H2" s="103" t="s">
        <v>13</v>
      </c>
      <c r="K2" s="191" t="s">
        <v>0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</row>
    <row r="3" spans="1:22" ht="36" customHeight="1" x14ac:dyDescent="0.7">
      <c r="A3" s="60"/>
      <c r="B3" s="61">
        <f>Control_1 Open_time</f>
        <v>44511.5</v>
      </c>
      <c r="C3" s="61">
        <f>Control_1 Close_time</f>
        <v>44511.541666666664</v>
      </c>
      <c r="D3" s="62"/>
      <c r="E3" s="63" t="str">
        <f>IF(ISBLANK(Control_1 Establishment_1),"",Control_1 Establishment_1)</f>
        <v/>
      </c>
      <c r="F3" s="104" t="s">
        <v>201</v>
      </c>
      <c r="G3" s="17"/>
      <c r="H3" s="103" t="s">
        <v>13</v>
      </c>
      <c r="K3" s="30"/>
      <c r="N3" s="192" t="s">
        <v>207</v>
      </c>
      <c r="O3" s="192"/>
      <c r="P3" s="192"/>
      <c r="Q3" s="192"/>
      <c r="R3" s="192"/>
      <c r="S3" s="192"/>
      <c r="T3" s="105"/>
      <c r="U3" s="105"/>
    </row>
    <row r="4" spans="1:22" ht="36" customHeight="1" x14ac:dyDescent="0.3">
      <c r="A4" s="106">
        <f>IF(ISBLANK(Distance Control_1),"",Control_1 Distance)</f>
        <v>0</v>
      </c>
      <c r="B4" s="107">
        <f>Control_1 Open_time</f>
        <v>44511.5</v>
      </c>
      <c r="C4" s="107">
        <f>Control_1 Close_time</f>
        <v>44511.541666666664</v>
      </c>
      <c r="D4" s="91" t="str">
        <f>IF(ISBLANK(Locale Control_1),"",Locale Control_1)</f>
        <v>VICTORIA</v>
      </c>
      <c r="E4" s="63" t="str">
        <f>IF(ISBLANK(Control_1 Establishment_2),"",Control_1 Establishment_2)</f>
        <v xml:space="preserve">Plaque:  BC Indians </v>
      </c>
      <c r="F4" s="108" t="s">
        <v>200</v>
      </c>
      <c r="G4" s="17"/>
      <c r="H4" s="103" t="s">
        <v>13</v>
      </c>
      <c r="K4" s="30"/>
      <c r="M4" s="178" t="s">
        <v>208</v>
      </c>
      <c r="N4" s="178"/>
      <c r="O4" s="178"/>
      <c r="P4" s="178"/>
      <c r="Q4" s="178"/>
      <c r="R4" s="178"/>
      <c r="S4" s="178"/>
      <c r="T4" s="178"/>
      <c r="U4" s="109"/>
    </row>
    <row r="5" spans="1:22" ht="36" customHeight="1" thickBot="1" x14ac:dyDescent="0.4">
      <c r="A5" s="64"/>
      <c r="B5" s="65">
        <f>Control_1 Open_time</f>
        <v>44511.5</v>
      </c>
      <c r="C5" s="65">
        <f>Control_1 Close_time</f>
        <v>44511.541666666664</v>
      </c>
      <c r="D5" s="66"/>
      <c r="E5" s="67" t="str">
        <f>IF(ISBLANK(Control_1 Establishment_3),"",Control_1 Establishment_3)</f>
        <v>Circle Dr</v>
      </c>
      <c r="F5" s="20"/>
      <c r="G5" s="19"/>
      <c r="H5" s="103" t="s">
        <v>13</v>
      </c>
      <c r="K5" s="30"/>
      <c r="N5" s="193" t="s">
        <v>209</v>
      </c>
      <c r="O5" s="193"/>
      <c r="P5" s="110" t="str">
        <f>IF(ISBLANK(Brevet_Number),"",Brevet_Number)</f>
        <v>5131</v>
      </c>
      <c r="Q5" s="111"/>
      <c r="R5" s="194">
        <f>IF(ISBLANK('Control Entry'!$B5),"",'Control Entry'!$B5)</f>
        <v>44511</v>
      </c>
      <c r="S5" s="194"/>
      <c r="T5" s="194"/>
      <c r="U5" s="194"/>
      <c r="V5" s="94"/>
    </row>
    <row r="6" spans="1:22" ht="36" customHeight="1" x14ac:dyDescent="0.35">
      <c r="A6" s="60"/>
      <c r="B6" s="61">
        <f>Control_2 Open_time</f>
        <v>44511.50277777778</v>
      </c>
      <c r="C6" s="61">
        <f>Control_2 Close_time</f>
        <v>44511.506249999999</v>
      </c>
      <c r="D6" s="68"/>
      <c r="E6" s="63" t="str">
        <f>IF(ISBLANK(Control_2 Establishment_1),"",Control_2 Establishment_1)</f>
        <v>Homecoming Memorial</v>
      </c>
      <c r="F6" s="104" t="s">
        <v>202</v>
      </c>
      <c r="G6" s="17"/>
      <c r="H6" s="103" t="s">
        <v>13</v>
      </c>
      <c r="K6" s="30"/>
      <c r="M6" s="184" t="str">
        <f>IF(ISBLANK(Brevet_Description),"",Brevet_Description)</f>
        <v xml:space="preserve">Fallen Leaves Social </v>
      </c>
      <c r="N6" s="184"/>
      <c r="O6" s="184"/>
      <c r="P6" s="184"/>
      <c r="Q6" s="184"/>
      <c r="R6" s="184"/>
      <c r="S6" s="184"/>
      <c r="T6" s="184"/>
    </row>
    <row r="7" spans="1:22" ht="36" customHeight="1" thickBot="1" x14ac:dyDescent="0.4">
      <c r="A7" s="106">
        <f>IF(ISBLANK(Distance Control_2),"",Control_2 Distance)</f>
        <v>2.2000000000000002</v>
      </c>
      <c r="B7" s="107">
        <f>Control_2 Open_time</f>
        <v>44511.50277777778</v>
      </c>
      <c r="C7" s="107">
        <f>Control_2 Close_time</f>
        <v>44511.506249999999</v>
      </c>
      <c r="D7" s="91" t="str">
        <f>IF(ISBLANK(Locale Control_2),"",Locale Control_2)</f>
        <v>VICTORIA</v>
      </c>
      <c r="E7" s="112" t="str">
        <f>IF(ISBLANK(Control_2 Establishment_2),"",Control_2 Establishment_2)</f>
        <v>Statue of man, dog, girl</v>
      </c>
      <c r="F7" s="108" t="s">
        <v>203</v>
      </c>
      <c r="G7" s="17"/>
      <c r="H7" s="103" t="s">
        <v>13</v>
      </c>
      <c r="J7" s="31" t="s">
        <v>17</v>
      </c>
      <c r="L7" s="185"/>
      <c r="M7" s="185"/>
      <c r="N7" s="185"/>
      <c r="O7" s="185"/>
      <c r="P7" s="185"/>
      <c r="Q7" s="185"/>
      <c r="R7" s="113"/>
      <c r="S7" s="114" t="s">
        <v>83</v>
      </c>
      <c r="T7" s="189"/>
      <c r="U7" s="189"/>
    </row>
    <row r="8" spans="1:22" ht="36" customHeight="1" thickBot="1" x14ac:dyDescent="0.5">
      <c r="A8" s="64"/>
      <c r="B8" s="65">
        <f>Control_2 Open_time</f>
        <v>44511.50277777778</v>
      </c>
      <c r="C8" s="65">
        <f>Control_2 Close_time</f>
        <v>44511.506249999999</v>
      </c>
      <c r="D8" s="66"/>
      <c r="E8" s="67" t="str">
        <f>IF(ISBLANK(Control_2 Establishment_3),"",Control_2 Establishment_3)</f>
        <v>Wharf St.</v>
      </c>
      <c r="F8" s="20"/>
      <c r="G8" s="19"/>
      <c r="H8" s="103" t="s">
        <v>13</v>
      </c>
      <c r="J8" s="31" t="s">
        <v>18</v>
      </c>
      <c r="K8" s="31"/>
      <c r="L8" s="115" t="s">
        <v>84</v>
      </c>
      <c r="M8" s="37"/>
      <c r="N8" s="37"/>
      <c r="O8" s="37"/>
      <c r="P8" s="37"/>
      <c r="Q8" s="37"/>
      <c r="R8" s="37"/>
      <c r="S8" s="37"/>
      <c r="T8" s="37"/>
      <c r="U8" s="35"/>
    </row>
    <row r="9" spans="1:22" ht="36" customHeight="1" thickBot="1" x14ac:dyDescent="0.45">
      <c r="A9" s="60"/>
      <c r="B9" s="61">
        <f>Control_3 Open_time</f>
        <v>44511.509027777778</v>
      </c>
      <c r="C9" s="61">
        <f>Control_3 Close_time</f>
        <v>44511.520833333336</v>
      </c>
      <c r="D9" s="68"/>
      <c r="E9" s="63" t="str">
        <f>IF(ISBLANK(Control_3 Establishment_1),"",Control_3 Establishment_1)</f>
        <v>Saanich Municipal Cenotaph</v>
      </c>
      <c r="F9" s="104" t="s">
        <v>219</v>
      </c>
      <c r="G9" s="17"/>
      <c r="H9" s="103" t="s">
        <v>13</v>
      </c>
      <c r="J9" s="31"/>
      <c r="K9" s="31"/>
      <c r="L9" s="57"/>
      <c r="M9" s="37"/>
      <c r="N9" s="37"/>
      <c r="O9" s="37"/>
      <c r="P9" s="37"/>
      <c r="Q9" s="37"/>
      <c r="R9" s="37"/>
      <c r="S9" s="37"/>
      <c r="T9" s="37"/>
      <c r="U9" s="35"/>
    </row>
    <row r="10" spans="1:22" ht="36" customHeight="1" thickBot="1" x14ac:dyDescent="0.45">
      <c r="A10" s="106">
        <f>IF(ISBLANK(Distance Control_3),"",Control_3 Distance)</f>
        <v>7.4</v>
      </c>
      <c r="B10" s="107">
        <f>Control_3 Open_time</f>
        <v>44511.509027777778</v>
      </c>
      <c r="C10" s="107">
        <f>Control_3 Close_time</f>
        <v>44511.520833333336</v>
      </c>
      <c r="D10" s="91" t="str">
        <f>IF(ISBLANK(Locale Control_3),"",Locale Control_3)</f>
        <v>SAANICH</v>
      </c>
      <c r="E10" s="112" t="str">
        <f>IF(ISBLANK(Control_3 Establishment_2),"",Control_3 Establishment_2)</f>
        <v>Saanich Municipal Hall</v>
      </c>
      <c r="F10" s="108" t="s">
        <v>220</v>
      </c>
      <c r="G10" s="17"/>
      <c r="H10" s="103" t="s">
        <v>13</v>
      </c>
      <c r="J10" s="31" t="s">
        <v>19</v>
      </c>
      <c r="K10" s="31"/>
      <c r="L10" s="57"/>
      <c r="M10" s="37"/>
      <c r="N10" s="37"/>
      <c r="O10" s="38"/>
      <c r="P10" s="38" t="s">
        <v>20</v>
      </c>
      <c r="Q10" s="38"/>
      <c r="R10" s="38"/>
      <c r="S10" s="116"/>
      <c r="T10" s="57"/>
      <c r="U10" s="35"/>
    </row>
    <row r="11" spans="1:22" ht="36" customHeight="1" thickBot="1" x14ac:dyDescent="0.45">
      <c r="A11" s="64"/>
      <c r="B11" s="65">
        <f>Control_3 Open_time</f>
        <v>44511.509027777778</v>
      </c>
      <c r="C11" s="65">
        <f>Control_3 Close_time</f>
        <v>44511.520833333336</v>
      </c>
      <c r="D11" s="66"/>
      <c r="E11" s="67" t="str">
        <f>IF(ISBLANK(Control_3 Establishment_3),"",Control_3 Establishment_3)</f>
        <v>770 Vernon Ave.</v>
      </c>
      <c r="F11" s="20" t="s">
        <v>221</v>
      </c>
      <c r="G11" s="19"/>
      <c r="H11" s="103" t="s">
        <v>13</v>
      </c>
      <c r="J11" s="31" t="s">
        <v>21</v>
      </c>
      <c r="K11" s="31"/>
      <c r="L11" s="57"/>
      <c r="M11" s="37"/>
      <c r="N11" s="37"/>
      <c r="O11" s="38"/>
      <c r="P11" s="38" t="s">
        <v>22</v>
      </c>
      <c r="Q11" s="38"/>
      <c r="R11" s="38"/>
      <c r="S11" s="116"/>
      <c r="T11" s="57"/>
      <c r="U11" s="35"/>
    </row>
    <row r="12" spans="1:22" ht="36" customHeight="1" thickBot="1" x14ac:dyDescent="0.45">
      <c r="A12" s="60"/>
      <c r="B12" s="61">
        <f>Control_4 Open_time</f>
        <v>44511.525000000001</v>
      </c>
      <c r="C12" s="61">
        <f>Control_4 Close_time</f>
        <v>44511.556944444441</v>
      </c>
      <c r="D12" s="68"/>
      <c r="E12" s="63" t="str">
        <f>IF(ISBLANK(Control_4 Establishment_1),"",Control_4 Establishment_1)</f>
        <v>Heal's Rifle Range</v>
      </c>
      <c r="F12" s="104" t="s">
        <v>213</v>
      </c>
      <c r="G12" s="17"/>
      <c r="H12" s="103" t="s">
        <v>13</v>
      </c>
      <c r="J12" s="31" t="s">
        <v>23</v>
      </c>
      <c r="L12" s="58"/>
      <c r="M12" s="51"/>
      <c r="N12" s="51"/>
      <c r="O12" s="39"/>
      <c r="P12" s="38" t="s">
        <v>24</v>
      </c>
      <c r="Q12" s="38"/>
      <c r="R12" s="59"/>
      <c r="S12" s="40"/>
      <c r="T12" s="40"/>
      <c r="U12" s="36"/>
    </row>
    <row r="13" spans="1:22" ht="36" customHeight="1" x14ac:dyDescent="0.4">
      <c r="A13" s="106">
        <f>IF(ISBLANK(Distance Control_4),"",Control_4 Distance)</f>
        <v>20.5</v>
      </c>
      <c r="B13" s="107">
        <f>Control_4 Open_time</f>
        <v>44511.525000000001</v>
      </c>
      <c r="C13" s="107">
        <f>Control_4 Close_time</f>
        <v>44511.556944444441</v>
      </c>
      <c r="D13" s="91" t="str">
        <f>IF(ISBLANK(Locale Control_4),"",Locale Control_4)</f>
        <v>CENTRAL SAANICH</v>
      </c>
      <c r="E13" s="63" t="str">
        <f>IF(ISBLANK(Control_4 Establishment_2),"",Control_4 Establishment_2)</f>
        <v>Main Gate</v>
      </c>
      <c r="F13" s="108" t="s">
        <v>214</v>
      </c>
      <c r="G13" s="17"/>
      <c r="H13" s="103" t="s">
        <v>13</v>
      </c>
      <c r="L13" s="186" t="s">
        <v>85</v>
      </c>
      <c r="M13" s="186"/>
      <c r="N13" s="186"/>
      <c r="O13" s="186"/>
      <c r="P13" s="186"/>
      <c r="Q13" s="186"/>
      <c r="R13" s="186"/>
      <c r="S13" s="186"/>
      <c r="T13" s="186"/>
      <c r="U13" s="186"/>
    </row>
    <row r="14" spans="1:22" ht="36" customHeight="1" thickBot="1" x14ac:dyDescent="0.4">
      <c r="A14" s="64"/>
      <c r="B14" s="65">
        <f>Control_4 Open_time</f>
        <v>44511.525000000001</v>
      </c>
      <c r="C14" s="65">
        <f>Control_4 Close_time</f>
        <v>44511.556944444441</v>
      </c>
      <c r="D14" s="66"/>
      <c r="E14" s="67" t="str">
        <f>IF(ISBLANK(Control_4 Establishment_3),"",Control_4 Establishment_3)</f>
        <v>5830 Wallace Dr.</v>
      </c>
      <c r="F14" s="213" t="s">
        <v>215</v>
      </c>
      <c r="G14" s="19"/>
      <c r="H14" s="103" t="s">
        <v>13</v>
      </c>
      <c r="J14" s="31"/>
      <c r="L14" s="187"/>
      <c r="M14" s="187"/>
      <c r="N14" s="187"/>
      <c r="O14" s="187"/>
      <c r="P14" s="187"/>
      <c r="Q14" s="188"/>
      <c r="R14" s="188"/>
      <c r="S14" s="188"/>
      <c r="T14" s="188"/>
      <c r="U14" s="188"/>
    </row>
    <row r="15" spans="1:22" ht="36" customHeight="1" x14ac:dyDescent="0.35">
      <c r="A15" s="60"/>
      <c r="B15" s="61">
        <f>Control_5 Open_time</f>
        <v>44511.542361111111</v>
      </c>
      <c r="C15" s="61">
        <f>Control_5 Close_time</f>
        <v>44511.595833333333</v>
      </c>
      <c r="D15" s="68"/>
      <c r="E15" s="63" t="str">
        <f>IF(ISBLANK(Control_5 Establishment_1),"",Control_5 Establishment_1)</f>
        <v>What covers the back of memorial?</v>
      </c>
      <c r="F15" s="104" t="s">
        <v>204</v>
      </c>
      <c r="G15" s="17"/>
      <c r="H15" s="103" t="s">
        <v>13</v>
      </c>
      <c r="L15" s="196"/>
      <c r="M15" s="196"/>
      <c r="N15" s="196"/>
      <c r="O15" s="196"/>
      <c r="P15" s="196"/>
      <c r="Q15" s="196"/>
      <c r="R15" s="196"/>
      <c r="S15" s="196"/>
      <c r="T15" s="196"/>
      <c r="U15" s="196"/>
    </row>
    <row r="16" spans="1:22" ht="36" customHeight="1" x14ac:dyDescent="0.3">
      <c r="A16" s="106">
        <f>IF(ISBLANK(Distance Control_5),"",Control_5 Distance)</f>
        <v>34.5</v>
      </c>
      <c r="B16" s="107">
        <f>Control_5 Open_time</f>
        <v>44511.542361111111</v>
      </c>
      <c r="C16" s="107">
        <f>Control_5 Close_time</f>
        <v>44511.595833333333</v>
      </c>
      <c r="D16" s="91" t="str">
        <f>IF(ISBLANK(Locale Control_5),"",Locale Control_5)</f>
        <v>NORTH SAANICH</v>
      </c>
      <c r="E16" s="63" t="str">
        <f>IF(ISBLANK(Control_5 Establishment_2),"",Control_5 Establishment_2)</f>
        <v xml:space="preserve"> 1910 Norseman Rd.</v>
      </c>
      <c r="F16" s="108" t="s">
        <v>205</v>
      </c>
      <c r="G16" s="17"/>
      <c r="H16" s="103" t="s">
        <v>13</v>
      </c>
      <c r="L16" s="117"/>
      <c r="M16" s="117"/>
      <c r="N16" s="117"/>
      <c r="O16" s="117"/>
      <c r="P16" s="117"/>
      <c r="Q16" s="117"/>
      <c r="R16" s="117"/>
      <c r="S16" s="117"/>
      <c r="T16" s="117"/>
      <c r="U16" s="117"/>
    </row>
    <row r="17" spans="1:22" ht="36" customHeight="1" thickBot="1" x14ac:dyDescent="0.4">
      <c r="A17" s="64"/>
      <c r="B17" s="65">
        <f>Control_5 Open_time</f>
        <v>44511.542361111111</v>
      </c>
      <c r="C17" s="65">
        <f>Control_5 Close_time</f>
        <v>44511.595833333333</v>
      </c>
      <c r="D17" s="66"/>
      <c r="E17" s="67" t="str">
        <f>IF(ISBLANK(Control_5 Establishment_3),"",Control_5 Establishment_3)</f>
        <v>Victoria Int. Airport</v>
      </c>
      <c r="F17" s="20"/>
      <c r="G17" s="19"/>
      <c r="H17" s="103" t="s">
        <v>13</v>
      </c>
      <c r="L17" s="197"/>
      <c r="M17" s="197"/>
      <c r="N17" s="197"/>
      <c r="O17" s="197"/>
      <c r="P17" s="117"/>
      <c r="Q17" s="117"/>
      <c r="R17" s="197"/>
      <c r="S17" s="197"/>
      <c r="T17" s="197"/>
      <c r="U17" s="197"/>
    </row>
    <row r="18" spans="1:22" ht="36" customHeight="1" x14ac:dyDescent="0.35">
      <c r="A18" s="60"/>
      <c r="B18" s="61">
        <f>Control_6 Open_time</f>
        <v>44511.577777777777</v>
      </c>
      <c r="C18" s="61">
        <f>Control_6 Close_time</f>
        <v>44511.675694444442</v>
      </c>
      <c r="D18" s="68"/>
      <c r="E18" s="63" t="str">
        <f>IF(ISBLANK(Control_6 Establishment_1),"",Control_6 Establishment_1)</f>
        <v>Afghanistan Memorial</v>
      </c>
      <c r="F18" s="104" t="s">
        <v>216</v>
      </c>
      <c r="G18" s="17"/>
      <c r="H18" s="103" t="s">
        <v>13</v>
      </c>
      <c r="L18" s="117"/>
      <c r="M18" s="117"/>
      <c r="N18" s="117"/>
      <c r="O18" s="117"/>
      <c r="P18" s="117"/>
      <c r="Q18" s="117"/>
      <c r="R18" s="117"/>
      <c r="S18" s="117"/>
      <c r="T18" s="117"/>
      <c r="U18" s="117"/>
    </row>
    <row r="19" spans="1:22" ht="36" customHeight="1" thickBot="1" x14ac:dyDescent="0.35">
      <c r="A19" s="106">
        <f>IF(ISBLANK(Distance Control_6),"",Control_6 Distance)</f>
        <v>63.2</v>
      </c>
      <c r="B19" s="107">
        <f>Control_6 Open_time</f>
        <v>44511.577777777777</v>
      </c>
      <c r="C19" s="107">
        <f>Control_6 Close_time</f>
        <v>44511.675694444442</v>
      </c>
      <c r="D19" s="91" t="str">
        <f>IF(ISBLANK(Locale Control_6),"",Locale Control_6)</f>
        <v>VICTORIA</v>
      </c>
      <c r="E19" s="63" t="str">
        <f>IF(ISBLANK(Control_6 Establishment_2),"",Control_6 Establishment_2)</f>
        <v>Quadra and Courtney St's</v>
      </c>
      <c r="F19" s="18" t="s">
        <v>217</v>
      </c>
      <c r="G19" s="17"/>
      <c r="H19" s="103" t="s">
        <v>13</v>
      </c>
      <c r="L19" s="197"/>
      <c r="M19" s="197"/>
      <c r="N19" s="197"/>
      <c r="O19" s="197"/>
      <c r="P19" s="117"/>
      <c r="Q19" s="117"/>
      <c r="R19" s="197"/>
      <c r="S19" s="197"/>
      <c r="T19" s="197"/>
      <c r="U19" s="197"/>
    </row>
    <row r="20" spans="1:22" ht="36" customHeight="1" thickBot="1" x14ac:dyDescent="0.4">
      <c r="A20" s="64"/>
      <c r="B20" s="65">
        <f>Control_6 Open_time</f>
        <v>44511.577777777777</v>
      </c>
      <c r="C20" s="65">
        <f>Control_6 Close_time</f>
        <v>44511.675694444442</v>
      </c>
      <c r="D20" s="66"/>
      <c r="E20" s="67" t="str">
        <f>IF(ISBLANK(Control_6 Establishment_3),"",Control_6 Establishment_3)</f>
        <v>Quadra St.</v>
      </c>
      <c r="F20" s="214" t="s">
        <v>218</v>
      </c>
      <c r="G20" s="19"/>
      <c r="H20" s="103" t="s">
        <v>13</v>
      </c>
      <c r="K20" s="118"/>
      <c r="L20" s="117"/>
      <c r="M20" s="117"/>
      <c r="N20" s="117"/>
      <c r="O20" s="117"/>
      <c r="P20" s="117"/>
      <c r="Q20" s="117"/>
      <c r="R20" s="117"/>
      <c r="S20" s="117"/>
      <c r="T20" s="117"/>
      <c r="U20" s="117"/>
    </row>
    <row r="21" spans="1:22" ht="36" customHeight="1" thickBot="1" x14ac:dyDescent="0.45">
      <c r="A21" s="60"/>
      <c r="B21" s="61">
        <f>Control_7 Open_time</f>
        <v>44511.57916666667</v>
      </c>
      <c r="C21" s="61">
        <f>Control_7 Close_time</f>
        <v>44511.679166666669</v>
      </c>
      <c r="D21" s="68"/>
      <c r="E21" s="63" t="str">
        <f>IF(ISBLANK(Control_7 Establishment_1),"",Control_7 Establishment_1)</f>
        <v>Beagle Pub</v>
      </c>
      <c r="F21" s="104" t="s">
        <v>206</v>
      </c>
      <c r="G21" s="17"/>
      <c r="H21" s="103" t="s">
        <v>13</v>
      </c>
      <c r="J21" s="198"/>
      <c r="K21" s="198"/>
      <c r="L21" s="197"/>
      <c r="M21" s="197"/>
      <c r="N21" s="197"/>
      <c r="O21" s="197"/>
      <c r="P21" s="117"/>
      <c r="Q21" s="117"/>
      <c r="R21" s="199"/>
      <c r="S21" s="199"/>
      <c r="T21" s="199"/>
      <c r="U21" s="199"/>
      <c r="V21" s="113"/>
    </row>
    <row r="22" spans="1:22" ht="36" customHeight="1" thickBot="1" x14ac:dyDescent="0.4">
      <c r="A22" s="106">
        <f>IF(ISBLANK(Distance Control_7),"",Control_7 Distance)</f>
        <v>64.599999999999994</v>
      </c>
      <c r="B22" s="107">
        <f>Control_7 Open_time</f>
        <v>44511.57916666667</v>
      </c>
      <c r="C22" s="107">
        <f>Control_7 Close_time</f>
        <v>44511.679166666669</v>
      </c>
      <c r="D22" s="91" t="str">
        <f>IF(ISBLANK(Locale Control_7),"",Locale Control_7)</f>
        <v>VICTORIA</v>
      </c>
      <c r="E22" s="63" t="str">
        <f>IF(ISBLANK(Control_7 Establishment_2),"",Control_7 Establishment_2)</f>
        <v xml:space="preserve">301 Cook St. </v>
      </c>
      <c r="F22" s="108"/>
      <c r="G22" s="17"/>
      <c r="H22" s="103" t="s">
        <v>13</v>
      </c>
      <c r="J22" s="198" t="s">
        <v>86</v>
      </c>
      <c r="K22" s="198"/>
      <c r="L22" s="200">
        <f>IF(ISBLANK(Start_date),"",Start_date)</f>
        <v>44511</v>
      </c>
      <c r="M22" s="200"/>
      <c r="N22" s="200"/>
      <c r="P22" s="38" t="s">
        <v>25</v>
      </c>
      <c r="Q22" s="38"/>
      <c r="S22" s="201">
        <f>'Control Entry'!B8</f>
        <v>0.5</v>
      </c>
      <c r="T22" s="201"/>
      <c r="U22" s="201"/>
    </row>
    <row r="23" spans="1:22" ht="36" customHeight="1" thickBot="1" x14ac:dyDescent="0.4">
      <c r="A23" s="64"/>
      <c r="B23" s="65">
        <f>Control_7 Open_time</f>
        <v>44511.57916666667</v>
      </c>
      <c r="C23" s="65">
        <f>Control_7 Close_time</f>
        <v>44511.679166666669</v>
      </c>
      <c r="D23" s="66"/>
      <c r="E23" s="67" t="str">
        <f>IF(ISBLANK(Control_7 Establishment_3),"",Control_7 Establishment_3)</f>
        <v/>
      </c>
      <c r="F23" s="20"/>
      <c r="G23" s="19"/>
      <c r="H23" s="103" t="s">
        <v>13</v>
      </c>
      <c r="J23" s="198"/>
      <c r="K23" s="198"/>
      <c r="L23" s="202"/>
      <c r="M23" s="202"/>
      <c r="N23" s="202"/>
      <c r="P23" s="38"/>
      <c r="Q23" s="38"/>
      <c r="R23" s="43"/>
      <c r="S23" s="203"/>
      <c r="T23" s="203"/>
      <c r="U23" s="203"/>
      <c r="V23" s="113"/>
    </row>
    <row r="24" spans="1:22" ht="36" customHeight="1" thickBot="1" x14ac:dyDescent="0.4">
      <c r="A24" s="60"/>
      <c r="B24" s="61" t="str">
        <f>Control_8 Open_time</f>
        <v/>
      </c>
      <c r="C24" s="61" t="str">
        <f>Control_8 Close_time</f>
        <v/>
      </c>
      <c r="D24" s="68"/>
      <c r="E24" s="63" t="str">
        <f>IF(ISBLANK(Control_8 Establishment_1),"",Control_8 Establishment_1)</f>
        <v/>
      </c>
      <c r="F24" s="104"/>
      <c r="G24" s="17"/>
      <c r="H24" s="103" t="s">
        <v>13</v>
      </c>
      <c r="J24" s="181" t="s">
        <v>87</v>
      </c>
      <c r="K24" s="181"/>
      <c r="L24" s="179"/>
      <c r="M24" s="179"/>
      <c r="N24" s="179"/>
      <c r="O24" s="39"/>
      <c r="P24" s="38" t="s">
        <v>26</v>
      </c>
      <c r="Q24" s="38"/>
      <c r="R24" s="39"/>
      <c r="S24" s="180"/>
      <c r="T24" s="180"/>
      <c r="U24" s="180"/>
    </row>
    <row r="25" spans="1:22" ht="36" customHeight="1" x14ac:dyDescent="0.35">
      <c r="A25" s="106" t="str">
        <f>IF(ISBLANK(Distance Control_8),"",Control_8 Distance)</f>
        <v/>
      </c>
      <c r="B25" s="107" t="str">
        <f>Control_8 Open_time</f>
        <v/>
      </c>
      <c r="C25" s="107" t="str">
        <f>Control_8 Close_time</f>
        <v/>
      </c>
      <c r="D25" s="91" t="str">
        <f>IF(ISBLANK(Locale Control_8),"",Locale Control_8)</f>
        <v/>
      </c>
      <c r="E25" s="112" t="str">
        <f>IF(ISBLANK(Control_8 Establishment_2),"",Control_8 Establishment_2)</f>
        <v/>
      </c>
      <c r="F25" s="108"/>
      <c r="G25" s="17"/>
      <c r="H25" s="103" t="s">
        <v>13</v>
      </c>
      <c r="J25" s="181"/>
      <c r="K25" s="181"/>
      <c r="L25" s="182"/>
      <c r="M25" s="182"/>
      <c r="N25" s="182"/>
      <c r="O25" s="43"/>
      <c r="P25" s="119"/>
      <c r="Q25" s="119"/>
      <c r="R25" s="43"/>
      <c r="S25" s="43"/>
      <c r="T25" s="43"/>
      <c r="U25" s="43"/>
      <c r="V25" s="113"/>
    </row>
    <row r="26" spans="1:22" ht="36" customHeight="1" thickBot="1" x14ac:dyDescent="0.4">
      <c r="A26" s="64"/>
      <c r="B26" s="65" t="str">
        <f>Control_8 Open_time</f>
        <v/>
      </c>
      <c r="C26" s="65" t="str">
        <f>Control_8 Close_time</f>
        <v/>
      </c>
      <c r="D26" s="66"/>
      <c r="E26" s="67" t="str">
        <f>IF(ISBLANK(Control_8 Establishment_3),"",Control_8 Establishment_3)</f>
        <v/>
      </c>
      <c r="F26" s="20"/>
      <c r="G26" s="19"/>
      <c r="H26" s="103" t="s">
        <v>13</v>
      </c>
      <c r="J26" s="32"/>
      <c r="K26" s="32"/>
      <c r="L26" s="32"/>
      <c r="M26" s="40"/>
      <c r="N26" s="40"/>
      <c r="O26" s="39"/>
      <c r="P26" s="38" t="s">
        <v>27</v>
      </c>
      <c r="Q26" s="38"/>
      <c r="R26" s="39"/>
      <c r="S26" s="40"/>
      <c r="T26" s="40"/>
      <c r="U26" s="40"/>
    </row>
    <row r="27" spans="1:22" ht="36" customHeight="1" x14ac:dyDescent="0.35">
      <c r="A27" s="60"/>
      <c r="B27" s="61" t="str">
        <f>Control_9 Open_time</f>
        <v/>
      </c>
      <c r="C27" s="61" t="str">
        <f>Control_9 Close_time</f>
        <v/>
      </c>
      <c r="D27" s="68"/>
      <c r="E27" s="63" t="str">
        <f>IF(ISBLANK(Control_9 Establishment_1),"",Control_9 Establishment_1)</f>
        <v/>
      </c>
      <c r="F27" s="104"/>
      <c r="G27" s="17"/>
      <c r="H27" s="103" t="s">
        <v>13</v>
      </c>
      <c r="J27" s="175" t="s">
        <v>28</v>
      </c>
      <c r="K27" s="175"/>
      <c r="L27" s="175"/>
      <c r="M27" s="175"/>
      <c r="N27" s="175"/>
      <c r="O27" s="120"/>
      <c r="P27" s="176"/>
      <c r="Q27" s="176"/>
      <c r="R27" s="120"/>
      <c r="S27" s="177"/>
      <c r="T27" s="177"/>
      <c r="U27" s="177"/>
      <c r="V27" s="177"/>
    </row>
    <row r="28" spans="1:22" ht="36" customHeight="1" x14ac:dyDescent="0.3">
      <c r="A28" s="106" t="str">
        <f>IF(ISBLANK(Distance Control_9),"",Control_9 Distance)</f>
        <v/>
      </c>
      <c r="B28" s="107" t="str">
        <f>Control_9 Open_time</f>
        <v/>
      </c>
      <c r="C28" s="107" t="str">
        <f>Control_9 Close_time</f>
        <v/>
      </c>
      <c r="D28" s="91" t="str">
        <f>IF(ISBLANK(Locale Control_9),"",Locale Control_9)</f>
        <v/>
      </c>
      <c r="E28" s="63" t="str">
        <f>IF(ISBLANK(Control_9 Establishment_2),"",Control_9 Establishment_2)</f>
        <v/>
      </c>
      <c r="F28" s="108"/>
      <c r="G28" s="17"/>
      <c r="H28" s="103" t="s">
        <v>13</v>
      </c>
      <c r="K28" s="178" t="s">
        <v>88</v>
      </c>
      <c r="L28" s="176"/>
      <c r="M28" s="121" t="s">
        <v>89</v>
      </c>
      <c r="N28" s="176" t="s">
        <v>90</v>
      </c>
      <c r="O28" s="176"/>
      <c r="P28" s="176" t="s">
        <v>91</v>
      </c>
      <c r="Q28" s="176"/>
      <c r="R28" s="120" t="s">
        <v>92</v>
      </c>
      <c r="S28" s="177" t="s">
        <v>93</v>
      </c>
      <c r="T28" s="177"/>
      <c r="U28" s="177" t="s">
        <v>94</v>
      </c>
      <c r="V28" s="177"/>
    </row>
    <row r="29" spans="1:22" ht="36" customHeight="1" thickBot="1" x14ac:dyDescent="0.4">
      <c r="A29" s="64"/>
      <c r="B29" s="65" t="str">
        <f>Control_9 Open_time</f>
        <v/>
      </c>
      <c r="C29" s="65" t="str">
        <f>Control_9 Close_time</f>
        <v/>
      </c>
      <c r="D29" s="66"/>
      <c r="E29" s="67" t="str">
        <f>IF(ISBLANK(Control_9 Establishment_3),"",Control_9 Establishment_3)</f>
        <v/>
      </c>
      <c r="F29" s="20"/>
      <c r="G29" s="19"/>
      <c r="H29" s="103" t="s">
        <v>13</v>
      </c>
      <c r="M29" s="183" t="s">
        <v>29</v>
      </c>
      <c r="N29" s="183"/>
      <c r="O29" s="183"/>
      <c r="P29" s="183"/>
      <c r="Q29" s="183"/>
      <c r="R29" s="183"/>
      <c r="S29" s="183"/>
      <c r="T29" s="183"/>
      <c r="U29" s="122"/>
    </row>
    <row r="30" spans="1:22" ht="36" customHeight="1" x14ac:dyDescent="0.35">
      <c r="A30" s="60"/>
      <c r="B30" s="61" t="str">
        <f>Control_10 Open_time</f>
        <v/>
      </c>
      <c r="C30" s="61" t="str">
        <f>Control_10 Close_time</f>
        <v/>
      </c>
      <c r="D30" s="68"/>
      <c r="E30" s="63" t="str">
        <f>IF(ISBLANK(Control_10 Establishment_1),"",Control_10 Establishment_1)</f>
        <v/>
      </c>
      <c r="F30" s="104"/>
      <c r="G30" s="17"/>
      <c r="H30" s="103" t="s">
        <v>13</v>
      </c>
      <c r="M30" s="33"/>
      <c r="N30" s="41"/>
      <c r="O30" s="41"/>
      <c r="P30" s="42"/>
      <c r="Q30" s="41"/>
      <c r="R30" s="41"/>
      <c r="S30" s="41"/>
      <c r="T30" s="42"/>
      <c r="U30" s="43"/>
    </row>
    <row r="31" spans="1:22" ht="36" customHeight="1" x14ac:dyDescent="0.3">
      <c r="A31" s="106" t="str">
        <f>IF(ISBLANK(Distance Control_10),"",Control_10 Distance)</f>
        <v/>
      </c>
      <c r="B31" s="107" t="str">
        <f>Control_10 Open_time</f>
        <v/>
      </c>
      <c r="C31" s="107" t="str">
        <f>Control_10 Close_time</f>
        <v/>
      </c>
      <c r="D31" s="91" t="str">
        <f>IF(ISBLANK(Locale Control_10),"",Locale Control_10)</f>
        <v/>
      </c>
      <c r="E31" s="63" t="str">
        <f>IF(ISBLANK(Control_10 Establishment_2),"",Control_10 Establishment_2)</f>
        <v/>
      </c>
      <c r="F31" s="123"/>
      <c r="G31" s="17"/>
      <c r="H31" s="103" t="s">
        <v>13</v>
      </c>
      <c r="M31" s="34"/>
      <c r="N31" s="43"/>
      <c r="O31" s="43"/>
      <c r="P31" s="44"/>
      <c r="Q31" s="43"/>
      <c r="R31" s="43"/>
      <c r="S31" s="43"/>
      <c r="T31" s="44"/>
      <c r="U31" s="43"/>
    </row>
    <row r="32" spans="1:22" ht="36" customHeight="1" thickBot="1" x14ac:dyDescent="0.4">
      <c r="A32" s="64"/>
      <c r="B32" s="65" t="str">
        <f>Control_10 Open_time</f>
        <v/>
      </c>
      <c r="C32" s="65" t="str">
        <f>Control_10 Close_time</f>
        <v/>
      </c>
      <c r="D32" s="66"/>
      <c r="E32" s="67" t="str">
        <f>IF(ISBLANK(Control_10 Establishment_3),"",Control_10 Establishment_3)</f>
        <v/>
      </c>
      <c r="F32" s="124"/>
      <c r="G32" s="19"/>
      <c r="H32" s="103" t="s">
        <v>13</v>
      </c>
      <c r="M32" s="125"/>
      <c r="N32" s="40"/>
      <c r="O32" s="40"/>
      <c r="P32" s="45"/>
      <c r="Q32" s="40"/>
      <c r="R32" s="40"/>
      <c r="S32" s="40"/>
      <c r="T32" s="45"/>
      <c r="U32" s="43"/>
    </row>
    <row r="33" spans="1:22" ht="36" customHeight="1" x14ac:dyDescent="0.35">
      <c r="A33" s="195" t="s">
        <v>95</v>
      </c>
      <c r="B33" s="195"/>
      <c r="C33" s="195"/>
      <c r="D33" s="195"/>
      <c r="E33" s="195"/>
      <c r="F33" s="195"/>
      <c r="G33" s="195"/>
      <c r="H33" s="126"/>
      <c r="I33" s="126"/>
      <c r="N33" s="174"/>
      <c r="O33" s="174"/>
      <c r="P33" s="174"/>
      <c r="Q33" s="174"/>
      <c r="R33" s="174"/>
      <c r="S33" s="174"/>
      <c r="T33" s="174"/>
      <c r="U33" s="174"/>
      <c r="V33" s="127"/>
    </row>
    <row r="34" spans="1:22" ht="36" customHeight="1" x14ac:dyDescent="0.35">
      <c r="A34"/>
      <c r="H34" s="113"/>
      <c r="O34" s="83"/>
      <c r="P34" s="83"/>
      <c r="Q34" s="83"/>
      <c r="R34" s="128"/>
    </row>
  </sheetData>
  <mergeCells count="43">
    <mergeCell ref="A33:G33"/>
    <mergeCell ref="L15:U15"/>
    <mergeCell ref="L17:O17"/>
    <mergeCell ref="R17:U17"/>
    <mergeCell ref="L19:O19"/>
    <mergeCell ref="R19:U19"/>
    <mergeCell ref="J21:K21"/>
    <mergeCell ref="L21:O21"/>
    <mergeCell ref="R21:U21"/>
    <mergeCell ref="J22:K22"/>
    <mergeCell ref="L22:N22"/>
    <mergeCell ref="S22:U22"/>
    <mergeCell ref="J23:K23"/>
    <mergeCell ref="L23:N23"/>
    <mergeCell ref="S23:U23"/>
    <mergeCell ref="J24:K24"/>
    <mergeCell ref="A1:G1"/>
    <mergeCell ref="K2:U2"/>
    <mergeCell ref="N3:S3"/>
    <mergeCell ref="M4:T4"/>
    <mergeCell ref="N5:O5"/>
    <mergeCell ref="R5:U5"/>
    <mergeCell ref="M6:T6"/>
    <mergeCell ref="L7:Q7"/>
    <mergeCell ref="L13:U13"/>
    <mergeCell ref="L14:P14"/>
    <mergeCell ref="Q14:U14"/>
    <mergeCell ref="T7:U7"/>
    <mergeCell ref="L24:N24"/>
    <mergeCell ref="S24:U24"/>
    <mergeCell ref="J25:K25"/>
    <mergeCell ref="L25:N25"/>
    <mergeCell ref="M29:T29"/>
    <mergeCell ref="N33:U33"/>
    <mergeCell ref="J27:N27"/>
    <mergeCell ref="P27:Q27"/>
    <mergeCell ref="S27:T27"/>
    <mergeCell ref="U27:V27"/>
    <mergeCell ref="K28:L28"/>
    <mergeCell ref="N28:O28"/>
    <mergeCell ref="P28:Q28"/>
    <mergeCell ref="S28:T28"/>
    <mergeCell ref="U28:V28"/>
  </mergeCells>
  <phoneticPr fontId="17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scale="45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4"/>
  <sheetViews>
    <sheetView showGridLines="0" topLeftCell="F1" workbookViewId="0">
      <selection activeCell="T7" sqref="T7:U7"/>
    </sheetView>
  </sheetViews>
  <sheetFormatPr defaultColWidth="8.88671875" defaultRowHeight="13.2" x14ac:dyDescent="0.25"/>
  <cols>
    <col min="1" max="1" width="8.44140625" style="1" customWidth="1"/>
    <col min="2" max="3" width="11.6640625" customWidth="1"/>
    <col min="4" max="4" width="18" customWidth="1"/>
    <col min="5" max="5" width="23.88671875" customWidth="1"/>
    <col min="6" max="6" width="42" customWidth="1"/>
    <col min="7" max="7" width="13.44140625" customWidth="1"/>
    <col min="8" max="8" width="9" style="85" customWidth="1"/>
    <col min="9" max="9" width="12" customWidth="1"/>
    <col min="13" max="15" width="8.88671875" customWidth="1"/>
    <col min="20" max="22" width="8.88671875" customWidth="1"/>
  </cols>
  <sheetData>
    <row r="1" spans="1:22" ht="21" thickBot="1" x14ac:dyDescent="0.3">
      <c r="A1" s="190" t="s">
        <v>80</v>
      </c>
      <c r="B1" s="190"/>
      <c r="C1" s="190"/>
      <c r="D1" s="190"/>
      <c r="E1" s="190"/>
      <c r="F1" s="190"/>
      <c r="G1" s="190"/>
      <c r="H1" s="103" t="s">
        <v>13</v>
      </c>
    </row>
    <row r="2" spans="1:22" ht="33.75" customHeight="1" thickBot="1" x14ac:dyDescent="0.35">
      <c r="A2" s="15" t="s">
        <v>14</v>
      </c>
      <c r="B2" s="16" t="s">
        <v>56</v>
      </c>
      <c r="C2" s="16" t="s">
        <v>57</v>
      </c>
      <c r="D2" s="16" t="s">
        <v>52</v>
      </c>
      <c r="E2" s="16" t="s">
        <v>15</v>
      </c>
      <c r="F2" s="16" t="s">
        <v>81</v>
      </c>
      <c r="G2" s="15" t="s">
        <v>16</v>
      </c>
      <c r="H2" s="103" t="s">
        <v>13</v>
      </c>
      <c r="K2" s="191" t="s">
        <v>0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</row>
    <row r="3" spans="1:22" ht="36" customHeight="1" x14ac:dyDescent="0.7">
      <c r="A3" s="60"/>
      <c r="B3" s="61" t="str">
        <f>Control_11 Open_time</f>
        <v/>
      </c>
      <c r="C3" s="61" t="str">
        <f>Control_11 Close_time</f>
        <v/>
      </c>
      <c r="D3" s="62"/>
      <c r="E3" s="63" t="str">
        <f>IF(ISBLANK(Control_11 Establishment_1),"",Control_11 Establishment_1)</f>
        <v/>
      </c>
      <c r="F3" s="104" t="s">
        <v>103</v>
      </c>
      <c r="G3" s="17"/>
      <c r="H3" s="103" t="s">
        <v>13</v>
      </c>
      <c r="K3" s="30"/>
      <c r="N3" s="192" t="s">
        <v>97</v>
      </c>
      <c r="O3" s="192"/>
      <c r="P3" s="192"/>
      <c r="Q3" s="192"/>
      <c r="R3" s="192"/>
      <c r="S3" s="192"/>
      <c r="T3" s="105"/>
      <c r="U3" s="105"/>
    </row>
    <row r="4" spans="1:22" ht="36" customHeight="1" x14ac:dyDescent="0.3">
      <c r="A4" s="106" t="str">
        <f>IF(ISBLANK(Distance Control_11),"",Control_11 Distance)</f>
        <v/>
      </c>
      <c r="B4" s="107" t="str">
        <f>Control_11 Open_time</f>
        <v/>
      </c>
      <c r="C4" s="107" t="str">
        <f>Control_11 Close_time</f>
        <v/>
      </c>
      <c r="D4" s="91" t="str">
        <f>IF(ISBLANK(Locale Control_11),"",Locale Control_11)</f>
        <v/>
      </c>
      <c r="E4" s="63" t="str">
        <f>IF(ISBLANK(Control_11 Establishment_2),"",Control_11 Establishment_2)</f>
        <v/>
      </c>
      <c r="F4" s="104"/>
      <c r="G4" s="17"/>
      <c r="H4" s="103" t="s">
        <v>13</v>
      </c>
      <c r="K4" s="30"/>
      <c r="M4" s="178" t="str">
        <f>IF(ISBLANK(brevet),"",brevet&amp;" km Randonnée")</f>
        <v>100 km Randonnée</v>
      </c>
      <c r="N4" s="178"/>
      <c r="O4" s="178"/>
      <c r="P4" s="178"/>
      <c r="Q4" s="178"/>
      <c r="R4" s="178"/>
      <c r="S4" s="178"/>
      <c r="T4" s="178"/>
      <c r="U4" s="109"/>
    </row>
    <row r="5" spans="1:22" ht="36" customHeight="1" thickBot="1" x14ac:dyDescent="0.4">
      <c r="A5" s="64"/>
      <c r="B5" s="65" t="str">
        <f>Control_11 Open_time</f>
        <v/>
      </c>
      <c r="C5" s="65" t="str">
        <f>Control_11 Close_time</f>
        <v/>
      </c>
      <c r="D5" s="66"/>
      <c r="E5" s="67" t="str">
        <f>IF(ISBLANK(Control_11 Establishment_3),"",Control_11 Establishment_3)</f>
        <v/>
      </c>
      <c r="F5" s="20"/>
      <c r="G5" s="19"/>
      <c r="H5" s="103" t="s">
        <v>13</v>
      </c>
      <c r="K5" s="30"/>
      <c r="N5" s="193" t="s">
        <v>82</v>
      </c>
      <c r="O5" s="193"/>
      <c r="P5" s="110" t="str">
        <f>IF(ISBLANK(Brevet_Number),"",Brevet_Number)</f>
        <v>5131</v>
      </c>
      <c r="Q5" s="111"/>
      <c r="R5" s="194">
        <f>IF(ISBLANK('Control Entry'!$B5),"",'Control Entry'!$B5)</f>
        <v>44511</v>
      </c>
      <c r="S5" s="194"/>
      <c r="T5" s="194"/>
      <c r="U5" s="194"/>
      <c r="V5" s="94"/>
    </row>
    <row r="6" spans="1:22" ht="36" customHeight="1" x14ac:dyDescent="0.35">
      <c r="A6" s="60"/>
      <c r="B6" s="61" t="str">
        <f>Control_12 Open_time</f>
        <v/>
      </c>
      <c r="C6" s="61" t="str">
        <f>Control_12 Close_time</f>
        <v/>
      </c>
      <c r="D6" s="68"/>
      <c r="E6" s="63" t="str">
        <f>IF(ISBLANK(Control_12 Establishment_1),"",Control_12 Establishment_1)</f>
        <v/>
      </c>
      <c r="F6" s="104" t="s">
        <v>106</v>
      </c>
      <c r="G6" s="17"/>
      <c r="H6" s="103" t="s">
        <v>13</v>
      </c>
      <c r="K6" s="30"/>
      <c r="M6" s="184" t="str">
        <f>IF(ISBLANK(Brevet_Description),"",Brevet_Description)</f>
        <v xml:space="preserve">Fallen Leaves Social </v>
      </c>
      <c r="N6" s="184"/>
      <c r="O6" s="184"/>
      <c r="P6" s="184"/>
      <c r="Q6" s="184"/>
      <c r="R6" s="184"/>
      <c r="S6" s="184"/>
      <c r="T6" s="184"/>
    </row>
    <row r="7" spans="1:22" ht="36" customHeight="1" thickBot="1" x14ac:dyDescent="0.4">
      <c r="A7" s="106" t="str">
        <f>IF(ISBLANK(Distance Control_12),"",Control_12 Distance)</f>
        <v/>
      </c>
      <c r="B7" s="107" t="str">
        <f>Control_12 Open_time</f>
        <v/>
      </c>
      <c r="C7" s="107" t="str">
        <f>Control_12 Close_time</f>
        <v/>
      </c>
      <c r="D7" s="91" t="str">
        <f>IF(ISBLANK(Locale Control_12),"",Locale Control_12)</f>
        <v/>
      </c>
      <c r="E7" s="112" t="str">
        <f>IF(ISBLANK(Control_12 Establishment_2),"",Control_12 Establishment_2)</f>
        <v/>
      </c>
      <c r="F7" s="104"/>
      <c r="G7" s="17"/>
      <c r="H7" s="103" t="s">
        <v>13</v>
      </c>
      <c r="J7" s="31" t="s">
        <v>17</v>
      </c>
      <c r="L7" s="185">
        <f>'Control Card 1'!L7:Q7</f>
        <v>0</v>
      </c>
      <c r="M7" s="185"/>
      <c r="N7" s="185"/>
      <c r="O7" s="185"/>
      <c r="P7" s="185"/>
      <c r="Q7" s="185"/>
      <c r="R7" s="113"/>
      <c r="S7" s="114" t="s">
        <v>83</v>
      </c>
      <c r="T7" s="189">
        <f>'Control Card 1'!T7:U7</f>
        <v>0</v>
      </c>
      <c r="U7" s="189"/>
    </row>
    <row r="8" spans="1:22" ht="36" customHeight="1" thickBot="1" x14ac:dyDescent="0.4">
      <c r="A8" s="64"/>
      <c r="B8" s="65" t="str">
        <f>Control_12 Open_time</f>
        <v/>
      </c>
      <c r="C8" s="65" t="str">
        <f>Control_12 Close_time</f>
        <v/>
      </c>
      <c r="D8" s="66"/>
      <c r="E8" s="67" t="str">
        <f>IF(ISBLANK(Control_12 Establishment_3),"",Control_12 Establishment_3)</f>
        <v/>
      </c>
      <c r="F8" s="20"/>
      <c r="G8" s="19"/>
      <c r="H8" s="103" t="s">
        <v>13</v>
      </c>
      <c r="J8" s="31"/>
      <c r="K8" s="31"/>
    </row>
    <row r="9" spans="1:22" ht="36" customHeight="1" x14ac:dyDescent="0.35">
      <c r="A9" s="60"/>
      <c r="B9" s="61" t="str">
        <f>Control_13 Open_time</f>
        <v/>
      </c>
      <c r="C9" s="61" t="str">
        <f>Control_13 Close_time</f>
        <v/>
      </c>
      <c r="D9" s="68"/>
      <c r="E9" s="63" t="str">
        <f>IF(ISBLANK(Control_13 Establishment_1),"",Control_13 Establishment_1)</f>
        <v/>
      </c>
      <c r="F9" s="104" t="s">
        <v>105</v>
      </c>
      <c r="G9" s="17"/>
      <c r="H9" s="103" t="s">
        <v>13</v>
      </c>
      <c r="J9" s="31"/>
      <c r="K9" s="31"/>
    </row>
    <row r="10" spans="1:22" ht="36" customHeight="1" x14ac:dyDescent="0.4">
      <c r="A10" s="106" t="str">
        <f>IF(ISBLANK(Distance Control_13),"",Control_13 Distance)</f>
        <v/>
      </c>
      <c r="B10" s="107" t="str">
        <f>Control_13 Open_time</f>
        <v/>
      </c>
      <c r="C10" s="107" t="str">
        <f>Control_13 Close_time</f>
        <v/>
      </c>
      <c r="D10" s="91" t="str">
        <f>IF(ISBLANK(Locale Control_13),"",Locale Control_13)</f>
        <v/>
      </c>
      <c r="E10" s="112" t="str">
        <f>IF(ISBLANK(Control_13 Establishment_2),"",Control_13 Establishment_2)</f>
        <v/>
      </c>
      <c r="F10" s="108"/>
      <c r="G10" s="17"/>
      <c r="H10" s="103" t="s">
        <v>13</v>
      </c>
      <c r="J10" s="186" t="s">
        <v>96</v>
      </c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</row>
    <row r="11" spans="1:22" ht="36" customHeight="1" thickBot="1" x14ac:dyDescent="0.4">
      <c r="A11" s="64"/>
      <c r="B11" s="65" t="str">
        <f>Control_13 Open_time</f>
        <v/>
      </c>
      <c r="C11" s="65" t="str">
        <f>Control_13 Close_time</f>
        <v/>
      </c>
      <c r="D11" s="66"/>
      <c r="E11" s="67" t="str">
        <f>IF(ISBLANK(Control_13 Establishment_3),"",Control_13 Establishment_3)</f>
        <v/>
      </c>
      <c r="F11" s="20"/>
      <c r="G11" s="19"/>
      <c r="H11" s="103" t="s">
        <v>13</v>
      </c>
      <c r="J11" s="31"/>
      <c r="K11" s="31"/>
    </row>
    <row r="12" spans="1:22" ht="36" customHeight="1" x14ac:dyDescent="0.35">
      <c r="A12" s="60"/>
      <c r="B12" s="61" t="str">
        <f>Control_14 Open_time</f>
        <v/>
      </c>
      <c r="C12" s="61" t="str">
        <f>Control_14 Close_time</f>
        <v/>
      </c>
      <c r="D12" s="68"/>
      <c r="E12" s="63" t="str">
        <f>IF(ISBLANK(Control_14 Establishment_1),"",Control_14 Establishment_1)</f>
        <v/>
      </c>
      <c r="F12" s="104" t="s">
        <v>104</v>
      </c>
      <c r="G12" s="17"/>
      <c r="H12" s="103" t="s">
        <v>13</v>
      </c>
      <c r="J12" s="31"/>
    </row>
    <row r="13" spans="1:22" ht="36" customHeight="1" x14ac:dyDescent="0.3">
      <c r="A13" s="106" t="str">
        <f>IF(ISBLANK(Distance Control_14),"",Control_14 Distance)</f>
        <v/>
      </c>
      <c r="B13" s="107" t="str">
        <f>Control_14 Open_time</f>
        <v/>
      </c>
      <c r="C13" s="107" t="str">
        <f>Control_14 Close_time</f>
        <v/>
      </c>
      <c r="D13" s="91" t="str">
        <f>IF(ISBLANK(Locale Control_14),"",Locale Control_14)</f>
        <v/>
      </c>
      <c r="E13" s="63" t="str">
        <f>IF(ISBLANK(Control_14 Establishment_2),"",Control_14 Establishment_2)</f>
        <v/>
      </c>
      <c r="F13" s="104"/>
      <c r="G13" s="17"/>
      <c r="H13" s="103" t="s">
        <v>13</v>
      </c>
      <c r="R13" s="103"/>
      <c r="S13" s="103"/>
      <c r="T13" s="103"/>
      <c r="U13" s="103"/>
    </row>
    <row r="14" spans="1:22" ht="36" customHeight="1" thickBot="1" x14ac:dyDescent="0.4">
      <c r="A14" s="64"/>
      <c r="B14" s="65" t="str">
        <f>Control_14 Open_time</f>
        <v/>
      </c>
      <c r="C14" s="65" t="str">
        <f>Control_14 Close_time</f>
        <v/>
      </c>
      <c r="D14" s="66"/>
      <c r="E14" s="67" t="str">
        <f>IF(ISBLANK(Control_14 Establishment_3),"",Control_14 Establishment_3)</f>
        <v/>
      </c>
      <c r="F14" s="20"/>
      <c r="G14" s="19"/>
      <c r="H14" s="103" t="s">
        <v>13</v>
      </c>
    </row>
    <row r="15" spans="1:22" ht="36" customHeight="1" x14ac:dyDescent="0.35">
      <c r="A15" s="60"/>
      <c r="B15" s="61" t="str">
        <f>Control_15 Open_time</f>
        <v/>
      </c>
      <c r="C15" s="61" t="str">
        <f>Control_15 Close_time</f>
        <v/>
      </c>
      <c r="D15" s="68"/>
      <c r="E15" s="63" t="str">
        <f>IF(ISBLANK(Control_15 Establishment_1),"",Control_15 Establishment_1)</f>
        <v/>
      </c>
      <c r="F15" s="104" t="s">
        <v>101</v>
      </c>
      <c r="G15" s="17"/>
      <c r="H15" s="103" t="s">
        <v>13</v>
      </c>
    </row>
    <row r="16" spans="1:22" ht="36" customHeight="1" thickBot="1" x14ac:dyDescent="0.35">
      <c r="A16" s="106" t="str">
        <f>IF(ISBLANK(Distance Control_15),"",Control_15 Distance)</f>
        <v/>
      </c>
      <c r="B16" s="107" t="str">
        <f>Control_15 Open_time</f>
        <v/>
      </c>
      <c r="C16" s="107" t="str">
        <f>Control_15 Close_time</f>
        <v/>
      </c>
      <c r="D16" s="91" t="str">
        <f>IF(ISBLANK(Locale Control_15),"",Locale Control_15)</f>
        <v/>
      </c>
      <c r="E16" s="63" t="str">
        <f>IF(ISBLANK(Control_15 Establishment_2),"",Control_15 Establishment_2)</f>
        <v/>
      </c>
      <c r="F16" s="108"/>
      <c r="G16" s="17"/>
      <c r="H16" s="103" t="s">
        <v>13</v>
      </c>
      <c r="M16" s="103"/>
      <c r="N16" s="103"/>
      <c r="O16" s="103"/>
      <c r="P16" s="103"/>
      <c r="Q16" s="103"/>
    </row>
    <row r="17" spans="1:22" ht="36" customHeight="1" thickBot="1" x14ac:dyDescent="0.4">
      <c r="A17" s="64"/>
      <c r="B17" s="65" t="str">
        <f>Control_15 Open_time</f>
        <v/>
      </c>
      <c r="C17" s="65" t="str">
        <f>Control_15 Close_time</f>
        <v/>
      </c>
      <c r="D17" s="66"/>
      <c r="E17" s="67" t="str">
        <f>IF(ISBLANK(Control_15 Establishment_3),"",Control_15 Establishment_3)</f>
        <v/>
      </c>
      <c r="F17" s="20"/>
      <c r="G17" s="19"/>
      <c r="H17" s="103" t="s">
        <v>13</v>
      </c>
      <c r="M17" s="129" t="s">
        <v>28</v>
      </c>
      <c r="N17" s="129"/>
      <c r="O17" s="129"/>
      <c r="P17" s="129"/>
      <c r="Q17" s="129"/>
    </row>
    <row r="18" spans="1:22" ht="36" customHeight="1" x14ac:dyDescent="0.35">
      <c r="A18" s="60"/>
      <c r="B18" s="61" t="str">
        <f>Control_16 Open_time</f>
        <v/>
      </c>
      <c r="C18" s="61" t="str">
        <f>Control_16 Close_time</f>
        <v/>
      </c>
      <c r="D18" s="68"/>
      <c r="E18" s="63" t="str">
        <f>IF(ISBLANK(Control_16 Establishment_1),"",Control_16 Establishment_1)</f>
        <v/>
      </c>
      <c r="F18" s="104"/>
      <c r="G18" s="17"/>
      <c r="H18" s="103" t="s">
        <v>13</v>
      </c>
    </row>
    <row r="19" spans="1:22" ht="36" customHeight="1" x14ac:dyDescent="0.3">
      <c r="A19" s="106" t="str">
        <f>IF(ISBLANK(Distance Control_16),"",Control_16 Distance)</f>
        <v/>
      </c>
      <c r="B19" s="107" t="str">
        <f>Control_16 Open_time</f>
        <v/>
      </c>
      <c r="C19" s="107" t="str">
        <f>Control_16 Close_time</f>
        <v/>
      </c>
      <c r="D19" s="91" t="str">
        <f>IF(ISBLANK(Locale Control_16),"",Locale Control_16)</f>
        <v/>
      </c>
      <c r="E19" s="63" t="str">
        <f>IF(ISBLANK(Control_16 Establishment_2),"",Control_16 Establishment_2)</f>
        <v/>
      </c>
      <c r="F19" s="18"/>
      <c r="G19" s="17"/>
      <c r="H19" s="103" t="s">
        <v>13</v>
      </c>
    </row>
    <row r="20" spans="1:22" ht="36" customHeight="1" thickBot="1" x14ac:dyDescent="0.4">
      <c r="A20" s="64"/>
      <c r="B20" s="65" t="str">
        <f>Control_16 Open_time</f>
        <v/>
      </c>
      <c r="C20" s="65" t="str">
        <f>Control_16 Close_time</f>
        <v/>
      </c>
      <c r="D20" s="66"/>
      <c r="E20" s="67" t="str">
        <f>IF(ISBLANK(Control_16 Establishment_3),"",Control_16 Establishment_3)</f>
        <v/>
      </c>
      <c r="F20" s="20"/>
      <c r="G20" s="19"/>
      <c r="H20" s="103" t="s">
        <v>13</v>
      </c>
      <c r="K20" s="118"/>
    </row>
    <row r="21" spans="1:22" ht="36" customHeight="1" x14ac:dyDescent="0.35">
      <c r="A21" s="60"/>
      <c r="B21" s="61" t="str">
        <f>Control_17 Open_time</f>
        <v/>
      </c>
      <c r="C21" s="61" t="str">
        <f>Control_17 Close_time</f>
        <v/>
      </c>
      <c r="D21" s="68"/>
      <c r="E21" s="63" t="str">
        <f>IF(ISBLANK(Control_17 Establishment_1),"",Control_17 Establishment_1)</f>
        <v/>
      </c>
      <c r="F21" s="104"/>
      <c r="G21" s="17"/>
      <c r="H21" s="103" t="s">
        <v>13</v>
      </c>
      <c r="J21" s="198"/>
      <c r="K21" s="198"/>
      <c r="V21" s="113"/>
    </row>
    <row r="22" spans="1:22" ht="36" customHeight="1" x14ac:dyDescent="0.35">
      <c r="A22" s="106" t="str">
        <f>IF(ISBLANK(Distance Control_17),"",Control_17 Distance)</f>
        <v/>
      </c>
      <c r="B22" s="107" t="str">
        <f>Control_17 Open_time</f>
        <v/>
      </c>
      <c r="C22" s="107" t="str">
        <f>Control_17 Close_time</f>
        <v/>
      </c>
      <c r="D22" s="91" t="str">
        <f>IF(ISBLANK(Locale Control_17),"",Locale Control_17)</f>
        <v/>
      </c>
      <c r="E22" s="63" t="str">
        <f>IF(ISBLANK(Control_17 Establishment_2),"",Control_17 Establishment_2)</f>
        <v/>
      </c>
      <c r="F22" s="108"/>
      <c r="G22" s="17"/>
      <c r="H22" s="103" t="s">
        <v>13</v>
      </c>
      <c r="J22" s="198"/>
      <c r="K22" s="198"/>
    </row>
    <row r="23" spans="1:22" ht="36" customHeight="1" thickBot="1" x14ac:dyDescent="0.4">
      <c r="A23" s="64"/>
      <c r="B23" s="65" t="str">
        <f>Control_17 Open_time</f>
        <v/>
      </c>
      <c r="C23" s="65" t="str">
        <f>Control_17 Close_time</f>
        <v/>
      </c>
      <c r="D23" s="66"/>
      <c r="E23" s="67" t="str">
        <f>IF(ISBLANK(Control_17 Establishment_3),"",Control_17 Establishment_3)</f>
        <v/>
      </c>
      <c r="F23" s="20"/>
      <c r="G23" s="19"/>
      <c r="H23" s="103" t="s">
        <v>13</v>
      </c>
      <c r="J23" s="198"/>
      <c r="K23" s="198"/>
      <c r="V23" s="113"/>
    </row>
    <row r="24" spans="1:22" ht="36" customHeight="1" x14ac:dyDescent="0.35">
      <c r="A24" s="60"/>
      <c r="B24" s="61" t="str">
        <f>Control_18 Open_time</f>
        <v/>
      </c>
      <c r="C24" s="61" t="str">
        <f>Control_18 Close_time</f>
        <v/>
      </c>
      <c r="D24" s="68"/>
      <c r="E24" s="63" t="str">
        <f>IF(ISBLANK(Control_18 Establishment_1),"",Control_18 Establishment_1)</f>
        <v/>
      </c>
      <c r="F24" s="104"/>
      <c r="G24" s="17"/>
      <c r="H24" s="103" t="s">
        <v>13</v>
      </c>
      <c r="J24" s="181"/>
      <c r="K24" s="181"/>
    </row>
    <row r="25" spans="1:22" ht="36" customHeight="1" x14ac:dyDescent="0.35">
      <c r="A25" s="106" t="str">
        <f>IF(ISBLANK(Distance Control_18),"",Control_18 Distance)</f>
        <v/>
      </c>
      <c r="B25" s="107" t="str">
        <f>Control_18 Open_time</f>
        <v/>
      </c>
      <c r="C25" s="107" t="str">
        <f>Control_18 Close_time</f>
        <v/>
      </c>
      <c r="D25" s="91" t="str">
        <f>IF(ISBLANK(Locale Control_18),"",Locale Control_18)</f>
        <v/>
      </c>
      <c r="E25" s="112" t="str">
        <f>IF(ISBLANK(Control_18 Establishment_2),"",Control_18 Establishment_2)</f>
        <v/>
      </c>
      <c r="F25" s="108"/>
      <c r="G25" s="17"/>
      <c r="H25" s="103" t="s">
        <v>13</v>
      </c>
      <c r="J25" s="181"/>
      <c r="K25" s="181"/>
      <c r="V25" s="113"/>
    </row>
    <row r="26" spans="1:22" ht="36" customHeight="1" thickBot="1" x14ac:dyDescent="0.4">
      <c r="A26" s="64"/>
      <c r="B26" s="65" t="str">
        <f>Control_18 Open_time</f>
        <v/>
      </c>
      <c r="C26" s="65" t="str">
        <f>Control_18 Close_time</f>
        <v/>
      </c>
      <c r="D26" s="66"/>
      <c r="E26" s="67" t="str">
        <f>IF(ISBLANK(Control_18 Establishment_3),"",Control_18 Establishment_3)</f>
        <v/>
      </c>
      <c r="F26" s="20"/>
      <c r="G26" s="19"/>
      <c r="H26" s="103" t="s">
        <v>13</v>
      </c>
      <c r="O26" s="39"/>
      <c r="P26" s="38"/>
      <c r="Q26" s="38"/>
    </row>
    <row r="27" spans="1:22" ht="36" customHeight="1" x14ac:dyDescent="0.35">
      <c r="A27" s="60"/>
      <c r="B27" s="61" t="str">
        <f>Control_19 Open_time</f>
        <v/>
      </c>
      <c r="C27" s="61" t="str">
        <f>Control_19 Close_time</f>
        <v/>
      </c>
      <c r="D27" s="68"/>
      <c r="E27" s="63" t="str">
        <f>IF(ISBLANK(Control_19 Establishment_1),"",Control_19 Establishment_1)</f>
        <v/>
      </c>
      <c r="F27" s="104"/>
      <c r="G27" s="17"/>
      <c r="H27" s="103" t="s">
        <v>13</v>
      </c>
      <c r="O27" s="120"/>
      <c r="P27" s="176"/>
      <c r="Q27" s="176"/>
    </row>
    <row r="28" spans="1:22" ht="36" customHeight="1" x14ac:dyDescent="0.3">
      <c r="A28" s="106" t="str">
        <f>IF(ISBLANK(Distance Control_19),"",Control_19 Distance)</f>
        <v/>
      </c>
      <c r="B28" s="107" t="str">
        <f>Control_19 Open_time</f>
        <v/>
      </c>
      <c r="C28" s="107" t="str">
        <f>Control_19 Close_time</f>
        <v/>
      </c>
      <c r="D28" s="91" t="str">
        <f>IF(ISBLANK(Locale Control_19),"",Locale Control_19)</f>
        <v/>
      </c>
      <c r="E28" s="63" t="str">
        <f>IF(ISBLANK(Control_19 Establishment_2),"",Control_19 Establishment_2)</f>
        <v/>
      </c>
      <c r="F28" s="108"/>
      <c r="G28" s="17"/>
      <c r="H28" s="103" t="s">
        <v>13</v>
      </c>
      <c r="K28" s="178"/>
      <c r="L28" s="176"/>
      <c r="M28" s="121"/>
      <c r="N28" s="176"/>
      <c r="O28" s="176"/>
      <c r="P28" s="176"/>
      <c r="Q28" s="176"/>
      <c r="R28" s="120"/>
      <c r="S28" s="177"/>
      <c r="T28" s="177"/>
      <c r="U28" s="177"/>
      <c r="V28" s="177"/>
    </row>
    <row r="29" spans="1:22" ht="36" customHeight="1" thickBot="1" x14ac:dyDescent="0.4">
      <c r="A29" s="64"/>
      <c r="B29" s="65" t="str">
        <f>Control_19 Open_time</f>
        <v/>
      </c>
      <c r="C29" s="65" t="str">
        <f>Control_19 Close_time</f>
        <v/>
      </c>
      <c r="D29" s="66"/>
      <c r="E29" s="67" t="str">
        <f>IF(ISBLANK(Control_19 Establishment_3),"",Control_19 Establishment_3)</f>
        <v/>
      </c>
      <c r="F29" s="20"/>
      <c r="G29" s="19"/>
      <c r="H29" s="103" t="s">
        <v>13</v>
      </c>
      <c r="M29" s="183" t="s">
        <v>29</v>
      </c>
      <c r="N29" s="183"/>
      <c r="O29" s="183"/>
      <c r="P29" s="183"/>
      <c r="Q29" s="183"/>
      <c r="R29" s="183"/>
      <c r="S29" s="183"/>
      <c r="T29" s="183"/>
      <c r="U29" s="122"/>
    </row>
    <row r="30" spans="1:22" ht="36" customHeight="1" x14ac:dyDescent="0.35">
      <c r="A30" s="60"/>
      <c r="B30" s="61" t="str">
        <f>Control_20 Open_time</f>
        <v/>
      </c>
      <c r="C30" s="61" t="str">
        <f>Control_20 Close_time</f>
        <v/>
      </c>
      <c r="D30" s="68"/>
      <c r="E30" s="63" t="str">
        <f>IF(ISBLANK(Control_20 Establishment_1),"",Control_20 Establishment_1)</f>
        <v/>
      </c>
      <c r="F30" s="104"/>
      <c r="G30" s="17"/>
      <c r="H30" s="103" t="s">
        <v>13</v>
      </c>
      <c r="M30" s="33"/>
      <c r="N30" s="41"/>
      <c r="O30" s="41"/>
      <c r="P30" s="42"/>
      <c r="Q30" s="41"/>
      <c r="R30" s="41"/>
      <c r="S30" s="41"/>
      <c r="T30" s="42"/>
      <c r="U30" s="43"/>
    </row>
    <row r="31" spans="1:22" ht="36" customHeight="1" x14ac:dyDescent="0.3">
      <c r="A31" s="106" t="str">
        <f>IF(ISBLANK(Distance Control_20),"",Control_20 Distance)</f>
        <v/>
      </c>
      <c r="B31" s="107" t="str">
        <f>Control_20 Open_time</f>
        <v/>
      </c>
      <c r="C31" s="107" t="str">
        <f>Control_20 Close_time</f>
        <v/>
      </c>
      <c r="D31" s="91" t="str">
        <f>IF(ISBLANK(Locale Control_20),"",Locale Control_20)</f>
        <v/>
      </c>
      <c r="E31" s="63" t="str">
        <f>IF(ISBLANK(Control_20 Establishment_2),"",Control_20 Establishment_2)</f>
        <v/>
      </c>
      <c r="F31" s="123"/>
      <c r="G31" s="17"/>
      <c r="H31" s="103" t="s">
        <v>13</v>
      </c>
      <c r="M31" s="34"/>
      <c r="N31" s="43"/>
      <c r="O31" s="43"/>
      <c r="P31" s="44"/>
      <c r="Q31" s="43"/>
      <c r="R31" s="43"/>
      <c r="S31" s="43"/>
      <c r="T31" s="44"/>
      <c r="U31" s="43"/>
    </row>
    <row r="32" spans="1:22" ht="36" customHeight="1" thickBot="1" x14ac:dyDescent="0.4">
      <c r="A32" s="64"/>
      <c r="B32" s="65" t="str">
        <f>Control_20 Open_time</f>
        <v/>
      </c>
      <c r="C32" s="65" t="str">
        <f>Control_20 Close_time</f>
        <v/>
      </c>
      <c r="D32" s="66"/>
      <c r="E32" s="67" t="str">
        <f>IF(ISBLANK(Control_20 Establishment_3),"",Control_20 Establishment_3)</f>
        <v/>
      </c>
      <c r="F32" s="124"/>
      <c r="G32" s="19"/>
      <c r="H32" s="103" t="s">
        <v>13</v>
      </c>
      <c r="M32" s="125"/>
      <c r="N32" s="40"/>
      <c r="O32" s="40"/>
      <c r="P32" s="45"/>
      <c r="Q32" s="40"/>
      <c r="R32" s="40"/>
      <c r="S32" s="40"/>
      <c r="T32" s="45"/>
      <c r="U32" s="43"/>
    </row>
    <row r="33" spans="1:22" ht="36" customHeight="1" x14ac:dyDescent="0.35">
      <c r="A33" s="195" t="s">
        <v>95</v>
      </c>
      <c r="B33" s="195"/>
      <c r="C33" s="195"/>
      <c r="D33" s="195"/>
      <c r="E33" s="195"/>
      <c r="F33" s="195"/>
      <c r="G33" s="195"/>
      <c r="H33" s="126"/>
      <c r="I33" s="126"/>
      <c r="N33" s="174"/>
      <c r="O33" s="174"/>
      <c r="P33" s="174"/>
      <c r="Q33" s="174"/>
      <c r="R33" s="174"/>
      <c r="S33" s="174"/>
      <c r="T33" s="174"/>
      <c r="U33" s="174"/>
      <c r="V33" s="127"/>
    </row>
    <row r="34" spans="1:22" ht="36" customHeight="1" x14ac:dyDescent="0.35">
      <c r="A34"/>
      <c r="H34" s="113"/>
      <c r="O34" s="83"/>
      <c r="P34" s="83"/>
      <c r="Q34" s="83"/>
      <c r="R34" s="128"/>
    </row>
  </sheetData>
  <mergeCells count="24">
    <mergeCell ref="M6:T6"/>
    <mergeCell ref="L7:Q7"/>
    <mergeCell ref="A1:G1"/>
    <mergeCell ref="K2:U2"/>
    <mergeCell ref="N3:S3"/>
    <mergeCell ref="M4:T4"/>
    <mergeCell ref="N5:O5"/>
    <mergeCell ref="R5:U5"/>
    <mergeCell ref="T7:U7"/>
    <mergeCell ref="J10:U10"/>
    <mergeCell ref="A33:G33"/>
    <mergeCell ref="N33:U33"/>
    <mergeCell ref="K28:L28"/>
    <mergeCell ref="N28:O28"/>
    <mergeCell ref="P28:Q28"/>
    <mergeCell ref="S28:T28"/>
    <mergeCell ref="U28:V28"/>
    <mergeCell ref="M29:T29"/>
    <mergeCell ref="J24:K24"/>
    <mergeCell ref="J25:K25"/>
    <mergeCell ref="P27:Q27"/>
    <mergeCell ref="J22:K22"/>
    <mergeCell ref="J23:K23"/>
    <mergeCell ref="J21:K21"/>
  </mergeCells>
  <phoneticPr fontId="23" type="noConversion"/>
  <pageMargins left="0.2" right="0.19375000000000001" top="0.2" bottom="0.2" header="0.51" footer="0.51"/>
  <pageSetup scale="45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56"/>
  <sheetViews>
    <sheetView topLeftCell="A29" zoomScale="125" zoomScaleNormal="125" zoomScalePageLayoutView="125" workbookViewId="0">
      <selection activeCell="D82" sqref="A1:D82"/>
    </sheetView>
  </sheetViews>
  <sheetFormatPr defaultColWidth="9.109375" defaultRowHeight="14.4" x14ac:dyDescent="0.3"/>
  <cols>
    <col min="1" max="1" width="6.109375" style="99" customWidth="1"/>
    <col min="2" max="2" width="3.77734375" style="99" customWidth="1"/>
    <col min="3" max="3" width="43.5546875" style="99" customWidth="1"/>
    <col min="4" max="4" width="6.21875" style="99" customWidth="1"/>
    <col min="5" max="16384" width="9.109375" style="99"/>
  </cols>
  <sheetData>
    <row r="1" spans="1:4" ht="42" customHeight="1" x14ac:dyDescent="0.3">
      <c r="A1" s="95" t="s">
        <v>75</v>
      </c>
      <c r="B1" s="96" t="s">
        <v>67</v>
      </c>
      <c r="C1" s="158" t="s">
        <v>76</v>
      </c>
      <c r="D1" s="96" t="s">
        <v>77</v>
      </c>
    </row>
    <row r="2" spans="1:4" ht="26.4" x14ac:dyDescent="0.3">
      <c r="A2" s="151">
        <v>0</v>
      </c>
      <c r="B2" s="159"/>
      <c r="C2" s="160" t="s">
        <v>183</v>
      </c>
      <c r="D2" s="97"/>
    </row>
    <row r="3" spans="1:4" ht="15.6" x14ac:dyDescent="0.3">
      <c r="A3" s="154">
        <v>0</v>
      </c>
      <c r="B3" s="155" t="s">
        <v>69</v>
      </c>
      <c r="C3" s="155" t="s">
        <v>107</v>
      </c>
      <c r="D3" s="148">
        <f>A4-A3</f>
        <v>0.26</v>
      </c>
    </row>
    <row r="4" spans="1:4" ht="15.6" x14ac:dyDescent="0.3">
      <c r="A4" s="156">
        <v>0.26</v>
      </c>
      <c r="B4" s="156" t="s">
        <v>69</v>
      </c>
      <c r="C4" s="156" t="s">
        <v>108</v>
      </c>
      <c r="D4" s="148">
        <f t="shared" ref="D4:D68" si="0">A5-A4</f>
        <v>0.21999999999999997</v>
      </c>
    </row>
    <row r="5" spans="1:4" ht="15.6" x14ac:dyDescent="0.3">
      <c r="A5" s="157">
        <v>0.48</v>
      </c>
      <c r="B5" s="157" t="s">
        <v>69</v>
      </c>
      <c r="C5" s="157" t="s">
        <v>110</v>
      </c>
      <c r="D5" s="148">
        <f t="shared" si="0"/>
        <v>8.9999999999999969E-2</v>
      </c>
    </row>
    <row r="6" spans="1:4" ht="15.6" x14ac:dyDescent="0.3">
      <c r="A6" s="156">
        <v>0.56999999999999995</v>
      </c>
      <c r="B6" s="156" t="s">
        <v>68</v>
      </c>
      <c r="C6" s="156" t="s">
        <v>111</v>
      </c>
      <c r="D6" s="148">
        <f t="shared" si="0"/>
        <v>0.51000000000000012</v>
      </c>
    </row>
    <row r="7" spans="1:4" ht="15.6" x14ac:dyDescent="0.3">
      <c r="A7" s="157">
        <v>1.08</v>
      </c>
      <c r="B7" s="157" t="s">
        <v>68</v>
      </c>
      <c r="C7" s="157" t="s">
        <v>112</v>
      </c>
      <c r="D7" s="148">
        <f>A8-A7</f>
        <v>0.72</v>
      </c>
    </row>
    <row r="8" spans="1:4" ht="15.6" x14ac:dyDescent="0.3">
      <c r="A8" s="157">
        <v>1.8</v>
      </c>
      <c r="B8" s="157" t="s">
        <v>109</v>
      </c>
      <c r="C8" s="157" t="s">
        <v>113</v>
      </c>
      <c r="D8" s="148">
        <f>A9-A8</f>
        <v>0.24999999999999978</v>
      </c>
    </row>
    <row r="9" spans="1:4" ht="15.6" x14ac:dyDescent="0.3">
      <c r="A9" s="156">
        <v>2.0499999999999998</v>
      </c>
      <c r="B9" s="156" t="s">
        <v>69</v>
      </c>
      <c r="C9" s="156" t="s">
        <v>114</v>
      </c>
      <c r="D9" s="148">
        <f t="shared" si="0"/>
        <v>0.15000000000000036</v>
      </c>
    </row>
    <row r="10" spans="1:4" ht="27" x14ac:dyDescent="0.3">
      <c r="A10" s="97">
        <v>2.2000000000000002</v>
      </c>
      <c r="B10" s="97"/>
      <c r="C10" s="152" t="s">
        <v>115</v>
      </c>
      <c r="D10" s="97">
        <f t="shared" si="0"/>
        <v>0.54</v>
      </c>
    </row>
    <row r="11" spans="1:4" ht="15.6" x14ac:dyDescent="0.3">
      <c r="A11" s="156">
        <v>2.74</v>
      </c>
      <c r="B11" s="156" t="s">
        <v>68</v>
      </c>
      <c r="C11" s="156" t="s">
        <v>144</v>
      </c>
      <c r="D11" s="148">
        <f t="shared" si="0"/>
        <v>0.42999999999999972</v>
      </c>
    </row>
    <row r="12" spans="1:4" ht="15.6" x14ac:dyDescent="0.3">
      <c r="A12" s="157">
        <v>3.17</v>
      </c>
      <c r="B12" s="157" t="s">
        <v>69</v>
      </c>
      <c r="C12" s="157" t="s">
        <v>118</v>
      </c>
      <c r="D12" s="148">
        <f t="shared" si="0"/>
        <v>0.48</v>
      </c>
    </row>
    <row r="13" spans="1:4" ht="15.6" x14ac:dyDescent="0.3">
      <c r="A13" s="156">
        <v>3.65</v>
      </c>
      <c r="B13" s="156" t="s">
        <v>69</v>
      </c>
      <c r="C13" s="156" t="s">
        <v>119</v>
      </c>
      <c r="D13" s="148">
        <f t="shared" si="0"/>
        <v>0.7799999999999998</v>
      </c>
    </row>
    <row r="14" spans="1:4" ht="15.6" x14ac:dyDescent="0.3">
      <c r="A14" s="157">
        <v>4.43</v>
      </c>
      <c r="B14" s="157" t="s">
        <v>69</v>
      </c>
      <c r="C14" s="157" t="s">
        <v>119</v>
      </c>
      <c r="D14" s="148">
        <f t="shared" si="0"/>
        <v>2.79</v>
      </c>
    </row>
    <row r="15" spans="1:4" ht="15.6" x14ac:dyDescent="0.3">
      <c r="A15" s="156">
        <v>7.22</v>
      </c>
      <c r="B15" s="156" t="s">
        <v>68</v>
      </c>
      <c r="C15" s="156" t="s">
        <v>145</v>
      </c>
      <c r="D15" s="148">
        <f t="shared" si="0"/>
        <v>1.0000000000000675E-2</v>
      </c>
    </row>
    <row r="16" spans="1:4" ht="15.6" x14ac:dyDescent="0.3">
      <c r="A16" s="157">
        <v>7.23</v>
      </c>
      <c r="B16" s="157" t="s">
        <v>68</v>
      </c>
      <c r="C16" s="157" t="s">
        <v>146</v>
      </c>
      <c r="D16" s="148">
        <f t="shared" si="0"/>
        <v>4.9999999999999822E-2</v>
      </c>
    </row>
    <row r="17" spans="1:4" ht="15.6" x14ac:dyDescent="0.3">
      <c r="A17" s="156">
        <v>7.28</v>
      </c>
      <c r="B17" s="156" t="s">
        <v>69</v>
      </c>
      <c r="C17" s="156" t="s">
        <v>147</v>
      </c>
      <c r="D17" s="148">
        <f t="shared" si="0"/>
        <v>4.9999999999999822E-2</v>
      </c>
    </row>
    <row r="18" spans="1:4" ht="15.6" x14ac:dyDescent="0.3">
      <c r="A18" s="157">
        <v>7.33</v>
      </c>
      <c r="B18" s="157" t="s">
        <v>68</v>
      </c>
      <c r="C18" s="157" t="s">
        <v>148</v>
      </c>
      <c r="D18" s="148">
        <f t="shared" si="0"/>
        <v>4.0000000000000036E-2</v>
      </c>
    </row>
    <row r="19" spans="1:4" x14ac:dyDescent="0.3">
      <c r="A19" s="97">
        <v>7.37</v>
      </c>
      <c r="B19" s="97"/>
      <c r="C19" s="97" t="s">
        <v>120</v>
      </c>
      <c r="D19" s="97">
        <f t="shared" si="0"/>
        <v>1.9999999999999574E-2</v>
      </c>
    </row>
    <row r="20" spans="1:4" ht="15.6" x14ac:dyDescent="0.3">
      <c r="A20" s="157">
        <v>7.39</v>
      </c>
      <c r="B20" s="157" t="s">
        <v>116</v>
      </c>
      <c r="C20" s="157" t="s">
        <v>121</v>
      </c>
      <c r="D20" s="148">
        <f t="shared" si="0"/>
        <v>3.0000000000000249E-2</v>
      </c>
    </row>
    <row r="21" spans="1:4" ht="15.6" x14ac:dyDescent="0.3">
      <c r="A21" s="156">
        <v>7.42</v>
      </c>
      <c r="B21" s="156" t="s">
        <v>68</v>
      </c>
      <c r="C21" s="156" t="s">
        <v>149</v>
      </c>
      <c r="D21" s="148">
        <f t="shared" si="0"/>
        <v>9.9999999999999645E-2</v>
      </c>
    </row>
    <row r="22" spans="1:4" ht="15.6" x14ac:dyDescent="0.3">
      <c r="A22" s="157">
        <v>7.52</v>
      </c>
      <c r="B22" s="157" t="s">
        <v>69</v>
      </c>
      <c r="C22" s="157" t="s">
        <v>150</v>
      </c>
      <c r="D22" s="148">
        <f t="shared" si="0"/>
        <v>3.0000000000000249E-2</v>
      </c>
    </row>
    <row r="23" spans="1:4" ht="15.6" x14ac:dyDescent="0.3">
      <c r="A23" s="156">
        <v>7.55</v>
      </c>
      <c r="B23" s="156" t="s">
        <v>68</v>
      </c>
      <c r="C23" s="156" t="s">
        <v>151</v>
      </c>
      <c r="D23" s="148">
        <f t="shared" si="0"/>
        <v>0.20000000000000018</v>
      </c>
    </row>
    <row r="24" spans="1:4" ht="15.6" x14ac:dyDescent="0.3">
      <c r="A24" s="157">
        <v>7.75</v>
      </c>
      <c r="B24" s="157" t="s">
        <v>69</v>
      </c>
      <c r="C24" s="157" t="s">
        <v>152</v>
      </c>
      <c r="D24" s="148">
        <f t="shared" si="0"/>
        <v>0.23000000000000043</v>
      </c>
    </row>
    <row r="25" spans="1:4" ht="15.6" x14ac:dyDescent="0.3">
      <c r="A25" s="156">
        <v>7.98</v>
      </c>
      <c r="B25" s="156" t="s">
        <v>109</v>
      </c>
      <c r="C25" s="156" t="s">
        <v>122</v>
      </c>
      <c r="D25" s="148">
        <f t="shared" si="0"/>
        <v>0.28999999999999915</v>
      </c>
    </row>
    <row r="26" spans="1:4" ht="15.6" x14ac:dyDescent="0.3">
      <c r="A26" s="157">
        <v>8.27</v>
      </c>
      <c r="B26" s="157" t="s">
        <v>68</v>
      </c>
      <c r="C26" s="157" t="s">
        <v>123</v>
      </c>
      <c r="D26" s="148">
        <f t="shared" si="0"/>
        <v>0.40000000000000036</v>
      </c>
    </row>
    <row r="27" spans="1:4" ht="15.6" x14ac:dyDescent="0.3">
      <c r="A27" s="156">
        <v>8.67</v>
      </c>
      <c r="B27" s="156" t="s">
        <v>109</v>
      </c>
      <c r="C27" s="156" t="s">
        <v>124</v>
      </c>
      <c r="D27" s="148">
        <f t="shared" si="0"/>
        <v>2.2400000000000002</v>
      </c>
    </row>
    <row r="28" spans="1:4" x14ac:dyDescent="0.3">
      <c r="A28" s="157">
        <v>10.91</v>
      </c>
      <c r="B28" s="157" t="s">
        <v>109</v>
      </c>
      <c r="C28" s="157" t="s">
        <v>125</v>
      </c>
      <c r="D28" s="153">
        <f t="shared" si="0"/>
        <v>9.9999999999997868E-3</v>
      </c>
    </row>
    <row r="29" spans="1:4" ht="15.6" x14ac:dyDescent="0.3">
      <c r="A29" s="156">
        <v>10.92</v>
      </c>
      <c r="B29" s="156" t="s">
        <v>69</v>
      </c>
      <c r="C29" s="156" t="s">
        <v>153</v>
      </c>
      <c r="D29" s="148">
        <f t="shared" si="0"/>
        <v>5.0000000000000711E-2</v>
      </c>
    </row>
    <row r="30" spans="1:4" ht="15.6" x14ac:dyDescent="0.3">
      <c r="A30" s="157">
        <v>10.97</v>
      </c>
      <c r="B30" s="157" t="s">
        <v>68</v>
      </c>
      <c r="C30" s="157" t="s">
        <v>126</v>
      </c>
      <c r="D30" s="148">
        <f t="shared" si="0"/>
        <v>1.0199999999999996</v>
      </c>
    </row>
    <row r="31" spans="1:4" ht="15.6" x14ac:dyDescent="0.3">
      <c r="A31" s="156">
        <v>11.99</v>
      </c>
      <c r="B31" s="156" t="s">
        <v>68</v>
      </c>
      <c r="C31" s="156" t="s">
        <v>154</v>
      </c>
      <c r="D31" s="148">
        <f t="shared" si="0"/>
        <v>0.24000000000000021</v>
      </c>
    </row>
    <row r="32" spans="1:4" ht="15.6" x14ac:dyDescent="0.3">
      <c r="A32" s="157">
        <v>12.23</v>
      </c>
      <c r="B32" s="157" t="s">
        <v>109</v>
      </c>
      <c r="C32" s="157" t="s">
        <v>127</v>
      </c>
      <c r="D32" s="148">
        <f t="shared" si="0"/>
        <v>0.26999999999999957</v>
      </c>
    </row>
    <row r="33" spans="1:4" ht="15.6" x14ac:dyDescent="0.3">
      <c r="A33" s="156">
        <v>12.5</v>
      </c>
      <c r="B33" s="156" t="s">
        <v>69</v>
      </c>
      <c r="C33" s="156" t="s">
        <v>128</v>
      </c>
      <c r="D33" s="148">
        <f t="shared" si="0"/>
        <v>6.7199999999999989</v>
      </c>
    </row>
    <row r="34" spans="1:4" ht="15.6" x14ac:dyDescent="0.3">
      <c r="A34" s="157">
        <v>19.22</v>
      </c>
      <c r="B34" s="157" t="s">
        <v>68</v>
      </c>
      <c r="C34" s="157" t="s">
        <v>156</v>
      </c>
      <c r="D34" s="148">
        <f t="shared" si="0"/>
        <v>1.240000000000002</v>
      </c>
    </row>
    <row r="35" spans="1:4" x14ac:dyDescent="0.3">
      <c r="A35" s="159">
        <v>20.46</v>
      </c>
      <c r="B35" s="159"/>
      <c r="C35" s="159" t="s">
        <v>155</v>
      </c>
      <c r="D35" s="159">
        <f t="shared" si="0"/>
        <v>8.3299999999999983</v>
      </c>
    </row>
    <row r="36" spans="1:4" ht="15.6" x14ac:dyDescent="0.3">
      <c r="A36" s="157">
        <v>28.79</v>
      </c>
      <c r="B36" s="157" t="s">
        <v>68</v>
      </c>
      <c r="C36" s="157" t="s">
        <v>157</v>
      </c>
      <c r="D36" s="148">
        <f t="shared" si="0"/>
        <v>4.6000000000000014</v>
      </c>
    </row>
    <row r="37" spans="1:4" ht="15.6" x14ac:dyDescent="0.3">
      <c r="A37" s="156">
        <v>33.39</v>
      </c>
      <c r="B37" s="156" t="s">
        <v>68</v>
      </c>
      <c r="C37" s="156" t="s">
        <v>129</v>
      </c>
      <c r="D37" s="148">
        <f t="shared" si="0"/>
        <v>0.10999999999999943</v>
      </c>
    </row>
    <row r="38" spans="1:4" ht="15.6" x14ac:dyDescent="0.3">
      <c r="A38" s="157">
        <v>33.5</v>
      </c>
      <c r="B38" s="157" t="s">
        <v>69</v>
      </c>
      <c r="C38" s="157" t="s">
        <v>130</v>
      </c>
      <c r="D38" s="148">
        <f t="shared" si="0"/>
        <v>9.9999999999980105E-3</v>
      </c>
    </row>
    <row r="39" spans="1:4" ht="15.6" x14ac:dyDescent="0.3">
      <c r="A39" s="156">
        <v>33.51</v>
      </c>
      <c r="B39" s="156" t="s">
        <v>69</v>
      </c>
      <c r="C39" s="156" t="s">
        <v>131</v>
      </c>
      <c r="D39" s="148">
        <f t="shared" si="0"/>
        <v>0.77000000000000313</v>
      </c>
    </row>
    <row r="40" spans="1:4" ht="15.6" x14ac:dyDescent="0.3">
      <c r="A40" s="157">
        <v>34.28</v>
      </c>
      <c r="B40" s="157" t="s">
        <v>68</v>
      </c>
      <c r="C40" s="157" t="s">
        <v>132</v>
      </c>
      <c r="D40" s="148">
        <f t="shared" si="0"/>
        <v>0.21999999999999886</v>
      </c>
    </row>
    <row r="41" spans="1:4" ht="15.6" x14ac:dyDescent="0.3">
      <c r="A41" s="156">
        <v>34.5</v>
      </c>
      <c r="B41" s="156" t="s">
        <v>68</v>
      </c>
      <c r="C41" s="156" t="s">
        <v>158</v>
      </c>
      <c r="D41" s="148">
        <f t="shared" si="0"/>
        <v>2.0000000000003126E-2</v>
      </c>
    </row>
    <row r="42" spans="1:4" x14ac:dyDescent="0.3">
      <c r="A42" s="159">
        <v>34.520000000000003</v>
      </c>
      <c r="B42" s="159"/>
      <c r="C42" s="159" t="s">
        <v>135</v>
      </c>
      <c r="D42" s="159">
        <f>A43-A42</f>
        <v>2.9999999999994031E-2</v>
      </c>
    </row>
    <row r="43" spans="1:4" ht="15.6" x14ac:dyDescent="0.3">
      <c r="A43" s="156">
        <v>34.549999999999997</v>
      </c>
      <c r="B43" s="156" t="s">
        <v>116</v>
      </c>
      <c r="C43" s="156" t="s">
        <v>159</v>
      </c>
      <c r="D43" s="148">
        <f t="shared" si="0"/>
        <v>0.24000000000000199</v>
      </c>
    </row>
    <row r="44" spans="1:4" ht="15.6" x14ac:dyDescent="0.3">
      <c r="A44" s="157">
        <v>34.79</v>
      </c>
      <c r="B44" s="157" t="s">
        <v>69</v>
      </c>
      <c r="C44" s="157" t="s">
        <v>133</v>
      </c>
      <c r="D44" s="148">
        <f t="shared" si="0"/>
        <v>0.17000000000000171</v>
      </c>
    </row>
    <row r="45" spans="1:4" ht="15.6" x14ac:dyDescent="0.3">
      <c r="A45" s="156">
        <v>34.96</v>
      </c>
      <c r="B45" s="156" t="s">
        <v>68</v>
      </c>
      <c r="C45" s="156" t="s">
        <v>160</v>
      </c>
      <c r="D45" s="148">
        <f t="shared" si="0"/>
        <v>0.60000000000000142</v>
      </c>
    </row>
    <row r="46" spans="1:4" ht="15.6" x14ac:dyDescent="0.3">
      <c r="A46" s="157">
        <v>35.56</v>
      </c>
      <c r="B46" s="157" t="s">
        <v>68</v>
      </c>
      <c r="C46" s="157" t="s">
        <v>161</v>
      </c>
      <c r="D46" s="148">
        <f t="shared" si="0"/>
        <v>0.40999999999999659</v>
      </c>
    </row>
    <row r="47" spans="1:4" ht="15.6" x14ac:dyDescent="0.3">
      <c r="A47" s="156">
        <v>35.97</v>
      </c>
      <c r="B47" s="156" t="s">
        <v>69</v>
      </c>
      <c r="C47" s="156" t="s">
        <v>134</v>
      </c>
      <c r="D47" s="148">
        <f t="shared" si="0"/>
        <v>9.0000000000003411E-2</v>
      </c>
    </row>
    <row r="48" spans="1:4" ht="15.6" x14ac:dyDescent="0.3">
      <c r="A48" s="157">
        <v>36.06</v>
      </c>
      <c r="B48" s="157" t="s">
        <v>68</v>
      </c>
      <c r="C48" s="157" t="s">
        <v>136</v>
      </c>
      <c r="D48" s="148">
        <f t="shared" si="0"/>
        <v>0.10999999999999943</v>
      </c>
    </row>
    <row r="49" spans="1:4" ht="15.6" x14ac:dyDescent="0.3">
      <c r="A49" s="156">
        <v>36.17</v>
      </c>
      <c r="B49" s="156" t="s">
        <v>69</v>
      </c>
      <c r="C49" s="156" t="s">
        <v>162</v>
      </c>
      <c r="D49" s="148">
        <f t="shared" si="0"/>
        <v>4.9999999999997158E-2</v>
      </c>
    </row>
    <row r="50" spans="1:4" ht="15.6" x14ac:dyDescent="0.3">
      <c r="A50" s="157">
        <v>36.22</v>
      </c>
      <c r="B50" s="157" t="s">
        <v>69</v>
      </c>
      <c r="C50" s="157" t="s">
        <v>137</v>
      </c>
      <c r="D50" s="148">
        <f t="shared" si="0"/>
        <v>0.28999999999999915</v>
      </c>
    </row>
    <row r="51" spans="1:4" ht="15.6" x14ac:dyDescent="0.3">
      <c r="A51" s="156">
        <v>36.51</v>
      </c>
      <c r="B51" s="156" t="s">
        <v>69</v>
      </c>
      <c r="C51" s="156" t="s">
        <v>163</v>
      </c>
      <c r="D51" s="148">
        <f t="shared" si="0"/>
        <v>4.1400000000000006</v>
      </c>
    </row>
    <row r="52" spans="1:4" ht="15.6" x14ac:dyDescent="0.3">
      <c r="A52" s="157">
        <v>40.65</v>
      </c>
      <c r="B52" s="157" t="s">
        <v>69</v>
      </c>
      <c r="C52" s="157" t="s">
        <v>164</v>
      </c>
      <c r="D52" s="148">
        <f t="shared" si="0"/>
        <v>0.14999999999999858</v>
      </c>
    </row>
    <row r="53" spans="1:4" ht="15.6" x14ac:dyDescent="0.3">
      <c r="A53" s="156">
        <v>40.799999999999997</v>
      </c>
      <c r="B53" s="156" t="s">
        <v>68</v>
      </c>
      <c r="C53" s="156" t="s">
        <v>165</v>
      </c>
      <c r="D53" s="148">
        <f t="shared" si="0"/>
        <v>0.27000000000000313</v>
      </c>
    </row>
    <row r="54" spans="1:4" ht="15.6" x14ac:dyDescent="0.3">
      <c r="A54" s="157">
        <v>41.07</v>
      </c>
      <c r="B54" s="157" t="s">
        <v>68</v>
      </c>
      <c r="C54" s="157" t="s">
        <v>166</v>
      </c>
      <c r="D54" s="148">
        <f t="shared" si="0"/>
        <v>6.4200000000000017</v>
      </c>
    </row>
    <row r="55" spans="1:4" ht="15.6" x14ac:dyDescent="0.3">
      <c r="A55" s="156">
        <v>47.49</v>
      </c>
      <c r="B55" s="156" t="s">
        <v>109</v>
      </c>
      <c r="C55" s="156" t="s">
        <v>167</v>
      </c>
      <c r="D55" s="148">
        <f t="shared" si="0"/>
        <v>0.90999999999999659</v>
      </c>
    </row>
    <row r="56" spans="1:4" ht="15.6" x14ac:dyDescent="0.3">
      <c r="A56" s="157">
        <v>48.4</v>
      </c>
      <c r="B56" s="157" t="s">
        <v>68</v>
      </c>
      <c r="C56" s="157" t="s">
        <v>168</v>
      </c>
      <c r="D56" s="148">
        <f t="shared" si="0"/>
        <v>0.37000000000000455</v>
      </c>
    </row>
    <row r="57" spans="1:4" ht="15.6" x14ac:dyDescent="0.3">
      <c r="A57" s="156">
        <v>48.77</v>
      </c>
      <c r="B57" s="156" t="s">
        <v>69</v>
      </c>
      <c r="C57" s="156" t="s">
        <v>169</v>
      </c>
      <c r="D57" s="148">
        <f t="shared" si="0"/>
        <v>2.279999999999994</v>
      </c>
    </row>
    <row r="58" spans="1:4" ht="15.6" x14ac:dyDescent="0.3">
      <c r="A58" s="157">
        <v>51.05</v>
      </c>
      <c r="B58" s="157" t="s">
        <v>69</v>
      </c>
      <c r="C58" s="157" t="s">
        <v>170</v>
      </c>
      <c r="D58" s="148">
        <f t="shared" si="0"/>
        <v>0.22000000000000597</v>
      </c>
    </row>
    <row r="59" spans="1:4" ht="15.6" x14ac:dyDescent="0.3">
      <c r="A59" s="156">
        <v>51.27</v>
      </c>
      <c r="B59" s="156" t="s">
        <v>68</v>
      </c>
      <c r="C59" s="156" t="s">
        <v>171</v>
      </c>
      <c r="D59" s="148">
        <f t="shared" si="0"/>
        <v>4.18</v>
      </c>
    </row>
    <row r="60" spans="1:4" x14ac:dyDescent="0.3">
      <c r="A60" s="157">
        <v>55.45</v>
      </c>
      <c r="B60" s="157" t="s">
        <v>69</v>
      </c>
      <c r="C60" s="157" t="s">
        <v>138</v>
      </c>
      <c r="D60" s="149">
        <f t="shared" si="0"/>
        <v>0.10999999999999943</v>
      </c>
    </row>
    <row r="61" spans="1:4" ht="15.6" x14ac:dyDescent="0.3">
      <c r="A61" s="156">
        <v>55.56</v>
      </c>
      <c r="B61" s="156" t="s">
        <v>68</v>
      </c>
      <c r="C61" s="156" t="s">
        <v>172</v>
      </c>
      <c r="D61" s="148">
        <f t="shared" si="0"/>
        <v>2.2100000000000009</v>
      </c>
    </row>
    <row r="62" spans="1:4" ht="15.6" x14ac:dyDescent="0.3">
      <c r="A62" s="157">
        <v>57.77</v>
      </c>
      <c r="B62" s="157" t="s">
        <v>68</v>
      </c>
      <c r="C62" s="157" t="s">
        <v>173</v>
      </c>
      <c r="D62" s="148">
        <f t="shared" si="0"/>
        <v>2.269999999999996</v>
      </c>
    </row>
    <row r="63" spans="1:4" ht="15.6" x14ac:dyDescent="0.3">
      <c r="A63" s="156">
        <v>60.04</v>
      </c>
      <c r="B63" s="156" t="s">
        <v>68</v>
      </c>
      <c r="C63" s="156" t="s">
        <v>119</v>
      </c>
      <c r="D63" s="148">
        <f t="shared" si="0"/>
        <v>0.81000000000000227</v>
      </c>
    </row>
    <row r="64" spans="1:4" ht="15.6" x14ac:dyDescent="0.3">
      <c r="A64" s="157">
        <v>60.85</v>
      </c>
      <c r="B64" s="157" t="s">
        <v>68</v>
      </c>
      <c r="C64" s="157" t="s">
        <v>174</v>
      </c>
      <c r="D64" s="148">
        <f t="shared" si="0"/>
        <v>0.47999999999999687</v>
      </c>
    </row>
    <row r="65" spans="1:4" ht="15.6" x14ac:dyDescent="0.3">
      <c r="A65" s="156">
        <v>61.33</v>
      </c>
      <c r="B65" s="156" t="s">
        <v>68</v>
      </c>
      <c r="C65" s="156" t="s">
        <v>175</v>
      </c>
      <c r="D65" s="148">
        <f t="shared" si="0"/>
        <v>0.39999999999999858</v>
      </c>
    </row>
    <row r="66" spans="1:4" ht="15.6" x14ac:dyDescent="0.3">
      <c r="A66" s="157">
        <v>61.73</v>
      </c>
      <c r="B66" s="157" t="s">
        <v>117</v>
      </c>
      <c r="C66" s="157" t="s">
        <v>176</v>
      </c>
      <c r="D66" s="148">
        <f t="shared" si="0"/>
        <v>0.82000000000000028</v>
      </c>
    </row>
    <row r="67" spans="1:4" ht="15.6" x14ac:dyDescent="0.3">
      <c r="A67" s="156">
        <v>62.55</v>
      </c>
      <c r="B67" s="156" t="s">
        <v>69</v>
      </c>
      <c r="C67" s="156" t="s">
        <v>177</v>
      </c>
      <c r="D67" s="148">
        <f t="shared" si="0"/>
        <v>0.62000000000000455</v>
      </c>
    </row>
    <row r="68" spans="1:4" ht="15.6" x14ac:dyDescent="0.3">
      <c r="A68" s="157">
        <v>63.17</v>
      </c>
      <c r="B68" s="157" t="s">
        <v>69</v>
      </c>
      <c r="C68" s="157" t="s">
        <v>179</v>
      </c>
      <c r="D68" s="148">
        <f t="shared" si="0"/>
        <v>9.9999999999980105E-3</v>
      </c>
    </row>
    <row r="69" spans="1:4" ht="15.6" x14ac:dyDescent="0.3">
      <c r="A69" s="156">
        <v>63.18</v>
      </c>
      <c r="B69" s="156" t="s">
        <v>68</v>
      </c>
      <c r="C69" s="156" t="s">
        <v>178</v>
      </c>
      <c r="D69" s="148">
        <f t="shared" ref="D69:D78" si="1">A70-A69</f>
        <v>2.0000000000003126E-2</v>
      </c>
    </row>
    <row r="70" spans="1:4" x14ac:dyDescent="0.3">
      <c r="A70" s="159">
        <v>63.2</v>
      </c>
      <c r="B70" s="159"/>
      <c r="C70" s="159" t="s">
        <v>140</v>
      </c>
      <c r="D70" s="159">
        <f t="shared" si="1"/>
        <v>1.9999999999996021E-2</v>
      </c>
    </row>
    <row r="71" spans="1:4" ht="15.6" x14ac:dyDescent="0.3">
      <c r="A71" s="156">
        <v>63.22</v>
      </c>
      <c r="B71" s="156" t="s">
        <v>116</v>
      </c>
      <c r="C71" s="156" t="s">
        <v>141</v>
      </c>
      <c r="D71" s="148">
        <f t="shared" si="1"/>
        <v>2.0000000000003126E-2</v>
      </c>
    </row>
    <row r="72" spans="1:4" ht="15.6" x14ac:dyDescent="0.3">
      <c r="A72" s="157">
        <v>63.24</v>
      </c>
      <c r="B72" s="157" t="s">
        <v>69</v>
      </c>
      <c r="C72" s="157" t="s">
        <v>139</v>
      </c>
      <c r="D72" s="148">
        <f t="shared" si="1"/>
        <v>3.0000000000001137E-2</v>
      </c>
    </row>
    <row r="73" spans="1:4" ht="15.6" x14ac:dyDescent="0.3">
      <c r="A73" s="156">
        <v>63.27</v>
      </c>
      <c r="B73" s="156" t="s">
        <v>68</v>
      </c>
      <c r="C73" s="156" t="s">
        <v>142</v>
      </c>
      <c r="D73" s="148">
        <f t="shared" si="1"/>
        <v>0.21999999999999886</v>
      </c>
    </row>
    <row r="74" spans="1:4" ht="15.6" x14ac:dyDescent="0.3">
      <c r="A74" s="157">
        <v>63.49</v>
      </c>
      <c r="B74" s="157" t="s">
        <v>69</v>
      </c>
      <c r="C74" s="157" t="s">
        <v>180</v>
      </c>
      <c r="D74" s="148">
        <f t="shared" si="1"/>
        <v>0.88000000000000256</v>
      </c>
    </row>
    <row r="75" spans="1:4" ht="15.6" x14ac:dyDescent="0.3">
      <c r="A75" s="156">
        <v>64.37</v>
      </c>
      <c r="B75" s="156" t="s">
        <v>68</v>
      </c>
      <c r="C75" s="156" t="s">
        <v>181</v>
      </c>
      <c r="D75" s="148">
        <f t="shared" si="1"/>
        <v>0.18999999999999773</v>
      </c>
    </row>
    <row r="76" spans="1:4" ht="15.6" x14ac:dyDescent="0.3">
      <c r="A76" s="157">
        <v>64.56</v>
      </c>
      <c r="B76" s="157" t="s">
        <v>68</v>
      </c>
      <c r="C76" s="157" t="s">
        <v>182</v>
      </c>
      <c r="D76" s="148">
        <f>A77-A76</f>
        <v>3.9999999999992042E-2</v>
      </c>
    </row>
    <row r="77" spans="1:4" x14ac:dyDescent="0.3">
      <c r="A77" s="159">
        <v>64.599999999999994</v>
      </c>
      <c r="B77" s="159"/>
      <c r="C77" s="159" t="s">
        <v>143</v>
      </c>
      <c r="D77" s="159"/>
    </row>
    <row r="78" spans="1:4" ht="15.6" x14ac:dyDescent="0.3">
      <c r="A78" s="140"/>
      <c r="B78" s="142"/>
      <c r="C78" s="142"/>
      <c r="D78" s="148">
        <f t="shared" si="1"/>
        <v>0</v>
      </c>
    </row>
    <row r="79" spans="1:4" ht="15.6" x14ac:dyDescent="0.3">
      <c r="A79" s="140"/>
      <c r="B79" s="142"/>
      <c r="C79" s="142"/>
      <c r="D79" s="148"/>
    </row>
    <row r="80" spans="1:4" ht="15.6" x14ac:dyDescent="0.3">
      <c r="A80" s="204" t="s">
        <v>78</v>
      </c>
      <c r="B80" s="205"/>
      <c r="C80" s="205"/>
      <c r="D80" s="206"/>
    </row>
    <row r="81" spans="1:4" ht="15.6" x14ac:dyDescent="0.3">
      <c r="A81" s="140"/>
      <c r="B81" s="142"/>
      <c r="C81" s="142"/>
      <c r="D81" s="148"/>
    </row>
    <row r="82" spans="1:4" ht="15.6" x14ac:dyDescent="0.3">
      <c r="A82" s="140"/>
      <c r="B82" s="142"/>
      <c r="C82" s="142"/>
      <c r="D82" s="148"/>
    </row>
    <row r="83" spans="1:4" ht="15.6" x14ac:dyDescent="0.3">
      <c r="A83" s="140"/>
      <c r="B83" s="142"/>
      <c r="C83" s="161"/>
      <c r="D83" s="148"/>
    </row>
    <row r="84" spans="1:4" x14ac:dyDescent="0.3">
      <c r="A84" s="143"/>
      <c r="B84" s="162"/>
      <c r="C84" s="163"/>
      <c r="D84" s="149"/>
    </row>
    <row r="85" spans="1:4" ht="15.6" x14ac:dyDescent="0.3">
      <c r="A85" s="140"/>
      <c r="B85" s="142"/>
      <c r="C85" s="142"/>
      <c r="D85" s="148"/>
    </row>
    <row r="86" spans="1:4" ht="15.6" x14ac:dyDescent="0.3">
      <c r="A86" s="140"/>
      <c r="B86" s="142"/>
      <c r="C86" s="142"/>
      <c r="D86" s="148"/>
    </row>
    <row r="87" spans="1:4" ht="15.6" x14ac:dyDescent="0.3">
      <c r="A87" s="140"/>
      <c r="B87" s="142"/>
      <c r="C87" s="142"/>
      <c r="D87" s="148"/>
    </row>
    <row r="88" spans="1:4" ht="15.6" x14ac:dyDescent="0.3">
      <c r="A88" s="140"/>
      <c r="B88" s="142"/>
      <c r="C88" s="142"/>
      <c r="D88" s="148"/>
    </row>
    <row r="89" spans="1:4" ht="15.6" x14ac:dyDescent="0.3">
      <c r="A89" s="140"/>
      <c r="B89" s="142"/>
      <c r="C89" s="142"/>
      <c r="D89" s="148"/>
    </row>
    <row r="90" spans="1:4" ht="15.6" x14ac:dyDescent="0.3">
      <c r="A90" s="140"/>
      <c r="B90" s="142"/>
      <c r="C90" s="142"/>
      <c r="D90" s="148"/>
    </row>
    <row r="91" spans="1:4" ht="15.6" x14ac:dyDescent="0.3">
      <c r="A91" s="140"/>
      <c r="B91" s="142"/>
      <c r="C91" s="142"/>
      <c r="D91" s="148"/>
    </row>
    <row r="92" spans="1:4" ht="15.6" x14ac:dyDescent="0.3">
      <c r="A92" s="140"/>
      <c r="B92" s="142"/>
      <c r="C92" s="142"/>
      <c r="D92" s="148"/>
    </row>
    <row r="93" spans="1:4" ht="15.6" x14ac:dyDescent="0.3">
      <c r="A93" s="140"/>
      <c r="B93" s="142"/>
      <c r="C93" s="142"/>
      <c r="D93" s="148"/>
    </row>
    <row r="94" spans="1:4" ht="15.6" x14ac:dyDescent="0.3">
      <c r="A94" s="140"/>
      <c r="B94" s="142"/>
      <c r="C94" s="142"/>
      <c r="D94" s="148"/>
    </row>
    <row r="95" spans="1:4" ht="15.6" x14ac:dyDescent="0.3">
      <c r="A95" s="140"/>
      <c r="B95" s="142"/>
      <c r="C95" s="142"/>
      <c r="D95" s="148"/>
    </row>
    <row r="96" spans="1:4" ht="15.6" x14ac:dyDescent="0.3">
      <c r="A96" s="140"/>
      <c r="B96" s="142"/>
      <c r="C96" s="142"/>
      <c r="D96" s="148"/>
    </row>
    <row r="97" spans="1:4" ht="15.6" x14ac:dyDescent="0.3">
      <c r="A97" s="140"/>
      <c r="B97" s="142"/>
      <c r="C97" s="142"/>
      <c r="D97" s="148"/>
    </row>
    <row r="98" spans="1:4" ht="15.6" x14ac:dyDescent="0.3">
      <c r="A98" s="140"/>
      <c r="B98" s="142"/>
      <c r="C98" s="142"/>
      <c r="D98" s="148"/>
    </row>
    <row r="99" spans="1:4" ht="15.6" x14ac:dyDescent="0.3">
      <c r="A99" s="140"/>
      <c r="B99" s="142"/>
      <c r="C99" s="142"/>
      <c r="D99" s="148"/>
    </row>
    <row r="100" spans="1:4" ht="15.6" x14ac:dyDescent="0.3">
      <c r="A100" s="140"/>
      <c r="B100" s="142"/>
      <c r="C100" s="142"/>
      <c r="D100" s="148"/>
    </row>
    <row r="101" spans="1:4" ht="15.6" x14ac:dyDescent="0.3">
      <c r="A101" s="140"/>
      <c r="B101" s="142"/>
      <c r="C101" s="142"/>
      <c r="D101" s="148"/>
    </row>
    <row r="102" spans="1:4" ht="15.6" x14ac:dyDescent="0.3">
      <c r="A102" s="140"/>
      <c r="B102" s="142"/>
      <c r="C102" s="142"/>
      <c r="D102" s="148"/>
    </row>
    <row r="103" spans="1:4" ht="15.6" x14ac:dyDescent="0.3">
      <c r="A103" s="140"/>
      <c r="B103" s="142"/>
      <c r="C103" s="142"/>
      <c r="D103" s="148"/>
    </row>
    <row r="104" spans="1:4" ht="15.6" x14ac:dyDescent="0.3">
      <c r="A104" s="140"/>
      <c r="B104" s="142"/>
      <c r="C104" s="142"/>
      <c r="D104" s="148"/>
    </row>
    <row r="105" spans="1:4" ht="15.6" x14ac:dyDescent="0.3">
      <c r="A105" s="140"/>
      <c r="B105" s="142"/>
      <c r="C105" s="142"/>
      <c r="D105" s="148"/>
    </row>
    <row r="106" spans="1:4" ht="15.6" x14ac:dyDescent="0.3">
      <c r="A106" s="140"/>
      <c r="B106" s="142"/>
      <c r="C106" s="142"/>
      <c r="D106" s="148"/>
    </row>
    <row r="107" spans="1:4" ht="15.6" x14ac:dyDescent="0.3">
      <c r="A107" s="140"/>
      <c r="B107" s="141"/>
      <c r="C107" s="141"/>
      <c r="D107" s="148"/>
    </row>
    <row r="108" spans="1:4" ht="15.6" x14ac:dyDescent="0.3">
      <c r="A108" s="140"/>
      <c r="B108" s="142"/>
      <c r="C108" s="142"/>
      <c r="D108" s="148"/>
    </row>
    <row r="109" spans="1:4" ht="15.6" x14ac:dyDescent="0.3">
      <c r="A109" s="140"/>
      <c r="B109" s="142"/>
      <c r="C109" s="142"/>
      <c r="D109" s="148"/>
    </row>
    <row r="110" spans="1:4" ht="15.6" x14ac:dyDescent="0.3">
      <c r="A110" s="140"/>
      <c r="B110" s="142"/>
      <c r="C110" s="142"/>
      <c r="D110" s="148"/>
    </row>
    <row r="111" spans="1:4" ht="15.6" x14ac:dyDescent="0.3">
      <c r="A111" s="140"/>
      <c r="B111" s="142"/>
      <c r="C111" s="142"/>
      <c r="D111" s="148"/>
    </row>
    <row r="112" spans="1:4" ht="15.6" x14ac:dyDescent="0.3">
      <c r="A112" s="140"/>
      <c r="B112" s="142"/>
      <c r="C112" s="142"/>
      <c r="D112" s="148"/>
    </row>
    <row r="113" spans="1:4" ht="15.6" x14ac:dyDescent="0.3">
      <c r="A113" s="140"/>
      <c r="B113" s="142"/>
      <c r="C113" s="142"/>
      <c r="D113" s="148"/>
    </row>
    <row r="114" spans="1:4" ht="15.6" x14ac:dyDescent="0.3">
      <c r="A114" s="144"/>
      <c r="B114" s="164"/>
      <c r="C114" s="164"/>
      <c r="D114" s="148"/>
    </row>
    <row r="115" spans="1:4" ht="15.6" x14ac:dyDescent="0.3">
      <c r="A115" s="145"/>
      <c r="B115" s="165"/>
      <c r="C115" s="164"/>
      <c r="D115" s="148"/>
    </row>
    <row r="116" spans="1:4" ht="15.6" x14ac:dyDescent="0.3">
      <c r="A116" s="145"/>
      <c r="B116" s="165"/>
      <c r="C116" s="165"/>
      <c r="D116" s="148"/>
    </row>
    <row r="117" spans="1:4" ht="15.6" x14ac:dyDescent="0.3">
      <c r="A117" s="145"/>
      <c r="B117" s="165"/>
      <c r="C117" s="164"/>
      <c r="D117" s="148"/>
    </row>
    <row r="118" spans="1:4" ht="15.6" x14ac:dyDescent="0.3">
      <c r="A118" s="145"/>
      <c r="B118" s="164"/>
      <c r="C118" s="164"/>
      <c r="D118" s="148"/>
    </row>
    <row r="119" spans="1:4" ht="15.6" x14ac:dyDescent="0.3">
      <c r="A119" s="145"/>
      <c r="B119" s="165"/>
      <c r="C119" s="165"/>
      <c r="D119" s="148"/>
    </row>
    <row r="120" spans="1:4" ht="15.6" x14ac:dyDescent="0.3">
      <c r="A120" s="145"/>
      <c r="B120" s="165"/>
      <c r="C120" s="165"/>
      <c r="D120" s="148"/>
    </row>
    <row r="121" spans="1:4" ht="15.6" x14ac:dyDescent="0.3">
      <c r="A121" s="145"/>
      <c r="B121" s="165"/>
      <c r="C121" s="165"/>
      <c r="D121" s="148"/>
    </row>
    <row r="122" spans="1:4" ht="15.6" x14ac:dyDescent="0.3">
      <c r="A122" s="145"/>
      <c r="B122" s="166"/>
      <c r="C122" s="166"/>
      <c r="D122" s="148"/>
    </row>
    <row r="123" spans="1:4" ht="15.6" x14ac:dyDescent="0.3">
      <c r="A123" s="145"/>
      <c r="B123" s="165"/>
      <c r="C123" s="165"/>
      <c r="D123" s="148"/>
    </row>
    <row r="124" spans="1:4" ht="15.6" x14ac:dyDescent="0.3">
      <c r="A124" s="145"/>
      <c r="B124" s="165"/>
      <c r="C124" s="164"/>
      <c r="D124" s="148"/>
    </row>
    <row r="125" spans="1:4" ht="15.6" x14ac:dyDescent="0.3">
      <c r="A125" s="145"/>
      <c r="B125" s="165"/>
      <c r="C125" s="166"/>
      <c r="D125" s="148"/>
    </row>
    <row r="126" spans="1:4" ht="15.6" x14ac:dyDescent="0.3">
      <c r="A126" s="145"/>
      <c r="B126" s="166"/>
      <c r="C126" s="166"/>
      <c r="D126" s="148"/>
    </row>
    <row r="127" spans="1:4" ht="15.6" x14ac:dyDescent="0.3">
      <c r="A127" s="145"/>
      <c r="B127" s="165"/>
      <c r="C127" s="164"/>
      <c r="D127" s="148"/>
    </row>
    <row r="128" spans="1:4" ht="15.6" x14ac:dyDescent="0.3">
      <c r="A128" s="145"/>
      <c r="B128" s="165"/>
      <c r="C128" s="164"/>
      <c r="D128" s="148"/>
    </row>
    <row r="129" spans="1:4" ht="15.6" x14ac:dyDescent="0.3">
      <c r="A129" s="145"/>
      <c r="B129" s="165"/>
      <c r="C129" s="164"/>
      <c r="D129" s="148"/>
    </row>
    <row r="130" spans="1:4" ht="15.6" x14ac:dyDescent="0.3">
      <c r="A130" s="145"/>
      <c r="B130" s="164"/>
      <c r="C130" s="164"/>
      <c r="D130" s="148"/>
    </row>
    <row r="131" spans="1:4" ht="15.6" x14ac:dyDescent="0.3">
      <c r="A131" s="145"/>
      <c r="B131" s="165"/>
      <c r="C131" s="165"/>
      <c r="D131" s="148"/>
    </row>
    <row r="132" spans="1:4" ht="15.6" x14ac:dyDescent="0.3">
      <c r="A132" s="145"/>
      <c r="B132" s="165"/>
      <c r="C132" s="165"/>
      <c r="D132" s="148"/>
    </row>
    <row r="133" spans="1:4" ht="15.6" x14ac:dyDescent="0.3">
      <c r="A133" s="145"/>
      <c r="B133" s="165"/>
      <c r="C133" s="165"/>
      <c r="D133" s="148"/>
    </row>
    <row r="134" spans="1:4" ht="15.6" x14ac:dyDescent="0.3">
      <c r="A134" s="145"/>
      <c r="B134" s="165"/>
      <c r="C134" s="165"/>
      <c r="D134" s="148"/>
    </row>
    <row r="135" spans="1:4" ht="15.6" x14ac:dyDescent="0.3">
      <c r="A135" s="145"/>
      <c r="B135" s="165"/>
      <c r="C135" s="165"/>
      <c r="D135" s="148"/>
    </row>
    <row r="136" spans="1:4" ht="15.6" x14ac:dyDescent="0.3">
      <c r="A136" s="145"/>
      <c r="B136" s="165"/>
      <c r="C136" s="165"/>
      <c r="D136" s="148"/>
    </row>
    <row r="137" spans="1:4" ht="15.6" x14ac:dyDescent="0.3">
      <c r="A137" s="145"/>
      <c r="B137" s="165"/>
      <c r="C137" s="165"/>
      <c r="D137" s="148"/>
    </row>
    <row r="138" spans="1:4" ht="15.6" x14ac:dyDescent="0.3">
      <c r="A138" s="145"/>
      <c r="B138" s="165"/>
      <c r="C138" s="165"/>
      <c r="D138" s="148"/>
    </row>
    <row r="139" spans="1:4" ht="15.6" x14ac:dyDescent="0.3">
      <c r="A139" s="145"/>
      <c r="B139" s="165"/>
      <c r="C139" s="165"/>
      <c r="D139" s="148"/>
    </row>
    <row r="140" spans="1:4" ht="15.6" x14ac:dyDescent="0.3">
      <c r="A140" s="145"/>
      <c r="B140" s="165"/>
      <c r="C140" s="165"/>
      <c r="D140" s="148"/>
    </row>
    <row r="141" spans="1:4" s="167" customFormat="1" ht="15.6" x14ac:dyDescent="0.3">
      <c r="A141" s="145"/>
      <c r="B141" s="164"/>
      <c r="C141" s="165"/>
      <c r="D141" s="148"/>
    </row>
    <row r="142" spans="1:4" s="167" customFormat="1" ht="15.6" x14ac:dyDescent="0.3">
      <c r="A142" s="145"/>
      <c r="B142" s="166"/>
      <c r="C142" s="166"/>
      <c r="D142" s="148"/>
    </row>
    <row r="143" spans="1:4" s="167" customFormat="1" ht="15.6" x14ac:dyDescent="0.3">
      <c r="A143" s="145"/>
      <c r="B143" s="165"/>
      <c r="C143" s="165"/>
      <c r="D143" s="148"/>
    </row>
    <row r="144" spans="1:4" s="167" customFormat="1" ht="15.6" x14ac:dyDescent="0.3">
      <c r="A144" s="146"/>
      <c r="B144" s="142"/>
      <c r="C144" s="168"/>
      <c r="D144" s="148"/>
    </row>
    <row r="145" spans="1:4" s="167" customFormat="1" ht="15.6" x14ac:dyDescent="0.3">
      <c r="A145" s="145"/>
      <c r="B145" s="165"/>
      <c r="C145" s="164"/>
      <c r="D145" s="148"/>
    </row>
    <row r="146" spans="1:4" s="167" customFormat="1" ht="13.2" x14ac:dyDescent="0.25">
      <c r="A146" s="143"/>
      <c r="B146" s="162"/>
      <c r="C146" s="163"/>
      <c r="D146" s="149"/>
    </row>
    <row r="147" spans="1:4" s="167" customFormat="1" ht="15.6" x14ac:dyDescent="0.3">
      <c r="A147" s="145"/>
      <c r="B147" s="165"/>
      <c r="C147" s="164"/>
      <c r="D147" s="148"/>
    </row>
    <row r="148" spans="1:4" s="167" customFormat="1" ht="15.6" x14ac:dyDescent="0.3">
      <c r="A148" s="145"/>
      <c r="B148" s="165"/>
      <c r="C148" s="165"/>
      <c r="D148" s="148"/>
    </row>
    <row r="149" spans="1:4" s="167" customFormat="1" ht="15.6" x14ac:dyDescent="0.3">
      <c r="A149" s="145"/>
      <c r="B149" s="165"/>
      <c r="C149" s="165"/>
      <c r="D149" s="148"/>
    </row>
    <row r="150" spans="1:4" s="167" customFormat="1" ht="15.6" x14ac:dyDescent="0.3">
      <c r="A150" s="145"/>
      <c r="B150" s="165"/>
      <c r="C150" s="165"/>
      <c r="D150" s="148"/>
    </row>
    <row r="151" spans="1:4" s="167" customFormat="1" ht="15.6" x14ac:dyDescent="0.3">
      <c r="A151" s="145"/>
      <c r="B151" s="165"/>
      <c r="C151" s="165"/>
      <c r="D151" s="148"/>
    </row>
    <row r="152" spans="1:4" s="167" customFormat="1" ht="15.6" x14ac:dyDescent="0.3">
      <c r="A152" s="145"/>
      <c r="B152" s="165"/>
      <c r="C152" s="165"/>
      <c r="D152" s="148"/>
    </row>
    <row r="153" spans="1:4" s="167" customFormat="1" ht="15.6" x14ac:dyDescent="0.3">
      <c r="A153" s="145"/>
      <c r="B153" s="165"/>
      <c r="C153" s="165"/>
      <c r="D153" s="148"/>
    </row>
    <row r="154" spans="1:4" s="167" customFormat="1" ht="15.6" x14ac:dyDescent="0.3">
      <c r="A154" s="145"/>
      <c r="B154" s="165"/>
      <c r="C154" s="164"/>
      <c r="D154" s="148"/>
    </row>
    <row r="155" spans="1:4" ht="15.6" x14ac:dyDescent="0.3">
      <c r="A155" s="145"/>
      <c r="B155" s="165"/>
      <c r="C155" s="165"/>
      <c r="D155" s="148"/>
    </row>
    <row r="156" spans="1:4" ht="15.6" x14ac:dyDescent="0.3">
      <c r="A156" s="145"/>
      <c r="B156" s="165"/>
      <c r="C156" s="165"/>
      <c r="D156" s="148"/>
    </row>
    <row r="157" spans="1:4" ht="15.6" x14ac:dyDescent="0.3">
      <c r="A157" s="145"/>
      <c r="B157" s="165"/>
      <c r="C157" s="166"/>
      <c r="D157" s="148"/>
    </row>
    <row r="158" spans="1:4" ht="15.6" x14ac:dyDescent="0.3">
      <c r="A158" s="145"/>
      <c r="B158" s="165"/>
      <c r="C158" s="165"/>
      <c r="D158" s="148"/>
    </row>
    <row r="159" spans="1:4" ht="15.6" x14ac:dyDescent="0.3">
      <c r="A159" s="145"/>
      <c r="B159" s="166"/>
      <c r="C159" s="166"/>
      <c r="D159" s="148"/>
    </row>
    <row r="160" spans="1:4" ht="15.6" x14ac:dyDescent="0.3">
      <c r="A160" s="145"/>
      <c r="B160" s="165"/>
      <c r="C160" s="165"/>
      <c r="D160" s="148"/>
    </row>
    <row r="161" spans="1:4" ht="15.6" x14ac:dyDescent="0.3">
      <c r="A161" s="145"/>
      <c r="B161" s="165"/>
      <c r="C161" s="164"/>
      <c r="D161" s="148"/>
    </row>
    <row r="162" spans="1:4" x14ac:dyDescent="0.3">
      <c r="A162" s="143"/>
      <c r="B162" s="162"/>
      <c r="C162" s="163"/>
      <c r="D162" s="149"/>
    </row>
    <row r="163" spans="1:4" ht="15.6" x14ac:dyDescent="0.3">
      <c r="A163" s="145"/>
      <c r="B163" s="165"/>
      <c r="C163" s="164"/>
      <c r="D163" s="148"/>
    </row>
    <row r="164" spans="1:4" s="169" customFormat="1" ht="15.6" x14ac:dyDescent="0.3">
      <c r="A164" s="145"/>
      <c r="B164" s="165"/>
      <c r="C164" s="165"/>
      <c r="D164" s="148"/>
    </row>
    <row r="165" spans="1:4" ht="15.6" x14ac:dyDescent="0.3">
      <c r="A165" s="145"/>
      <c r="B165" s="165"/>
      <c r="C165" s="165"/>
      <c r="D165" s="148"/>
    </row>
    <row r="166" spans="1:4" ht="15.6" x14ac:dyDescent="0.3">
      <c r="A166" s="145"/>
      <c r="B166" s="165"/>
      <c r="C166" s="165"/>
      <c r="D166" s="148"/>
    </row>
    <row r="167" spans="1:4" ht="15.6" x14ac:dyDescent="0.3">
      <c r="A167" s="145"/>
      <c r="B167" s="165"/>
      <c r="C167" s="165"/>
      <c r="D167" s="148"/>
    </row>
    <row r="168" spans="1:4" ht="15.6" x14ac:dyDescent="0.3">
      <c r="A168" s="145"/>
      <c r="B168" s="165"/>
      <c r="C168" s="165"/>
      <c r="D168" s="148"/>
    </row>
    <row r="169" spans="1:4" ht="15.6" x14ac:dyDescent="0.3">
      <c r="A169" s="145"/>
      <c r="B169" s="166"/>
      <c r="C169" s="166"/>
      <c r="D169" s="148"/>
    </row>
    <row r="170" spans="1:4" s="169" customFormat="1" ht="15.6" x14ac:dyDescent="0.3">
      <c r="A170" s="145"/>
      <c r="B170" s="165"/>
      <c r="C170" s="165"/>
      <c r="D170" s="148"/>
    </row>
    <row r="171" spans="1:4" s="167" customFormat="1" ht="15.6" x14ac:dyDescent="0.3">
      <c r="A171" s="145"/>
      <c r="B171" s="165"/>
      <c r="C171" s="165"/>
      <c r="D171" s="148"/>
    </row>
    <row r="172" spans="1:4" s="167" customFormat="1" ht="15.6" x14ac:dyDescent="0.3">
      <c r="A172" s="145"/>
      <c r="B172" s="165"/>
      <c r="C172" s="165"/>
      <c r="D172" s="148"/>
    </row>
    <row r="173" spans="1:4" s="167" customFormat="1" ht="15.6" x14ac:dyDescent="0.3">
      <c r="A173" s="145"/>
      <c r="B173" s="165"/>
      <c r="C173" s="165"/>
      <c r="D173" s="148"/>
    </row>
    <row r="174" spans="1:4" s="167" customFormat="1" ht="15.6" x14ac:dyDescent="0.3">
      <c r="A174" s="145"/>
      <c r="B174" s="165"/>
      <c r="C174" s="166"/>
      <c r="D174" s="148"/>
    </row>
    <row r="175" spans="1:4" s="167" customFormat="1" ht="15.6" x14ac:dyDescent="0.3">
      <c r="A175" s="145"/>
      <c r="B175" s="165"/>
      <c r="C175" s="166"/>
      <c r="D175" s="148"/>
    </row>
    <row r="176" spans="1:4" s="167" customFormat="1" ht="15.6" x14ac:dyDescent="0.3">
      <c r="A176" s="145"/>
      <c r="B176" s="165"/>
      <c r="C176" s="165"/>
      <c r="D176" s="148"/>
    </row>
    <row r="177" spans="1:4" s="167" customFormat="1" ht="15.6" x14ac:dyDescent="0.3">
      <c r="A177" s="145"/>
      <c r="B177" s="164"/>
      <c r="C177" s="166"/>
      <c r="D177" s="148"/>
    </row>
    <row r="178" spans="1:4" s="167" customFormat="1" ht="15.6" x14ac:dyDescent="0.3">
      <c r="A178" s="145"/>
      <c r="B178" s="166"/>
      <c r="C178" s="166"/>
      <c r="D178" s="148"/>
    </row>
    <row r="179" spans="1:4" s="167" customFormat="1" ht="15.6" x14ac:dyDescent="0.3">
      <c r="A179" s="145"/>
      <c r="B179" s="164"/>
      <c r="C179" s="166"/>
      <c r="D179" s="148"/>
    </row>
    <row r="180" spans="1:4" s="167" customFormat="1" ht="15.6" x14ac:dyDescent="0.3">
      <c r="A180" s="145"/>
      <c r="B180" s="164"/>
      <c r="C180" s="164"/>
      <c r="D180" s="148"/>
    </row>
    <row r="181" spans="1:4" s="167" customFormat="1" ht="15.6" x14ac:dyDescent="0.3">
      <c r="A181" s="145"/>
      <c r="B181" s="164"/>
      <c r="C181" s="166"/>
      <c r="D181" s="148"/>
    </row>
    <row r="182" spans="1:4" s="167" customFormat="1" ht="15.6" x14ac:dyDescent="0.3">
      <c r="A182" s="145"/>
      <c r="B182" s="164"/>
      <c r="C182" s="164"/>
      <c r="D182" s="148"/>
    </row>
    <row r="183" spans="1:4" s="167" customFormat="1" ht="15.6" x14ac:dyDescent="0.3">
      <c r="A183" s="145"/>
      <c r="B183" s="164"/>
      <c r="C183" s="164"/>
      <c r="D183" s="148"/>
    </row>
    <row r="184" spans="1:4" s="167" customFormat="1" ht="15.6" x14ac:dyDescent="0.3">
      <c r="A184" s="145"/>
      <c r="B184" s="164"/>
      <c r="C184" s="164"/>
      <c r="D184" s="148"/>
    </row>
    <row r="185" spans="1:4" s="167" customFormat="1" ht="15.6" x14ac:dyDescent="0.3">
      <c r="A185" s="145"/>
      <c r="B185" s="164"/>
      <c r="C185" s="164"/>
      <c r="D185" s="148"/>
    </row>
    <row r="186" spans="1:4" s="167" customFormat="1" ht="15.6" x14ac:dyDescent="0.3">
      <c r="A186" s="145"/>
      <c r="B186" s="164"/>
      <c r="C186" s="166"/>
      <c r="D186" s="148"/>
    </row>
    <row r="187" spans="1:4" s="167" customFormat="1" ht="15.6" x14ac:dyDescent="0.3">
      <c r="A187" s="145"/>
      <c r="B187" s="164"/>
      <c r="C187" s="164"/>
      <c r="D187" s="148"/>
    </row>
    <row r="188" spans="1:4" s="167" customFormat="1" ht="15.6" x14ac:dyDescent="0.3">
      <c r="A188" s="145"/>
      <c r="B188" s="164"/>
      <c r="C188" s="164"/>
      <c r="D188" s="148"/>
    </row>
    <row r="189" spans="1:4" s="167" customFormat="1" ht="15.6" x14ac:dyDescent="0.3">
      <c r="A189" s="145"/>
      <c r="B189" s="164"/>
      <c r="C189" s="164"/>
      <c r="D189" s="148"/>
    </row>
    <row r="190" spans="1:4" s="167" customFormat="1" ht="15.6" x14ac:dyDescent="0.3">
      <c r="A190" s="145"/>
      <c r="B190" s="164"/>
      <c r="C190" s="164"/>
      <c r="D190" s="148"/>
    </row>
    <row r="191" spans="1:4" s="167" customFormat="1" ht="15.6" x14ac:dyDescent="0.3">
      <c r="A191" s="145"/>
      <c r="B191" s="164"/>
      <c r="C191" s="164"/>
      <c r="D191" s="148"/>
    </row>
    <row r="192" spans="1:4" s="167" customFormat="1" ht="15.6" x14ac:dyDescent="0.3">
      <c r="A192" s="145"/>
      <c r="B192" s="166"/>
      <c r="C192" s="166"/>
      <c r="D192" s="148"/>
    </row>
    <row r="193" spans="1:4" s="167" customFormat="1" ht="15.6" x14ac:dyDescent="0.3">
      <c r="A193" s="145"/>
      <c r="B193" s="164"/>
      <c r="C193" s="164"/>
      <c r="D193" s="148"/>
    </row>
    <row r="194" spans="1:4" s="167" customFormat="1" ht="15.6" x14ac:dyDescent="0.3">
      <c r="A194" s="145"/>
      <c r="B194" s="164"/>
      <c r="C194" s="164"/>
      <c r="D194" s="148"/>
    </row>
    <row r="195" spans="1:4" s="167" customFormat="1" ht="15.6" x14ac:dyDescent="0.3">
      <c r="A195" s="145"/>
      <c r="B195" s="164"/>
      <c r="C195" s="164"/>
      <c r="D195" s="148"/>
    </row>
    <row r="196" spans="1:4" s="167" customFormat="1" ht="13.2" x14ac:dyDescent="0.25">
      <c r="A196" s="143"/>
      <c r="B196" s="162"/>
      <c r="C196" s="163"/>
      <c r="D196" s="149"/>
    </row>
    <row r="197" spans="1:4" s="167" customFormat="1" ht="15.6" x14ac:dyDescent="0.3">
      <c r="A197" s="145"/>
      <c r="B197" s="164"/>
      <c r="C197" s="166"/>
      <c r="D197" s="148"/>
    </row>
    <row r="198" spans="1:4" s="167" customFormat="1" ht="15.6" x14ac:dyDescent="0.3">
      <c r="A198" s="145"/>
      <c r="B198" s="164"/>
      <c r="C198" s="164"/>
      <c r="D198" s="148"/>
    </row>
    <row r="199" spans="1:4" s="167" customFormat="1" ht="15.6" x14ac:dyDescent="0.3">
      <c r="A199" s="145"/>
      <c r="B199" s="164"/>
      <c r="C199" s="164"/>
      <c r="D199" s="148"/>
    </row>
    <row r="200" spans="1:4" s="167" customFormat="1" ht="15.6" x14ac:dyDescent="0.3">
      <c r="A200" s="145"/>
      <c r="B200" s="164"/>
      <c r="C200" s="164"/>
      <c r="D200" s="148"/>
    </row>
    <row r="201" spans="1:4" s="167" customFormat="1" ht="15.6" x14ac:dyDescent="0.3">
      <c r="A201" s="145"/>
      <c r="B201" s="164"/>
      <c r="C201" s="164"/>
      <c r="D201" s="148"/>
    </row>
    <row r="202" spans="1:4" s="167" customFormat="1" ht="15.6" x14ac:dyDescent="0.3">
      <c r="A202" s="145"/>
      <c r="B202" s="164"/>
      <c r="C202" s="164"/>
      <c r="D202" s="148"/>
    </row>
    <row r="203" spans="1:4" s="167" customFormat="1" ht="15.6" x14ac:dyDescent="0.3">
      <c r="A203" s="145"/>
      <c r="B203" s="166"/>
      <c r="C203" s="166"/>
      <c r="D203" s="148"/>
    </row>
    <row r="204" spans="1:4" s="167" customFormat="1" ht="15.6" x14ac:dyDescent="0.3">
      <c r="A204" s="145"/>
      <c r="B204" s="164"/>
      <c r="C204" s="164"/>
      <c r="D204" s="148"/>
    </row>
    <row r="205" spans="1:4" s="167" customFormat="1" ht="15.6" x14ac:dyDescent="0.3">
      <c r="A205" s="145"/>
      <c r="B205" s="164"/>
      <c r="C205" s="164"/>
      <c r="D205" s="148"/>
    </row>
    <row r="206" spans="1:4" s="167" customFormat="1" ht="15.6" x14ac:dyDescent="0.3">
      <c r="A206" s="145"/>
      <c r="B206" s="164"/>
      <c r="C206" s="164"/>
      <c r="D206" s="148"/>
    </row>
    <row r="207" spans="1:4" s="167" customFormat="1" ht="15.6" x14ac:dyDescent="0.3">
      <c r="A207" s="145"/>
      <c r="B207" s="164"/>
      <c r="C207" s="164"/>
      <c r="D207" s="148"/>
    </row>
    <row r="208" spans="1:4" s="167" customFormat="1" ht="15.6" x14ac:dyDescent="0.3">
      <c r="A208" s="145"/>
      <c r="B208" s="164"/>
      <c r="C208" s="164"/>
      <c r="D208" s="148"/>
    </row>
    <row r="209" spans="1:4" s="167" customFormat="1" ht="15.6" x14ac:dyDescent="0.3">
      <c r="A209" s="145"/>
      <c r="B209" s="164"/>
      <c r="C209" s="166"/>
      <c r="D209" s="148"/>
    </row>
    <row r="210" spans="1:4" s="167" customFormat="1" ht="15.6" x14ac:dyDescent="0.3">
      <c r="A210" s="145"/>
      <c r="B210" s="164"/>
      <c r="C210" s="164"/>
      <c r="D210" s="148"/>
    </row>
    <row r="211" spans="1:4" s="167" customFormat="1" ht="15.6" x14ac:dyDescent="0.3">
      <c r="A211" s="145"/>
      <c r="B211" s="164"/>
      <c r="C211" s="164"/>
      <c r="D211" s="148"/>
    </row>
    <row r="212" spans="1:4" s="167" customFormat="1" ht="15.6" x14ac:dyDescent="0.3">
      <c r="A212" s="145"/>
      <c r="B212" s="164"/>
      <c r="C212" s="164"/>
      <c r="D212" s="148"/>
    </row>
    <row r="213" spans="1:4" s="167" customFormat="1" ht="15.6" x14ac:dyDescent="0.3">
      <c r="A213" s="145"/>
      <c r="B213" s="164"/>
      <c r="C213" s="164"/>
      <c r="D213" s="148"/>
    </row>
    <row r="214" spans="1:4" s="167" customFormat="1" ht="15.6" x14ac:dyDescent="0.3">
      <c r="A214" s="145"/>
      <c r="B214" s="164"/>
      <c r="C214" s="164"/>
      <c r="D214" s="148"/>
    </row>
    <row r="215" spans="1:4" s="167" customFormat="1" ht="15.6" x14ac:dyDescent="0.3">
      <c r="A215" s="145"/>
      <c r="B215" s="166"/>
      <c r="C215" s="166"/>
      <c r="D215" s="148"/>
    </row>
    <row r="216" spans="1:4" s="167" customFormat="1" ht="15.6" x14ac:dyDescent="0.3">
      <c r="A216" s="145"/>
      <c r="B216" s="164"/>
      <c r="C216" s="164"/>
      <c r="D216" s="148"/>
    </row>
    <row r="217" spans="1:4" s="167" customFormat="1" ht="15.6" x14ac:dyDescent="0.3">
      <c r="A217" s="145"/>
      <c r="B217" s="164"/>
      <c r="C217" s="164"/>
      <c r="D217" s="148"/>
    </row>
    <row r="218" spans="1:4" s="167" customFormat="1" ht="15.6" x14ac:dyDescent="0.3">
      <c r="A218" s="145"/>
      <c r="B218" s="164"/>
      <c r="C218" s="164"/>
      <c r="D218" s="148"/>
    </row>
    <row r="219" spans="1:4" s="167" customFormat="1" ht="15.6" x14ac:dyDescent="0.3">
      <c r="A219" s="145"/>
      <c r="B219" s="164"/>
      <c r="C219" s="164"/>
      <c r="D219" s="148"/>
    </row>
    <row r="220" spans="1:4" s="167" customFormat="1" ht="15.6" x14ac:dyDescent="0.3">
      <c r="A220" s="145"/>
      <c r="B220" s="164"/>
      <c r="C220" s="164"/>
      <c r="D220" s="148"/>
    </row>
    <row r="221" spans="1:4" s="167" customFormat="1" ht="15.6" x14ac:dyDescent="0.3">
      <c r="A221" s="145"/>
      <c r="B221" s="164"/>
      <c r="C221" s="164"/>
      <c r="D221" s="148"/>
    </row>
    <row r="222" spans="1:4" s="167" customFormat="1" ht="15.6" x14ac:dyDescent="0.3">
      <c r="A222" s="145"/>
      <c r="B222" s="164"/>
      <c r="C222" s="164"/>
      <c r="D222" s="148"/>
    </row>
    <row r="223" spans="1:4" s="167" customFormat="1" ht="15.6" x14ac:dyDescent="0.3">
      <c r="A223" s="145"/>
      <c r="B223" s="164"/>
      <c r="C223" s="164"/>
      <c r="D223" s="148"/>
    </row>
    <row r="224" spans="1:4" s="167" customFormat="1" ht="15.6" x14ac:dyDescent="0.3">
      <c r="A224" s="145"/>
      <c r="B224" s="164"/>
      <c r="C224" s="164"/>
      <c r="D224" s="148"/>
    </row>
    <row r="225" spans="1:4" s="167" customFormat="1" ht="15.6" x14ac:dyDescent="0.3">
      <c r="A225" s="145"/>
      <c r="B225" s="164"/>
      <c r="C225" s="164"/>
      <c r="D225" s="148"/>
    </row>
    <row r="226" spans="1:4" s="167" customFormat="1" ht="15.6" x14ac:dyDescent="0.3">
      <c r="A226" s="145"/>
      <c r="B226" s="164"/>
      <c r="C226" s="166"/>
      <c r="D226" s="148"/>
    </row>
    <row r="227" spans="1:4" s="167" customFormat="1" ht="15.6" x14ac:dyDescent="0.3">
      <c r="A227" s="145"/>
      <c r="B227" s="164"/>
      <c r="C227" s="164"/>
      <c r="D227" s="148"/>
    </row>
    <row r="228" spans="1:4" s="167" customFormat="1" ht="15.6" x14ac:dyDescent="0.3">
      <c r="A228" s="145"/>
      <c r="B228" s="164"/>
      <c r="C228" s="164"/>
      <c r="D228" s="148"/>
    </row>
    <row r="229" spans="1:4" s="167" customFormat="1" ht="13.2" x14ac:dyDescent="0.25">
      <c r="A229" s="143"/>
      <c r="B229" s="162"/>
      <c r="C229" s="163"/>
      <c r="D229" s="149"/>
    </row>
    <row r="230" spans="1:4" s="167" customFormat="1" ht="15.6" x14ac:dyDescent="0.3">
      <c r="A230" s="145"/>
      <c r="B230" s="164"/>
      <c r="C230" s="164"/>
      <c r="D230" s="148"/>
    </row>
    <row r="231" spans="1:4" s="167" customFormat="1" ht="15.6" x14ac:dyDescent="0.3">
      <c r="A231" s="145"/>
      <c r="B231" s="164"/>
      <c r="C231" s="164"/>
      <c r="D231" s="148"/>
    </row>
    <row r="232" spans="1:4" s="167" customFormat="1" ht="15.6" x14ac:dyDescent="0.3">
      <c r="A232" s="145"/>
      <c r="B232" s="166"/>
      <c r="C232" s="166"/>
      <c r="D232" s="148"/>
    </row>
    <row r="233" spans="1:4" s="167" customFormat="1" ht="15.6" x14ac:dyDescent="0.3">
      <c r="A233" s="145"/>
      <c r="B233" s="164"/>
      <c r="C233" s="164"/>
      <c r="D233" s="148"/>
    </row>
    <row r="234" spans="1:4" s="167" customFormat="1" ht="15.6" x14ac:dyDescent="0.3">
      <c r="A234" s="145"/>
      <c r="B234" s="164"/>
      <c r="C234" s="164"/>
      <c r="D234" s="148"/>
    </row>
    <row r="235" spans="1:4" s="167" customFormat="1" ht="15.6" x14ac:dyDescent="0.3">
      <c r="A235" s="145"/>
      <c r="B235" s="164"/>
      <c r="C235" s="164"/>
      <c r="D235" s="148"/>
    </row>
    <row r="236" spans="1:4" s="167" customFormat="1" ht="15.6" x14ac:dyDescent="0.3">
      <c r="A236" s="145"/>
      <c r="B236" s="164"/>
      <c r="C236" s="164"/>
      <c r="D236" s="148"/>
    </row>
    <row r="237" spans="1:4" s="167" customFormat="1" ht="15.6" x14ac:dyDescent="0.3">
      <c r="A237" s="145"/>
      <c r="B237" s="164"/>
      <c r="C237" s="164"/>
      <c r="D237" s="148"/>
    </row>
    <row r="238" spans="1:4" s="167" customFormat="1" ht="15.6" x14ac:dyDescent="0.3">
      <c r="A238" s="145"/>
      <c r="B238" s="164"/>
      <c r="C238" s="164"/>
      <c r="D238" s="148"/>
    </row>
    <row r="239" spans="1:4" s="167" customFormat="1" ht="15.6" x14ac:dyDescent="0.3">
      <c r="A239" s="145"/>
      <c r="B239" s="164"/>
      <c r="C239" s="164"/>
      <c r="D239" s="148"/>
    </row>
    <row r="240" spans="1:4" s="167" customFormat="1" ht="15.6" x14ac:dyDescent="0.3">
      <c r="A240" s="145"/>
      <c r="B240" s="166"/>
      <c r="C240" s="166"/>
      <c r="D240" s="148"/>
    </row>
    <row r="241" spans="1:4" s="167" customFormat="1" ht="15.6" x14ac:dyDescent="0.3">
      <c r="A241" s="145"/>
      <c r="B241" s="164"/>
      <c r="C241" s="164"/>
      <c r="D241" s="148"/>
    </row>
    <row r="242" spans="1:4" s="167" customFormat="1" ht="15.6" x14ac:dyDescent="0.3">
      <c r="A242" s="145"/>
      <c r="B242" s="164"/>
      <c r="C242" s="164"/>
      <c r="D242" s="148"/>
    </row>
    <row r="243" spans="1:4" s="167" customFormat="1" ht="15.6" x14ac:dyDescent="0.3">
      <c r="A243" s="145"/>
      <c r="B243" s="164"/>
      <c r="C243" s="164"/>
      <c r="D243" s="148"/>
    </row>
    <row r="244" spans="1:4" s="167" customFormat="1" ht="15.6" x14ac:dyDescent="0.3">
      <c r="A244" s="145"/>
      <c r="B244" s="164"/>
      <c r="C244" s="164"/>
      <c r="D244" s="148"/>
    </row>
    <row r="245" spans="1:4" s="167" customFormat="1" ht="15.6" x14ac:dyDescent="0.3">
      <c r="A245" s="145"/>
      <c r="B245" s="164"/>
      <c r="C245" s="164"/>
      <c r="D245" s="148"/>
    </row>
    <row r="246" spans="1:4" s="167" customFormat="1" ht="15.6" x14ac:dyDescent="0.3">
      <c r="A246" s="145"/>
      <c r="B246" s="164"/>
      <c r="C246" s="164"/>
      <c r="D246" s="148"/>
    </row>
    <row r="247" spans="1:4" s="167" customFormat="1" ht="15.6" x14ac:dyDescent="0.3">
      <c r="A247" s="145"/>
      <c r="B247" s="164"/>
      <c r="C247" s="164"/>
      <c r="D247" s="148"/>
    </row>
    <row r="248" spans="1:4" s="167" customFormat="1" ht="15.6" x14ac:dyDescent="0.3">
      <c r="A248" s="145"/>
      <c r="B248" s="166"/>
      <c r="C248" s="166"/>
      <c r="D248" s="148"/>
    </row>
    <row r="249" spans="1:4" s="167" customFormat="1" ht="15.6" x14ac:dyDescent="0.3">
      <c r="A249" s="145"/>
      <c r="B249" s="164"/>
      <c r="C249" s="164"/>
      <c r="D249" s="148"/>
    </row>
    <row r="250" spans="1:4" s="167" customFormat="1" ht="15.6" x14ac:dyDescent="0.3">
      <c r="A250" s="145"/>
      <c r="B250" s="164"/>
      <c r="C250" s="164"/>
      <c r="D250" s="148"/>
    </row>
    <row r="251" spans="1:4" s="167" customFormat="1" ht="15.6" x14ac:dyDescent="0.3">
      <c r="A251" s="145"/>
      <c r="B251" s="164"/>
      <c r="C251" s="164"/>
      <c r="D251" s="148"/>
    </row>
    <row r="252" spans="1:4" s="167" customFormat="1" ht="15.6" x14ac:dyDescent="0.3">
      <c r="A252" s="145"/>
      <c r="B252" s="164"/>
      <c r="C252" s="164"/>
      <c r="D252" s="148"/>
    </row>
    <row r="253" spans="1:4" s="167" customFormat="1" ht="15.6" x14ac:dyDescent="0.3">
      <c r="A253" s="145"/>
      <c r="B253" s="164"/>
      <c r="C253" s="164"/>
      <c r="D253" s="148"/>
    </row>
    <row r="254" spans="1:4" s="167" customFormat="1" ht="15.6" x14ac:dyDescent="0.3">
      <c r="A254" s="145"/>
      <c r="B254" s="164"/>
      <c r="C254" s="164"/>
      <c r="D254" s="148"/>
    </row>
    <row r="255" spans="1:4" s="167" customFormat="1" ht="15.6" x14ac:dyDescent="0.3">
      <c r="A255" s="145"/>
      <c r="B255" s="164"/>
      <c r="C255" s="164"/>
      <c r="D255" s="148"/>
    </row>
    <row r="256" spans="1:4" s="167" customFormat="1" ht="15.6" x14ac:dyDescent="0.3">
      <c r="A256" s="145"/>
      <c r="B256" s="164"/>
      <c r="C256" s="164"/>
      <c r="D256" s="148"/>
    </row>
    <row r="257" spans="1:4" s="167" customFormat="1" ht="15.6" x14ac:dyDescent="0.3">
      <c r="A257" s="145"/>
      <c r="B257" s="164"/>
      <c r="C257" s="164"/>
      <c r="D257" s="148"/>
    </row>
    <row r="258" spans="1:4" s="167" customFormat="1" ht="15.6" x14ac:dyDescent="0.3">
      <c r="A258" s="145"/>
      <c r="B258" s="164"/>
      <c r="C258" s="164"/>
      <c r="D258" s="148"/>
    </row>
    <row r="259" spans="1:4" s="167" customFormat="1" ht="15.6" x14ac:dyDescent="0.3">
      <c r="A259" s="145"/>
      <c r="B259" s="164"/>
      <c r="C259" s="164"/>
      <c r="D259" s="148"/>
    </row>
    <row r="260" spans="1:4" s="167" customFormat="1" ht="15.6" x14ac:dyDescent="0.3">
      <c r="A260" s="145"/>
      <c r="B260" s="164"/>
      <c r="C260" s="164"/>
      <c r="D260" s="148"/>
    </row>
    <row r="261" spans="1:4" s="167" customFormat="1" ht="15.6" x14ac:dyDescent="0.3">
      <c r="A261" s="145"/>
      <c r="B261" s="164"/>
      <c r="C261" s="164"/>
      <c r="D261" s="148"/>
    </row>
    <row r="262" spans="1:4" s="167" customFormat="1" ht="13.2" x14ac:dyDescent="0.25">
      <c r="A262" s="143"/>
      <c r="B262" s="162"/>
      <c r="C262" s="163"/>
      <c r="D262" s="149"/>
    </row>
    <row r="263" spans="1:4" s="167" customFormat="1" ht="15.6" x14ac:dyDescent="0.3">
      <c r="A263" s="145"/>
      <c r="B263" s="164"/>
      <c r="C263" s="164"/>
      <c r="D263" s="148"/>
    </row>
    <row r="264" spans="1:4" s="167" customFormat="1" ht="15.6" x14ac:dyDescent="0.3">
      <c r="A264" s="145"/>
      <c r="B264" s="164"/>
      <c r="C264" s="164"/>
      <c r="D264" s="148"/>
    </row>
    <row r="265" spans="1:4" s="167" customFormat="1" ht="15.6" x14ac:dyDescent="0.3">
      <c r="A265" s="145"/>
      <c r="B265" s="166"/>
      <c r="C265" s="166"/>
      <c r="D265" s="148"/>
    </row>
    <row r="266" spans="1:4" s="167" customFormat="1" ht="15.6" x14ac:dyDescent="0.3">
      <c r="A266" s="145"/>
      <c r="B266" s="164"/>
      <c r="C266" s="164"/>
      <c r="D266" s="148"/>
    </row>
    <row r="267" spans="1:4" s="167" customFormat="1" ht="15.6" x14ac:dyDescent="0.3">
      <c r="A267" s="145"/>
      <c r="B267" s="164"/>
      <c r="C267" s="164"/>
      <c r="D267" s="148"/>
    </row>
    <row r="268" spans="1:4" s="167" customFormat="1" ht="15.6" x14ac:dyDescent="0.3">
      <c r="A268" s="145"/>
      <c r="B268" s="164"/>
      <c r="C268" s="164"/>
      <c r="D268" s="148"/>
    </row>
    <row r="269" spans="1:4" s="167" customFormat="1" ht="15.6" x14ac:dyDescent="0.3">
      <c r="A269" s="145"/>
      <c r="B269" s="164"/>
      <c r="C269" s="164"/>
      <c r="D269" s="148"/>
    </row>
    <row r="270" spans="1:4" s="167" customFormat="1" ht="15.6" x14ac:dyDescent="0.3">
      <c r="A270" s="145"/>
      <c r="B270" s="164"/>
      <c r="C270" s="164"/>
      <c r="D270" s="148"/>
    </row>
    <row r="271" spans="1:4" s="167" customFormat="1" ht="15.6" x14ac:dyDescent="0.3">
      <c r="A271" s="145"/>
      <c r="B271" s="164"/>
      <c r="C271" s="164"/>
      <c r="D271" s="148"/>
    </row>
    <row r="272" spans="1:4" s="167" customFormat="1" ht="15.6" x14ac:dyDescent="0.3">
      <c r="A272" s="145"/>
      <c r="B272" s="166"/>
      <c r="C272" s="166"/>
      <c r="D272" s="148"/>
    </row>
    <row r="273" spans="1:4" s="167" customFormat="1" ht="15.6" x14ac:dyDescent="0.3">
      <c r="A273" s="145"/>
      <c r="B273" s="164"/>
      <c r="C273" s="164"/>
      <c r="D273" s="148"/>
    </row>
    <row r="274" spans="1:4" s="167" customFormat="1" ht="15.6" x14ac:dyDescent="0.3">
      <c r="A274" s="145"/>
      <c r="B274" s="164"/>
      <c r="C274" s="164"/>
      <c r="D274" s="148"/>
    </row>
    <row r="275" spans="1:4" s="167" customFormat="1" ht="15.6" x14ac:dyDescent="0.3">
      <c r="A275" s="145"/>
      <c r="B275" s="164"/>
      <c r="C275" s="164"/>
      <c r="D275" s="148"/>
    </row>
    <row r="276" spans="1:4" s="167" customFormat="1" ht="15.6" x14ac:dyDescent="0.3">
      <c r="A276" s="145"/>
      <c r="B276" s="164"/>
      <c r="C276" s="164"/>
      <c r="D276" s="148"/>
    </row>
    <row r="277" spans="1:4" s="167" customFormat="1" ht="15.6" x14ac:dyDescent="0.3">
      <c r="A277" s="145"/>
      <c r="B277" s="164"/>
      <c r="C277" s="164"/>
      <c r="D277" s="148"/>
    </row>
    <row r="278" spans="1:4" s="167" customFormat="1" ht="15.6" x14ac:dyDescent="0.3">
      <c r="A278" s="145"/>
      <c r="B278" s="164"/>
      <c r="C278" s="164"/>
      <c r="D278" s="148"/>
    </row>
    <row r="279" spans="1:4" s="167" customFormat="1" ht="15.6" x14ac:dyDescent="0.3">
      <c r="A279" s="145"/>
      <c r="B279" s="164"/>
      <c r="C279" s="164"/>
      <c r="D279" s="148"/>
    </row>
    <row r="280" spans="1:4" s="167" customFormat="1" ht="15.6" x14ac:dyDescent="0.3">
      <c r="A280" s="145"/>
      <c r="B280" s="166"/>
      <c r="C280" s="166"/>
      <c r="D280" s="148"/>
    </row>
    <row r="281" spans="1:4" s="167" customFormat="1" ht="15.6" x14ac:dyDescent="0.3">
      <c r="A281" s="145"/>
      <c r="B281" s="164"/>
      <c r="C281" s="164"/>
      <c r="D281" s="148"/>
    </row>
    <row r="282" spans="1:4" s="167" customFormat="1" ht="15.6" x14ac:dyDescent="0.3">
      <c r="A282" s="145"/>
      <c r="B282" s="164"/>
      <c r="C282" s="164"/>
      <c r="D282" s="148"/>
    </row>
    <row r="283" spans="1:4" s="167" customFormat="1" ht="15.6" x14ac:dyDescent="0.3">
      <c r="A283" s="145"/>
      <c r="B283" s="164"/>
      <c r="C283" s="164"/>
      <c r="D283" s="148"/>
    </row>
    <row r="284" spans="1:4" s="167" customFormat="1" ht="15.6" x14ac:dyDescent="0.3">
      <c r="A284" s="145"/>
      <c r="B284" s="164"/>
      <c r="C284" s="164"/>
      <c r="D284" s="148"/>
    </row>
    <row r="285" spans="1:4" s="167" customFormat="1" ht="15.6" x14ac:dyDescent="0.3">
      <c r="A285" s="145"/>
      <c r="B285" s="164"/>
      <c r="C285" s="164"/>
      <c r="D285" s="148"/>
    </row>
    <row r="286" spans="1:4" s="167" customFormat="1" ht="15.6" x14ac:dyDescent="0.3">
      <c r="A286" s="145"/>
      <c r="B286" s="164"/>
      <c r="C286" s="164"/>
      <c r="D286" s="148"/>
    </row>
    <row r="287" spans="1:4" s="167" customFormat="1" ht="15.6" x14ac:dyDescent="0.3">
      <c r="A287" s="145"/>
      <c r="B287" s="166"/>
      <c r="C287" s="166"/>
      <c r="D287" s="148"/>
    </row>
    <row r="288" spans="1:4" s="167" customFormat="1" ht="15.6" x14ac:dyDescent="0.3">
      <c r="A288" s="145"/>
      <c r="B288" s="164"/>
      <c r="C288" s="164"/>
      <c r="D288" s="148"/>
    </row>
    <row r="289" spans="1:4" s="167" customFormat="1" ht="15.6" x14ac:dyDescent="0.3">
      <c r="A289" s="145"/>
      <c r="B289" s="164"/>
      <c r="C289" s="164"/>
      <c r="D289" s="148"/>
    </row>
    <row r="290" spans="1:4" s="167" customFormat="1" ht="15.6" x14ac:dyDescent="0.3">
      <c r="A290" s="145"/>
      <c r="B290" s="164"/>
      <c r="C290" s="164"/>
      <c r="D290" s="148"/>
    </row>
    <row r="291" spans="1:4" s="167" customFormat="1" ht="15.6" x14ac:dyDescent="0.3">
      <c r="A291" s="145"/>
      <c r="B291" s="164"/>
      <c r="C291" s="164"/>
      <c r="D291" s="148"/>
    </row>
    <row r="292" spans="1:4" s="167" customFormat="1" ht="15.6" x14ac:dyDescent="0.3">
      <c r="A292" s="145"/>
      <c r="B292" s="164"/>
      <c r="C292" s="164"/>
      <c r="D292" s="148"/>
    </row>
    <row r="293" spans="1:4" s="167" customFormat="1" ht="15.6" x14ac:dyDescent="0.3">
      <c r="A293" s="145"/>
      <c r="B293" s="164"/>
      <c r="C293" s="164"/>
      <c r="D293" s="148"/>
    </row>
    <row r="294" spans="1:4" s="167" customFormat="1" ht="13.2" x14ac:dyDescent="0.25">
      <c r="A294" s="143"/>
      <c r="B294" s="162"/>
      <c r="C294" s="163"/>
      <c r="D294" s="149"/>
    </row>
    <row r="295" spans="1:4" s="167" customFormat="1" ht="15.6" x14ac:dyDescent="0.3">
      <c r="A295" s="145"/>
      <c r="B295" s="164"/>
      <c r="C295" s="164"/>
      <c r="D295" s="148"/>
    </row>
    <row r="296" spans="1:4" s="167" customFormat="1" ht="15.6" x14ac:dyDescent="0.3">
      <c r="A296" s="145"/>
      <c r="B296" s="164"/>
      <c r="C296" s="164"/>
      <c r="D296" s="148"/>
    </row>
    <row r="297" spans="1:4" s="167" customFormat="1" ht="15.6" x14ac:dyDescent="0.3">
      <c r="A297" s="145"/>
      <c r="B297" s="164"/>
      <c r="C297" s="164"/>
      <c r="D297" s="148"/>
    </row>
    <row r="298" spans="1:4" s="167" customFormat="1" ht="15.6" x14ac:dyDescent="0.3">
      <c r="A298" s="145"/>
      <c r="B298" s="164"/>
      <c r="C298" s="164"/>
      <c r="D298" s="148"/>
    </row>
    <row r="299" spans="1:4" s="167" customFormat="1" ht="15.6" x14ac:dyDescent="0.3">
      <c r="A299" s="145"/>
      <c r="B299" s="164"/>
      <c r="C299" s="164"/>
      <c r="D299" s="148"/>
    </row>
    <row r="300" spans="1:4" s="167" customFormat="1" ht="15.6" x14ac:dyDescent="0.3">
      <c r="A300" s="145"/>
      <c r="B300" s="164"/>
      <c r="C300" s="164"/>
      <c r="D300" s="148"/>
    </row>
    <row r="301" spans="1:4" s="167" customFormat="1" ht="15.6" x14ac:dyDescent="0.3">
      <c r="A301" s="145"/>
      <c r="B301" s="166"/>
      <c r="C301" s="166"/>
      <c r="D301" s="148"/>
    </row>
    <row r="302" spans="1:4" s="167" customFormat="1" ht="15.6" x14ac:dyDescent="0.3">
      <c r="A302" s="145"/>
      <c r="B302" s="164"/>
      <c r="C302" s="164"/>
      <c r="D302" s="148"/>
    </row>
    <row r="303" spans="1:4" s="167" customFormat="1" ht="15.6" x14ac:dyDescent="0.3">
      <c r="A303" s="145"/>
      <c r="B303" s="164"/>
      <c r="C303" s="164"/>
      <c r="D303" s="148"/>
    </row>
    <row r="304" spans="1:4" s="167" customFormat="1" ht="15.6" x14ac:dyDescent="0.3">
      <c r="A304" s="145"/>
      <c r="B304" s="164"/>
      <c r="C304" s="164"/>
      <c r="D304" s="148"/>
    </row>
    <row r="305" spans="1:4" s="167" customFormat="1" ht="15.6" x14ac:dyDescent="0.3">
      <c r="A305" s="145"/>
      <c r="B305" s="164"/>
      <c r="C305" s="164"/>
      <c r="D305" s="148"/>
    </row>
    <row r="306" spans="1:4" s="167" customFormat="1" ht="15.6" x14ac:dyDescent="0.3">
      <c r="A306" s="145"/>
      <c r="B306" s="164"/>
      <c r="C306" s="164"/>
      <c r="D306" s="148"/>
    </row>
    <row r="307" spans="1:4" s="167" customFormat="1" ht="15.6" x14ac:dyDescent="0.3">
      <c r="A307" s="145"/>
      <c r="B307" s="164"/>
      <c r="C307" s="164"/>
      <c r="D307" s="148"/>
    </row>
    <row r="308" spans="1:4" s="167" customFormat="1" ht="15.6" x14ac:dyDescent="0.3">
      <c r="A308" s="145"/>
      <c r="B308" s="164"/>
      <c r="C308" s="164"/>
      <c r="D308" s="148"/>
    </row>
    <row r="309" spans="1:4" s="167" customFormat="1" ht="15.6" x14ac:dyDescent="0.3">
      <c r="A309" s="145"/>
      <c r="B309" s="164"/>
      <c r="C309" s="164"/>
      <c r="D309" s="148"/>
    </row>
    <row r="310" spans="1:4" s="167" customFormat="1" ht="15.6" x14ac:dyDescent="0.3">
      <c r="A310" s="145"/>
      <c r="B310" s="164"/>
      <c r="C310" s="164"/>
      <c r="D310" s="148"/>
    </row>
    <row r="311" spans="1:4" s="167" customFormat="1" ht="15.6" x14ac:dyDescent="0.3">
      <c r="A311" s="145"/>
      <c r="B311" s="164"/>
      <c r="C311" s="164"/>
      <c r="D311" s="148"/>
    </row>
    <row r="312" spans="1:4" s="167" customFormat="1" ht="15.6" x14ac:dyDescent="0.3">
      <c r="A312" s="145"/>
      <c r="B312" s="164"/>
      <c r="C312" s="164"/>
      <c r="D312" s="148"/>
    </row>
    <row r="313" spans="1:4" s="167" customFormat="1" ht="15.6" x14ac:dyDescent="0.3">
      <c r="A313" s="145"/>
      <c r="B313" s="166"/>
      <c r="C313" s="166"/>
      <c r="D313" s="148"/>
    </row>
    <row r="314" spans="1:4" s="167" customFormat="1" ht="15.6" x14ac:dyDescent="0.3">
      <c r="A314" s="145"/>
      <c r="B314" s="164"/>
      <c r="C314" s="164"/>
      <c r="D314" s="148"/>
    </row>
    <row r="315" spans="1:4" s="167" customFormat="1" ht="15.6" x14ac:dyDescent="0.3">
      <c r="A315" s="145"/>
      <c r="B315" s="164"/>
      <c r="C315" s="164"/>
      <c r="D315" s="148"/>
    </row>
    <row r="316" spans="1:4" s="167" customFormat="1" ht="15.6" x14ac:dyDescent="0.3">
      <c r="A316" s="145"/>
      <c r="B316" s="164"/>
      <c r="C316" s="164"/>
      <c r="D316" s="148"/>
    </row>
    <row r="317" spans="1:4" s="167" customFormat="1" ht="13.2" x14ac:dyDescent="0.25">
      <c r="A317" s="143"/>
      <c r="B317" s="162"/>
      <c r="C317" s="163"/>
      <c r="D317" s="149"/>
    </row>
    <row r="318" spans="1:4" ht="15.6" x14ac:dyDescent="0.3">
      <c r="A318" s="145"/>
      <c r="B318" s="164"/>
      <c r="C318" s="164"/>
      <c r="D318" s="148"/>
    </row>
    <row r="319" spans="1:4" ht="15.6" x14ac:dyDescent="0.3">
      <c r="A319" s="145"/>
      <c r="B319" s="164"/>
      <c r="C319" s="164"/>
      <c r="D319" s="148"/>
    </row>
    <row r="320" spans="1:4" ht="15.6" x14ac:dyDescent="0.3">
      <c r="A320" s="145"/>
      <c r="B320" s="164"/>
      <c r="C320" s="164"/>
      <c r="D320" s="148"/>
    </row>
    <row r="321" spans="1:4" ht="15.6" x14ac:dyDescent="0.3">
      <c r="A321" s="145"/>
      <c r="B321" s="164"/>
      <c r="C321" s="164"/>
      <c r="D321" s="148"/>
    </row>
    <row r="322" spans="1:4" ht="15.6" x14ac:dyDescent="0.3">
      <c r="A322" s="145"/>
      <c r="B322" s="164"/>
      <c r="C322" s="164"/>
      <c r="D322" s="148"/>
    </row>
    <row r="323" spans="1:4" ht="15.6" x14ac:dyDescent="0.3">
      <c r="A323" s="145"/>
      <c r="B323" s="164"/>
      <c r="C323" s="164"/>
      <c r="D323" s="148"/>
    </row>
    <row r="324" spans="1:4" ht="15.6" x14ac:dyDescent="0.3">
      <c r="A324" s="145"/>
      <c r="B324" s="164"/>
      <c r="C324" s="164"/>
      <c r="D324" s="148"/>
    </row>
    <row r="325" spans="1:4" ht="15.6" x14ac:dyDescent="0.3">
      <c r="A325" s="145"/>
      <c r="B325" s="166"/>
      <c r="C325" s="166"/>
      <c r="D325" s="148"/>
    </row>
    <row r="326" spans="1:4" ht="15.6" x14ac:dyDescent="0.3">
      <c r="A326" s="145"/>
      <c r="B326" s="164"/>
      <c r="C326" s="164"/>
      <c r="D326" s="148"/>
    </row>
    <row r="327" spans="1:4" ht="15.6" x14ac:dyDescent="0.3">
      <c r="A327" s="145"/>
      <c r="B327" s="164"/>
      <c r="C327" s="164"/>
      <c r="D327" s="148"/>
    </row>
    <row r="328" spans="1:4" ht="15.6" x14ac:dyDescent="0.3">
      <c r="A328" s="145"/>
      <c r="B328" s="164"/>
      <c r="C328" s="164"/>
      <c r="D328" s="148"/>
    </row>
    <row r="329" spans="1:4" ht="15.6" x14ac:dyDescent="0.3">
      <c r="A329" s="145"/>
      <c r="B329" s="164"/>
      <c r="C329" s="164"/>
      <c r="D329" s="148"/>
    </row>
    <row r="330" spans="1:4" ht="15.6" x14ac:dyDescent="0.3">
      <c r="A330" s="145"/>
      <c r="B330" s="164"/>
      <c r="C330" s="164"/>
      <c r="D330" s="148"/>
    </row>
    <row r="331" spans="1:4" ht="15.6" x14ac:dyDescent="0.3">
      <c r="A331" s="145"/>
      <c r="B331" s="164"/>
      <c r="C331" s="164"/>
      <c r="D331" s="148"/>
    </row>
    <row r="332" spans="1:4" ht="15.6" x14ac:dyDescent="0.3">
      <c r="A332" s="145"/>
      <c r="B332" s="164"/>
      <c r="C332" s="164"/>
      <c r="D332" s="148"/>
    </row>
    <row r="333" spans="1:4" ht="15.6" x14ac:dyDescent="0.3">
      <c r="A333" s="145"/>
      <c r="B333" s="164"/>
      <c r="C333" s="164"/>
      <c r="D333" s="148"/>
    </row>
    <row r="334" spans="1:4" ht="15.6" x14ac:dyDescent="0.3">
      <c r="A334" s="145"/>
      <c r="B334" s="164"/>
      <c r="C334" s="164"/>
      <c r="D334" s="148"/>
    </row>
    <row r="335" spans="1:4" ht="15.6" x14ac:dyDescent="0.3">
      <c r="A335" s="145"/>
      <c r="B335" s="164"/>
      <c r="C335" s="170"/>
      <c r="D335" s="148"/>
    </row>
    <row r="336" spans="1:4" ht="15.6" x14ac:dyDescent="0.3">
      <c r="A336" s="145"/>
      <c r="B336" s="164"/>
      <c r="C336" s="170"/>
      <c r="D336" s="148"/>
    </row>
    <row r="337" spans="1:4" ht="15.6" x14ac:dyDescent="0.3">
      <c r="A337" s="145"/>
      <c r="B337" s="166"/>
      <c r="C337" s="166"/>
      <c r="D337" s="148"/>
    </row>
    <row r="338" spans="1:4" ht="15.6" x14ac:dyDescent="0.3">
      <c r="A338" s="145"/>
      <c r="B338" s="164"/>
      <c r="C338" s="164"/>
      <c r="D338" s="148"/>
    </row>
    <row r="339" spans="1:4" ht="15.6" x14ac:dyDescent="0.3">
      <c r="A339" s="145"/>
      <c r="B339" s="164"/>
      <c r="C339" s="164"/>
      <c r="D339" s="148"/>
    </row>
    <row r="340" spans="1:4" ht="15.6" x14ac:dyDescent="0.3">
      <c r="A340" s="145"/>
      <c r="B340" s="164"/>
      <c r="C340" s="164"/>
      <c r="D340" s="148"/>
    </row>
    <row r="341" spans="1:4" ht="15.6" x14ac:dyDescent="0.3">
      <c r="A341" s="145"/>
      <c r="B341" s="164"/>
      <c r="C341" s="170"/>
      <c r="D341" s="148"/>
    </row>
    <row r="342" spans="1:4" ht="15.6" x14ac:dyDescent="0.3">
      <c r="A342" s="145"/>
      <c r="B342" s="170"/>
      <c r="C342" s="164"/>
      <c r="D342" s="148"/>
    </row>
    <row r="343" spans="1:4" x14ac:dyDescent="0.3">
      <c r="A343" s="143"/>
      <c r="B343" s="162"/>
      <c r="C343" s="163"/>
      <c r="D343" s="149"/>
    </row>
    <row r="344" spans="1:4" ht="15.6" x14ac:dyDescent="0.3">
      <c r="A344" s="147"/>
      <c r="B344" s="171"/>
      <c r="C344" s="172"/>
      <c r="D344" s="150"/>
    </row>
    <row r="345" spans="1:4" ht="15.6" x14ac:dyDescent="0.3">
      <c r="A345" s="145"/>
      <c r="B345" s="164"/>
      <c r="C345" s="164"/>
      <c r="D345" s="150"/>
    </row>
    <row r="346" spans="1:4" ht="15.6" x14ac:dyDescent="0.3">
      <c r="A346" s="145"/>
      <c r="B346" s="164"/>
      <c r="C346" s="164"/>
      <c r="D346" s="150"/>
    </row>
    <row r="347" spans="1:4" ht="15.6" x14ac:dyDescent="0.3">
      <c r="A347" s="145"/>
      <c r="B347" s="164"/>
      <c r="C347" s="164"/>
      <c r="D347" s="150"/>
    </row>
    <row r="348" spans="1:4" ht="15.6" x14ac:dyDescent="0.3">
      <c r="A348" s="145"/>
      <c r="B348" s="164"/>
      <c r="C348" s="164"/>
      <c r="D348" s="150"/>
    </row>
    <row r="349" spans="1:4" ht="15.6" x14ac:dyDescent="0.3">
      <c r="A349" s="145"/>
      <c r="B349" s="166"/>
      <c r="C349" s="166"/>
      <c r="D349" s="150"/>
    </row>
    <row r="350" spans="1:4" ht="15.6" x14ac:dyDescent="0.3">
      <c r="A350" s="145"/>
      <c r="B350" s="164"/>
      <c r="C350" s="164"/>
      <c r="D350" s="150"/>
    </row>
    <row r="351" spans="1:4" ht="15.6" x14ac:dyDescent="0.3">
      <c r="A351" s="145"/>
      <c r="B351" s="164"/>
      <c r="C351" s="164"/>
      <c r="D351" s="150"/>
    </row>
    <row r="352" spans="1:4" x14ac:dyDescent="0.3">
      <c r="A352" s="143"/>
      <c r="B352" s="162"/>
      <c r="C352" s="163"/>
      <c r="D352" s="149"/>
    </row>
    <row r="353" spans="1:4" ht="15.6" x14ac:dyDescent="0.3">
      <c r="A353" s="210"/>
      <c r="B353" s="211"/>
      <c r="C353" s="211"/>
      <c r="D353" s="212"/>
    </row>
    <row r="354" spans="1:4" ht="15.6" x14ac:dyDescent="0.3">
      <c r="A354" s="204"/>
      <c r="B354" s="205"/>
      <c r="C354" s="205"/>
      <c r="D354" s="206"/>
    </row>
    <row r="355" spans="1:4" ht="16.2" thickBot="1" x14ac:dyDescent="0.35">
      <c r="A355" s="207"/>
      <c r="B355" s="208"/>
      <c r="C355" s="208"/>
      <c r="D355" s="209"/>
    </row>
    <row r="356" spans="1:4" x14ac:dyDescent="0.3">
      <c r="A356" s="98"/>
      <c r="B356" s="98"/>
      <c r="C356" s="98"/>
      <c r="D356" s="98"/>
    </row>
  </sheetData>
  <sheetProtection selectLockedCells="1" selectUnlockedCells="1"/>
  <mergeCells count="4">
    <mergeCell ref="A354:D354"/>
    <mergeCell ref="A355:D355"/>
    <mergeCell ref="A353:D353"/>
    <mergeCell ref="A80:D80"/>
  </mergeCells>
  <phoneticPr fontId="23" type="noConversion"/>
  <printOptions gridLines="1"/>
  <pageMargins left="0.35000000000000003" right="3.6555555555555554" top="0.44444444444444442" bottom="0.46666666666666667" header="0.2" footer="0.2"/>
  <pageSetup orientation="portrait" horizontalDpi="4294967292" verticalDpi="4294967292" r:id="rId1"/>
  <headerFooter>
    <oddHeader>&amp;L&amp;K000000Leaves Social&amp;C&amp;K000000Remembrance Day&amp;R&amp;K00000011 Nov 21</oddHeader>
    <oddFooter>&amp;L&amp;K000000Mark Leaves 1&amp;R&amp;K000000Page &amp;P</oddFooter>
  </headerFooter>
  <rowBreaks count="1" manualBreakCount="1">
    <brk id="35" max="3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8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4" sqref="B4:R9"/>
    </sheetView>
  </sheetViews>
  <sheetFormatPr defaultColWidth="8.88671875" defaultRowHeight="13.2" x14ac:dyDescent="0.25"/>
  <cols>
    <col min="1" max="1" width="3" customWidth="1"/>
    <col min="2" max="2" width="14.44140625" customWidth="1"/>
    <col min="3" max="3" width="15" customWidth="1"/>
    <col min="4" max="4" width="6.109375" bestFit="1" customWidth="1"/>
    <col min="5" max="6" width="30.6640625" customWidth="1"/>
    <col min="7" max="7" width="15.6640625" customWidth="1"/>
    <col min="8" max="8" width="9" bestFit="1" customWidth="1"/>
    <col min="9" max="9" width="8" bestFit="1" customWidth="1"/>
    <col min="10" max="10" width="11.88671875" bestFit="1" customWidth="1"/>
    <col min="11" max="11" width="16" bestFit="1" customWidth="1"/>
    <col min="12" max="12" width="15.44140625" bestFit="1" customWidth="1"/>
    <col min="13" max="13" width="13.33203125" bestFit="1" customWidth="1"/>
    <col min="14" max="14" width="34.109375" customWidth="1"/>
    <col min="15" max="16" width="9.44140625" customWidth="1"/>
    <col min="17" max="17" width="9" customWidth="1"/>
  </cols>
  <sheetData>
    <row r="1" spans="1:18" ht="27" thickBot="1" x14ac:dyDescent="0.3">
      <c r="A1" s="72"/>
      <c r="B1" s="73" t="s">
        <v>40</v>
      </c>
      <c r="C1" s="73" t="s">
        <v>41</v>
      </c>
      <c r="D1" s="73" t="s">
        <v>42</v>
      </c>
      <c r="E1" s="73" t="s">
        <v>43</v>
      </c>
      <c r="F1" s="73" t="s">
        <v>63</v>
      </c>
      <c r="G1" s="73" t="s">
        <v>19</v>
      </c>
      <c r="H1" s="74" t="s">
        <v>20</v>
      </c>
      <c r="I1" s="73" t="s">
        <v>21</v>
      </c>
      <c r="J1" s="73" t="s">
        <v>22</v>
      </c>
      <c r="K1" s="48" t="s">
        <v>64</v>
      </c>
      <c r="L1" s="48" t="s">
        <v>65</v>
      </c>
      <c r="M1" s="49" t="s">
        <v>66</v>
      </c>
      <c r="N1" s="75" t="s">
        <v>24</v>
      </c>
      <c r="O1" s="69" t="s">
        <v>70</v>
      </c>
      <c r="P1" s="69" t="s">
        <v>71</v>
      </c>
      <c r="Q1" s="69" t="s">
        <v>72</v>
      </c>
      <c r="R1" s="69" t="s">
        <v>73</v>
      </c>
    </row>
    <row r="2" spans="1:18" x14ac:dyDescent="0.25">
      <c r="A2" s="72"/>
      <c r="B2" s="76" t="str">
        <f t="shared" ref="B2:N2" si="0">IF(ISBLANK(B3),"",B3)</f>
        <v/>
      </c>
      <c r="C2" s="76" t="str">
        <f t="shared" si="0"/>
        <v/>
      </c>
      <c r="D2" s="76" t="str">
        <f t="shared" si="0"/>
        <v/>
      </c>
      <c r="E2" s="76" t="str">
        <f t="shared" si="0"/>
        <v/>
      </c>
      <c r="F2" s="76" t="str">
        <f t="shared" si="0"/>
        <v/>
      </c>
      <c r="G2" s="76" t="str">
        <f t="shared" si="0"/>
        <v/>
      </c>
      <c r="H2" s="76" t="str">
        <f t="shared" si="0"/>
        <v/>
      </c>
      <c r="I2" s="76" t="str">
        <f t="shared" si="0"/>
        <v/>
      </c>
      <c r="J2" s="76" t="str">
        <f t="shared" si="0"/>
        <v/>
      </c>
      <c r="K2" s="77" t="str">
        <f t="shared" si="0"/>
        <v/>
      </c>
      <c r="L2" s="77" t="str">
        <f t="shared" si="0"/>
        <v/>
      </c>
      <c r="M2" s="77" t="str">
        <f t="shared" si="0"/>
        <v/>
      </c>
      <c r="N2" s="76" t="str">
        <f t="shared" si="0"/>
        <v/>
      </c>
      <c r="O2" s="78"/>
      <c r="P2" s="79"/>
      <c r="Q2" s="78"/>
      <c r="R2" s="78"/>
    </row>
    <row r="3" spans="1:18" x14ac:dyDescent="0.25">
      <c r="A3">
        <v>1</v>
      </c>
      <c r="B3" s="55"/>
      <c r="C3" s="55"/>
      <c r="D3" s="55"/>
      <c r="E3" s="55"/>
      <c r="F3" s="55"/>
      <c r="G3" s="55"/>
      <c r="H3" s="55"/>
      <c r="I3" s="55"/>
      <c r="J3" s="55"/>
      <c r="K3" s="56"/>
      <c r="L3" s="56"/>
      <c r="M3" s="56"/>
      <c r="N3" s="55"/>
      <c r="O3" s="70"/>
      <c r="P3" s="70"/>
      <c r="Q3" s="70"/>
      <c r="R3" s="71"/>
    </row>
    <row r="4" spans="1:18" x14ac:dyDescent="0.25">
      <c r="A4" s="54"/>
      <c r="B4" s="86"/>
      <c r="C4" s="86"/>
      <c r="D4" s="55"/>
      <c r="E4" s="86"/>
      <c r="F4" s="55"/>
      <c r="G4" s="86"/>
      <c r="H4" s="86"/>
      <c r="I4" s="86"/>
      <c r="J4" s="86"/>
      <c r="K4" s="56"/>
      <c r="L4" s="56"/>
      <c r="M4" s="56"/>
      <c r="N4" s="87"/>
      <c r="O4" s="88"/>
      <c r="P4" s="70"/>
      <c r="Q4" s="71"/>
      <c r="R4" s="88"/>
    </row>
    <row r="5" spans="1:18" x14ac:dyDescent="0.25">
      <c r="A5" s="54"/>
      <c r="B5" s="86"/>
      <c r="C5" s="86"/>
      <c r="D5" s="55"/>
      <c r="E5" s="55"/>
      <c r="F5" s="55"/>
      <c r="G5" s="86"/>
      <c r="H5" s="86"/>
      <c r="I5" s="86"/>
      <c r="J5" s="55"/>
      <c r="K5" s="56"/>
      <c r="L5" s="56"/>
      <c r="M5" s="56"/>
      <c r="N5" s="55"/>
      <c r="O5" s="88"/>
      <c r="P5" s="71"/>
      <c r="Q5" s="71"/>
      <c r="R5" s="88"/>
    </row>
    <row r="6" spans="1:18" x14ac:dyDescent="0.25">
      <c r="A6" s="54"/>
      <c r="B6" s="86"/>
      <c r="C6" s="86"/>
      <c r="D6" s="55"/>
      <c r="E6" s="55"/>
      <c r="F6" s="55"/>
      <c r="G6" s="55"/>
      <c r="H6" s="86"/>
      <c r="I6" s="86"/>
      <c r="J6" s="55"/>
      <c r="K6" s="56"/>
      <c r="L6" s="56"/>
      <c r="M6" s="56"/>
      <c r="N6" s="55"/>
      <c r="O6" s="88"/>
      <c r="P6" s="71"/>
      <c r="Q6" s="71"/>
      <c r="R6" s="88"/>
    </row>
    <row r="7" spans="1:18" x14ac:dyDescent="0.25">
      <c r="B7" s="86"/>
      <c r="C7" s="86"/>
      <c r="D7" s="55"/>
      <c r="E7" s="86"/>
      <c r="F7" s="55"/>
      <c r="G7" s="86"/>
      <c r="H7" s="86"/>
      <c r="I7" s="86"/>
      <c r="J7" s="86"/>
      <c r="K7" s="56"/>
      <c r="L7" s="56"/>
      <c r="M7" s="56"/>
      <c r="N7" s="87"/>
      <c r="O7" s="70"/>
      <c r="P7" s="71"/>
      <c r="Q7" s="70"/>
      <c r="R7" s="88"/>
    </row>
    <row r="8" spans="1:18" x14ac:dyDescent="0.25">
      <c r="A8" s="54"/>
      <c r="B8" s="86"/>
      <c r="C8" s="86"/>
      <c r="D8" s="55"/>
      <c r="E8" s="86"/>
      <c r="F8" s="86"/>
      <c r="G8" s="86"/>
      <c r="H8" s="86"/>
      <c r="I8" s="86"/>
      <c r="J8" s="86"/>
      <c r="K8" s="56"/>
      <c r="L8" s="56"/>
      <c r="M8" s="56"/>
      <c r="N8" s="87"/>
      <c r="O8" s="88"/>
      <c r="P8" s="70"/>
      <c r="Q8" s="71"/>
      <c r="R8" s="88"/>
    </row>
    <row r="9" spans="1:18" x14ac:dyDescent="0.25">
      <c r="B9" s="86"/>
      <c r="C9" s="86"/>
      <c r="D9" s="55"/>
      <c r="E9" s="86"/>
      <c r="F9" s="55"/>
      <c r="G9" s="86"/>
      <c r="H9" s="86"/>
      <c r="I9" s="86"/>
      <c r="J9" s="86"/>
      <c r="K9" s="56"/>
      <c r="L9" s="56"/>
      <c r="M9" s="56"/>
      <c r="N9" s="87"/>
      <c r="O9" s="70"/>
      <c r="P9" s="70"/>
      <c r="Q9" s="70"/>
      <c r="R9" s="88"/>
    </row>
    <row r="10" spans="1:18" x14ac:dyDescent="0.25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6"/>
      <c r="L10" s="56"/>
      <c r="M10" s="56"/>
      <c r="N10" s="55"/>
      <c r="O10" s="71"/>
      <c r="P10" s="70"/>
      <c r="Q10" s="71"/>
      <c r="R10" s="71"/>
    </row>
    <row r="11" spans="1:18" x14ac:dyDescent="0.25">
      <c r="B11" s="55"/>
      <c r="C11" s="55"/>
      <c r="D11" s="55"/>
      <c r="E11" s="55"/>
      <c r="F11" s="55"/>
      <c r="G11" s="55"/>
      <c r="H11" s="55"/>
      <c r="I11" s="55"/>
      <c r="J11" s="55"/>
      <c r="K11" s="56"/>
      <c r="L11" s="56"/>
      <c r="M11" s="56"/>
      <c r="N11" s="55"/>
      <c r="O11" s="70"/>
      <c r="P11" s="71"/>
      <c r="Q11" s="70"/>
      <c r="R11" s="71"/>
    </row>
    <row r="12" spans="1:18" x14ac:dyDescent="0.25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6"/>
      <c r="L12" s="56"/>
      <c r="M12" s="56"/>
      <c r="N12" s="55"/>
      <c r="O12" s="71"/>
      <c r="P12" s="70"/>
      <c r="Q12" s="71"/>
      <c r="R12" s="71"/>
    </row>
    <row r="13" spans="1:18" x14ac:dyDescent="0.25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6"/>
      <c r="L13" s="56"/>
      <c r="M13" s="56"/>
      <c r="N13" s="55"/>
      <c r="O13" s="71"/>
      <c r="P13" s="71"/>
      <c r="Q13" s="71"/>
      <c r="R13" s="71"/>
    </row>
    <row r="14" spans="1:18" x14ac:dyDescent="0.25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6"/>
      <c r="L14" s="56"/>
      <c r="M14" s="56"/>
      <c r="N14" s="55"/>
      <c r="O14" s="71"/>
      <c r="P14" s="70"/>
      <c r="Q14" s="71"/>
      <c r="R14" s="71"/>
    </row>
    <row r="15" spans="1:18" x14ac:dyDescent="0.25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6"/>
      <c r="L15" s="56"/>
      <c r="M15" s="56"/>
      <c r="N15" s="55"/>
      <c r="O15" s="71"/>
      <c r="P15" s="70"/>
      <c r="Q15" s="71"/>
      <c r="R15" s="71"/>
    </row>
    <row r="16" spans="1:18" x14ac:dyDescent="0.25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6"/>
      <c r="L16" s="56"/>
      <c r="M16" s="56"/>
      <c r="N16" s="55"/>
      <c r="O16" s="71"/>
      <c r="P16" s="71"/>
      <c r="Q16" s="71"/>
      <c r="R16" s="71"/>
    </row>
    <row r="17" spans="1:18" x14ac:dyDescent="0.25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80"/>
      <c r="L17" s="56"/>
      <c r="M17" s="56"/>
      <c r="N17" s="55"/>
      <c r="O17" s="71"/>
      <c r="P17" s="70"/>
      <c r="Q17" s="71"/>
      <c r="R17" s="71"/>
    </row>
    <row r="18" spans="1:18" x14ac:dyDescent="0.25">
      <c r="A18" s="54"/>
      <c r="B18" s="55"/>
      <c r="C18" s="55"/>
      <c r="D18" s="55"/>
      <c r="E18" s="81"/>
      <c r="F18" s="55"/>
      <c r="G18" s="55"/>
      <c r="H18" s="55"/>
      <c r="I18" s="55"/>
      <c r="J18" s="55"/>
      <c r="K18" s="56"/>
      <c r="L18" s="56"/>
      <c r="M18" s="56"/>
      <c r="N18" s="55"/>
      <c r="O18" s="71"/>
      <c r="P18" s="70"/>
      <c r="Q18" s="71"/>
      <c r="R18" s="71"/>
    </row>
    <row r="19" spans="1:18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6"/>
      <c r="L19" s="56"/>
      <c r="M19" s="56"/>
      <c r="N19" s="55"/>
      <c r="O19" s="71"/>
      <c r="P19" s="70"/>
      <c r="Q19" s="71"/>
      <c r="R19" s="71"/>
    </row>
    <row r="20" spans="1:18" x14ac:dyDescent="0.25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6"/>
      <c r="L20" s="56"/>
      <c r="M20" s="56"/>
      <c r="N20" s="55"/>
      <c r="O20" s="71"/>
      <c r="P20" s="70"/>
      <c r="Q20" s="71"/>
      <c r="R20" s="71"/>
    </row>
    <row r="21" spans="1:18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6"/>
      <c r="L21" s="56"/>
      <c r="M21" s="56"/>
      <c r="N21" s="55"/>
      <c r="O21" s="71"/>
      <c r="P21" s="71"/>
      <c r="Q21" s="71"/>
      <c r="R21" s="71"/>
    </row>
    <row r="22" spans="1:18" x14ac:dyDescent="0.2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6"/>
      <c r="L22" s="56"/>
      <c r="M22" s="56"/>
      <c r="N22" s="55"/>
      <c r="O22" s="71"/>
      <c r="P22" s="71"/>
      <c r="Q22" s="71"/>
      <c r="R22" s="71"/>
    </row>
    <row r="23" spans="1:18" x14ac:dyDescent="0.25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6"/>
      <c r="L23" s="56"/>
      <c r="M23" s="56"/>
      <c r="N23" s="55"/>
      <c r="O23" s="71"/>
      <c r="P23" s="71"/>
      <c r="Q23" s="71"/>
      <c r="R23" s="71"/>
    </row>
    <row r="24" spans="1:18" x14ac:dyDescent="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6"/>
      <c r="L24" s="56"/>
      <c r="M24" s="56"/>
      <c r="N24" s="55"/>
      <c r="O24" s="71"/>
      <c r="P24" s="70"/>
      <c r="Q24" s="71"/>
      <c r="R24" s="71"/>
    </row>
    <row r="25" spans="1:18" x14ac:dyDescent="0.25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6"/>
      <c r="L25" s="56"/>
      <c r="M25" s="56"/>
      <c r="N25" s="55"/>
      <c r="O25" s="71"/>
      <c r="P25" s="71"/>
      <c r="Q25" s="71"/>
      <c r="R25" s="71"/>
    </row>
    <row r="26" spans="1:18" x14ac:dyDescent="0.25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6"/>
      <c r="L26" s="56"/>
      <c r="M26" s="56"/>
      <c r="N26" s="55"/>
      <c r="O26" s="71"/>
      <c r="P26" s="70"/>
      <c r="Q26" s="71"/>
      <c r="R26" s="71"/>
    </row>
    <row r="27" spans="1:18" x14ac:dyDescent="0.25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6"/>
      <c r="L27" s="56"/>
      <c r="M27" s="56"/>
      <c r="N27" s="55"/>
      <c r="O27" s="71"/>
      <c r="P27" s="70"/>
      <c r="Q27" s="71"/>
      <c r="R27" s="71"/>
    </row>
    <row r="28" spans="1:18" x14ac:dyDescent="0.25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6"/>
      <c r="L28" s="56"/>
      <c r="M28" s="56"/>
      <c r="N28" s="55"/>
      <c r="O28" s="71"/>
      <c r="P28" s="70"/>
      <c r="Q28" s="71"/>
      <c r="R28" s="71"/>
    </row>
    <row r="29" spans="1:18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6"/>
      <c r="L29" s="56"/>
      <c r="M29" s="56"/>
      <c r="N29" s="55"/>
      <c r="O29" s="71"/>
      <c r="P29" s="70"/>
      <c r="Q29" s="71"/>
      <c r="R29" s="71"/>
    </row>
    <row r="30" spans="1:18" x14ac:dyDescent="0.25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6"/>
      <c r="L30" s="56"/>
      <c r="M30" s="56"/>
      <c r="N30" s="55"/>
      <c r="O30" s="71"/>
      <c r="P30" s="70"/>
      <c r="Q30" s="71"/>
      <c r="R30" s="71"/>
    </row>
    <row r="31" spans="1:18" x14ac:dyDescent="0.25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6"/>
      <c r="L31" s="56"/>
      <c r="M31" s="56"/>
      <c r="N31" s="55"/>
      <c r="O31" s="71"/>
      <c r="P31" s="70"/>
      <c r="Q31" s="71"/>
      <c r="R31" s="71"/>
    </row>
    <row r="32" spans="1:18" x14ac:dyDescent="0.25">
      <c r="K32" s="50"/>
      <c r="L32" s="50"/>
      <c r="M32" s="50"/>
      <c r="O32" s="82"/>
      <c r="Q32" s="82"/>
      <c r="R32" s="82"/>
    </row>
    <row r="34" spans="16:16" x14ac:dyDescent="0.25">
      <c r="P34" t="s">
        <v>34</v>
      </c>
    </row>
    <row r="35" spans="16:16" x14ac:dyDescent="0.25">
      <c r="P35" t="s">
        <v>35</v>
      </c>
    </row>
    <row r="36" spans="16:16" x14ac:dyDescent="0.25">
      <c r="P36" t="s">
        <v>60</v>
      </c>
    </row>
    <row r="37" spans="16:16" x14ac:dyDescent="0.25">
      <c r="P37" t="s">
        <v>61</v>
      </c>
    </row>
    <row r="38" spans="16:16" x14ac:dyDescent="0.25">
      <c r="P38" t="s">
        <v>62</v>
      </c>
    </row>
  </sheetData>
  <sortState xmlns:xlrd2="http://schemas.microsoft.com/office/spreadsheetml/2017/richdata2" ref="A3:XFD5">
    <sortCondition ref="A3:A5"/>
    <sortCondition ref="B3:B5"/>
  </sortState>
  <phoneticPr fontId="17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A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Y 4 Y a I 6 o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X M z Y C u s l G H y Z m 4 5 u Z h 5 A H y Y F k k Q R t n E t z S k q L U u 1 S 8 3 S d H W 3 0 Y V w b f a g X 7 A A A A A D / / w M A U E s D B B Q A A g A I A A A A I Q C b f B V 5 U g E A A D U C A A A T A A A A R m 9 y b X V s Y X M v U 2 V j d G l v b j E u b W x R y 2 7 C M B C 8 I + U f V u 4 l k a x I I L W H o h y q B N Q e q K h C T 0 0 P x t m C V T 8 i 2 6 F E i H + v I S B a g S 9 r z 4 x n Z 2 2 H 3 A u j o e z r c B w N o o F b M 4 s 1 8 B b d G t F D B h J 9 N I C w S t N a j g H J 3 S Y t D G 8 V a h 9 P h c Q 0 N 9 q H g 4 t J / l i 9 O 7 S u U g 3 r f F V Y 0 y z N t p p 1 M M 8 h n p U v S V W Y H y 0 N q 1 1 1 7 p J y t y E J / S h Q C i U 8 2 o x Q Q i E 3 s l X a Z Q 8 U J p q b W u h V N h z d j y i 8 t c Z j 6 T u J 2 W W b h l y f C e 3 D 3 p G 5 N S p Q N T w j q 0 M i E p I v 2 D L o T s w J j / u 5 K H y c 8 C c p S 8 4 k s y 7 z t s U / l v m a 6 V V w X H Q N X u w W l m n 3 Z a z q 8 x 5 I F 9 / o T 3 c 7 c r x J w Y c C H r d + T 2 F H X o P M X a G F c J 7 p 8 O D x t 0 p g G t y g 9 M z 6 s 1 C 3 a o n 2 K J 1 I 3 L D j X 8 Y q u c E X 6 L g V z U F x 1 W Z S h w e v / 8 H 7 J B o I f X P o 8 S 8 A A A D / / w M A U E s B A i 0 A F A A G A A g A A A A h A C r d q k D S A A A A N w E A A B M A A A A A A A A A A A A A A A A A A A A A A F t D b 2 5 0 Z W 5 0 X 1 R 5 c G V z X S 5 4 b W x Q S w E C L Q A U A A I A C A A A A C E A Y 4 Y a I 6 o A A A D 2 A A A A E g A A A A A A A A A A A A A A A A A L A w A A Q 2 9 u Z m l n L 1 B h Y 2 t h Z 2 U u e G 1 s U E s B A i 0 A F A A C A A g A A A A h A J t 8 F X l S A Q A A N Q I A A B M A A A A A A A A A A A A A A A A A 5 Q M A A E Z v c m 1 1 b G F z L 1 N l Y 3 R p b 2 4 x L m 1 Q S w U G A A A A A A M A A w D C A A A A a A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8 L A A A A A A A A D Q s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j d W V z a G V l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E w L T I w V D A y O j U 5 O j M w L j U z O D M y N z d a I i 8 + P E V u d H J 5 I F R 5 c G U 9 I k Z p b G x D b 2 x 1 b W 5 U e X B l c y I g V m F s d W U 9 I n N C Z 1 l G Q l F Z R y I v P j x F b n R y e S B U e X B l P S J G a W x s Q 2 9 s d W 1 u T m F t Z X M i I F Z h b H V l P S J z W y Z x d W 9 0 O 1 R 5 c G U m c X V v d D s s J n F 1 b 3 Q 7 T m 9 0 Z X M m c X V v d D s s J n F 1 b 3 Q 7 R G l z d G F u Y 2 U g K G t t K S B G c m 9 t I F N 0 Y X J 0 J n F 1 b 3 Q 7 L C Z x d W 9 0 O 0 V s Z X Z h d G l v b i A o b S k m c X V v d D s s J n F 1 b 3 Q 7 R G V z Y 3 J p c H R p b 2 4 m c X V v d D s s J n F 1 b 3 Q 7 R W R p d G V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3 V l c 2 h l Z X Q v Q X V 0 b 1 J l b W 9 2 Z W R D b 2 x 1 b W 5 z M S 5 7 V H l w Z S w w f S Z x d W 9 0 O y w m c X V v d D t T Z W N 0 a W 9 u M S 9 j d W V z a G V l d C 9 B d X R v U m V t b 3 Z l Z E N v b H V t b n M x L n t O b 3 R l c y w x f S Z x d W 9 0 O y w m c X V v d D t T Z W N 0 a W 9 u M S 9 j d W V z a G V l d C 9 B d X R v U m V t b 3 Z l Z E N v b H V t b n M x L n t E a X N 0 Y W 5 j Z S A o a 2 0 p I E Z y b 2 0 g U 3 R h c n Q s M n 0 m c X V v d D s s J n F 1 b 3 Q 7 U 2 V j d G l v b j E v Y 3 V l c 2 h l Z X Q v Q X V 0 b 1 J l b W 9 2 Z W R D b 2 x 1 b W 5 z M S 5 7 R W x l d m F 0 a W 9 u I C h t K S w z f S Z x d W 9 0 O y w m c X V v d D t T Z W N 0 a W 9 u M S 9 j d W V z a G V l d C 9 B d X R v U m V t b 3 Z l Z E N v b H V t b n M x L n t E Z X N j c m l w d G l v b i w 0 f S Z x d W 9 0 O y w m c X V v d D t T Z W N 0 a W 9 u M S 9 j d W V z a G V l d C 9 B d X R v U m V t b 3 Z l Z E N v b H V t b n M x L n t F Z G l 0 Z W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3 V l c 2 h l Z X Q v Q X V 0 b 1 J l b W 9 2 Z W R D b 2 x 1 b W 5 z M S 5 7 V H l w Z S w w f S Z x d W 9 0 O y w m c X V v d D t T Z W N 0 a W 9 u M S 9 j d W V z a G V l d C 9 B d X R v U m V t b 3 Z l Z E N v b H V t b n M x L n t O b 3 R l c y w x f S Z x d W 9 0 O y w m c X V v d D t T Z W N 0 a W 9 u M S 9 j d W V z a G V l d C 9 B d X R v U m V t b 3 Z l Z E N v b H V t b n M x L n t E a X N 0 Y W 5 j Z S A o a 2 0 p I E Z y b 2 0 g U 3 R h c n Q s M n 0 m c X V v d D s s J n F 1 b 3 Q 7 U 2 V j d G l v b j E v Y 3 V l c 2 h l Z X Q v Q X V 0 b 1 J l b W 9 2 Z W R D b 2 x 1 b W 5 z M S 5 7 R W x l d m F 0 a W 9 u I C h t K S w z f S Z x d W 9 0 O y w m c X V v d D t T Z W N 0 a W 9 u M S 9 j d W V z a G V l d C 9 B d X R v U m V t b 3 Z l Z E N v b H V t b n M x L n t E Z X N j c m l w d G l v b i w 0 f S Z x d W 9 0 O y w m c X V v d D t T Z W N 0 a W 9 u M S 9 j d W V z a G V l d C 9 B d X R v U m V t b 3 Z l Z E N v b H V t b n M x L n t F Z G l 0 Z W Q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N 1 Z X N o Z W V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3 V l c 2 h l Z X Q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d W V z a G V l d C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I a 9 y w h q 6 c 5 O o w d c 0 y z 6 R S Q A A A A A A g A A A A A A E G Y A A A A B A A A g A A A A a Q u L 8 + P k x E q a D G j v z y v H p m U b E z a J 8 5 T H R 4 K 9 v x h e + a U A A A A A D o A A A A A C A A A g A A A A v 7 Y 9 j P 8 d N F L R 3 a a V U X v S K z f f U k A e U 8 2 m V g k E K S N 9 L J B Q A A A A W p q F d J I d G j E c c l r C 6 S g b i / 0 u H o I F Z K 0 W u w z y G 8 p x H 1 8 O 7 o G I a y e A O f b r D 2 C l t A U Z 9 e C K G J T E s K B U + s I e x 1 6 m i T 3 V A d R m 0 f 4 A q I 4 c D W 4 Z j H p A A A A A Q A s B N i 1 f I O R T p 8 M I m r i v j Y o P O W v k Z v 5 r y r d H M N E O 0 T U i x S c Z k r 2 n i z d J m F n E A 1 h O E k / F M p c m V K 7 u B 5 1 J M O 2 o 0 g = = < / D a t a M a s h u p > 
</file>

<file path=customXml/itemProps1.xml><?xml version="1.0" encoding="utf-8"?>
<ds:datastoreItem xmlns:ds="http://schemas.openxmlformats.org/officeDocument/2006/customXml" ds:itemID="{21553AE9-AFEC-4C1A-A21E-668622D71A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79</vt:i4>
      </vt:variant>
    </vt:vector>
  </HeadingPairs>
  <TitlesOfParts>
    <vt:vector size="84" baseType="lpstr">
      <vt:lpstr>Control Entry</vt:lpstr>
      <vt:lpstr>Control Card 1</vt:lpstr>
      <vt:lpstr>Control Card 2</vt:lpstr>
      <vt:lpstr> Route</vt:lpstr>
      <vt:lpstr>Riders</vt:lpstr>
      <vt:lpstr>Address_1</vt:lpstr>
      <vt:lpstr>Address_2</vt:lpstr>
      <vt:lpstr>' Route'!brevet</vt:lpstr>
      <vt:lpstr>brevet</vt:lpstr>
      <vt:lpstr>' Route'!Brevet_Description</vt:lpstr>
      <vt:lpstr>Brevet_Description</vt:lpstr>
      <vt:lpstr>' Route'!Brevet_Length</vt:lpstr>
      <vt:lpstr>Brevet_Length</vt:lpstr>
      <vt:lpstr>' Route'!Brevet_Number</vt:lpstr>
      <vt:lpstr>Brevet_Number</vt:lpstr>
      <vt:lpstr>City</vt:lpstr>
      <vt:lpstr>' Route'!Close</vt:lpstr>
      <vt:lpstr>Close</vt:lpstr>
      <vt:lpstr>' Route'!Close_time</vt:lpstr>
      <vt:lpstr>Close_time</vt:lpstr>
      <vt:lpstr>' Route'!Control_1</vt:lpstr>
      <vt:lpstr>Control_1</vt:lpstr>
      <vt:lpstr>' Route'!Control_10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' Route'!Control_2</vt:lpstr>
      <vt:lpstr>Control_2</vt:lpstr>
      <vt:lpstr>Control_20</vt:lpstr>
      <vt:lpstr>' Route'!Control_3</vt:lpstr>
      <vt:lpstr>Control_3</vt:lpstr>
      <vt:lpstr>' Route'!Control_4</vt:lpstr>
      <vt:lpstr>Control_4</vt:lpstr>
      <vt:lpstr>' Route'!Control_5</vt:lpstr>
      <vt:lpstr>Control_5</vt:lpstr>
      <vt:lpstr>' Route'!Control_6</vt:lpstr>
      <vt:lpstr>Control_6</vt:lpstr>
      <vt:lpstr>' Route'!Control_7</vt:lpstr>
      <vt:lpstr>Control_7</vt:lpstr>
      <vt:lpstr>' Route'!Control_8</vt:lpstr>
      <vt:lpstr>Control_8</vt:lpstr>
      <vt:lpstr>' Route'!Control_9</vt:lpstr>
      <vt:lpstr>Control_9</vt:lpstr>
      <vt:lpstr>Country</vt:lpstr>
      <vt:lpstr>' Route'!Distance</vt:lpstr>
      <vt:lpstr>Distance</vt:lpstr>
      <vt:lpstr>email</vt:lpstr>
      <vt:lpstr>' Route'!Establishment_1</vt:lpstr>
      <vt:lpstr>Establishment_1</vt:lpstr>
      <vt:lpstr>' Route'!Establishment_2</vt:lpstr>
      <vt:lpstr>Establishment_2</vt:lpstr>
      <vt:lpstr>' Route'!Establishment_3</vt:lpstr>
      <vt:lpstr>Establishment_3</vt:lpstr>
      <vt:lpstr>Fax</vt:lpstr>
      <vt:lpstr>First_Name</vt:lpstr>
      <vt:lpstr>Home_telephone</vt:lpstr>
      <vt:lpstr>Initial</vt:lpstr>
      <vt:lpstr>' Route'!Locale</vt:lpstr>
      <vt:lpstr>Locale</vt:lpstr>
      <vt:lpstr>' Route'!Max_time</vt:lpstr>
      <vt:lpstr>Max_time</vt:lpstr>
      <vt:lpstr>' Route'!Open</vt:lpstr>
      <vt:lpstr>Open</vt:lpstr>
      <vt:lpstr>' Route'!Open_time</vt:lpstr>
      <vt:lpstr>Open_time</vt:lpstr>
      <vt:lpstr>Postal_Code</vt:lpstr>
      <vt:lpstr>' Route'!Print_Area</vt:lpstr>
      <vt:lpstr>'Control Card 1'!Print_Area</vt:lpstr>
      <vt:lpstr>'Control Card 2'!Print_Area</vt:lpstr>
      <vt:lpstr>' Route'!Print_Titles</vt:lpstr>
      <vt:lpstr>Province_State</vt:lpstr>
      <vt:lpstr>' Route'!Start_date</vt:lpstr>
      <vt:lpstr>Start_date</vt:lpstr>
      <vt:lpstr>' Route'!Start_time</vt:lpstr>
      <vt:lpstr>Start_time</vt:lpstr>
      <vt:lpstr>surname</vt:lpstr>
      <vt:lpstr>Work_telephone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Mark Payten</cp:lastModifiedBy>
  <cp:lastPrinted>2021-11-09T19:08:30Z</cp:lastPrinted>
  <dcterms:created xsi:type="dcterms:W3CDTF">1997-11-12T04:43:39Z</dcterms:created>
  <dcterms:modified xsi:type="dcterms:W3CDTF">2021-11-09T19:09:26Z</dcterms:modified>
</cp:coreProperties>
</file>