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1/"/>
    </mc:Choice>
  </mc:AlternateContent>
  <xr:revisionPtr revIDLastSave="0" documentId="13_ncr:1_{8B9CE3BA-5F05-E64F-8D99-B414A9A4CB76}"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Victoria Start" sheetId="2" r:id="rId2"/>
    <sheet name="Control Card North Saanic Start"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2">'Control Card North Saanic Start'!$1:$2</definedName>
    <definedName name="_xlnm.Print_Titles" localSheetId="1">'Control Card Victoria Start'!$1:$2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workbook>
</file>

<file path=xl/calcChain.xml><?xml version="1.0" encoding="utf-8"?>
<calcChain xmlns="http://schemas.openxmlformats.org/spreadsheetml/2006/main">
  <c r="B12" i="1" l="1"/>
  <c r="B13" i="1"/>
  <c r="B14" i="1"/>
  <c r="B15" i="1"/>
  <c r="B16" i="1"/>
  <c r="B11" i="1"/>
  <c r="L13" i="1" l="1"/>
  <c r="M23" i="1" l="1"/>
  <c r="E8" i="3" l="1"/>
  <c r="E7" i="3"/>
  <c r="E5" i="3"/>
  <c r="S20" i="3" l="1"/>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s="1"/>
  <c r="L32" i="1"/>
  <c r="L31" i="1"/>
  <c r="L30" i="1"/>
  <c r="L29" i="1"/>
  <c r="L28" i="1"/>
  <c r="L27" i="1"/>
  <c r="L26" i="1"/>
  <c r="L25" i="1"/>
  <c r="L24" i="1"/>
  <c r="L23" i="1"/>
  <c r="F32" i="3"/>
  <c r="F31" i="3"/>
  <c r="F30" i="3"/>
  <c r="F29" i="3"/>
  <c r="F28" i="3"/>
  <c r="F27" i="3"/>
  <c r="F26" i="3"/>
  <c r="F25" i="3"/>
  <c r="F24" i="3"/>
  <c r="F23" i="3"/>
  <c r="F22" i="3"/>
  <c r="F21" i="3"/>
  <c r="F20" i="3"/>
  <c r="F19" i="3"/>
  <c r="F18" i="3"/>
  <c r="F17" i="3"/>
  <c r="F16" i="3"/>
  <c r="F15" i="3"/>
  <c r="F14"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1" i="1"/>
  <c r="E4" i="3"/>
  <c r="E3" i="3"/>
  <c r="D31" i="3"/>
  <c r="D28" i="3"/>
  <c r="D25" i="3"/>
  <c r="D22" i="3"/>
  <c r="D19" i="3"/>
  <c r="D16" i="3"/>
  <c r="D13" i="3"/>
  <c r="D10" i="3"/>
  <c r="D7" i="3"/>
  <c r="D4" i="3"/>
  <c r="A31" i="3"/>
  <c r="A28" i="3"/>
  <c r="A25" i="3"/>
  <c r="A22" i="3"/>
  <c r="A19" i="3"/>
  <c r="A16" i="3"/>
  <c r="A13" i="3"/>
  <c r="A10" i="3"/>
  <c r="A7" i="3"/>
  <c r="A4" i="3"/>
  <c r="L19" i="1"/>
  <c r="L18" i="1"/>
  <c r="L17" i="1"/>
  <c r="L16" i="1"/>
  <c r="L15" i="1"/>
  <c r="L14" i="1"/>
  <c r="L12" i="1"/>
  <c r="L11" i="1"/>
  <c r="L6" i="3"/>
  <c r="R5" i="3"/>
  <c r="P5"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M25" i="1" l="1"/>
  <c r="M13" i="1"/>
  <c r="M10" i="1"/>
  <c r="O10" i="1" s="1"/>
  <c r="C3" i="2" s="1"/>
  <c r="M12" i="1"/>
  <c r="M4" i="3"/>
  <c r="B2" i="1"/>
  <c r="M19" i="1" s="1"/>
  <c r="M16" i="1"/>
  <c r="O16" i="1" s="1"/>
  <c r="C23" i="2" s="1"/>
  <c r="M14" i="1"/>
  <c r="O14" i="1" s="1"/>
  <c r="N26" i="1"/>
  <c r="B14" i="3" s="1"/>
  <c r="B4" i="2"/>
  <c r="N13" i="1"/>
  <c r="B14" i="2" s="1"/>
  <c r="N23" i="1"/>
  <c r="B5" i="3" s="1"/>
  <c r="N29" i="1"/>
  <c r="B21" i="3" s="1"/>
  <c r="M32" i="1"/>
  <c r="M11" i="1"/>
  <c r="O11" i="1" s="1"/>
  <c r="O13" i="1"/>
  <c r="N17" i="1"/>
  <c r="B25" i="2" s="1"/>
  <c r="M29" i="1"/>
  <c r="B3" i="2"/>
  <c r="M15" i="1"/>
  <c r="O15" i="1" s="1"/>
  <c r="M17" i="1"/>
  <c r="O17" i="1" s="1"/>
  <c r="M28" i="1"/>
  <c r="O28" i="1" s="1"/>
  <c r="C19" i="3" s="1"/>
  <c r="B5" i="2"/>
  <c r="N12" i="1"/>
  <c r="B11" i="2" s="1"/>
  <c r="N16" i="1"/>
  <c r="B22" i="2" s="1"/>
  <c r="N19" i="1"/>
  <c r="B31" i="2" s="1"/>
  <c r="N30" i="1"/>
  <c r="B26" i="3" s="1"/>
  <c r="O32" i="1"/>
  <c r="C31" i="3" s="1"/>
  <c r="N32" i="1"/>
  <c r="B32" i="3" s="1"/>
  <c r="O19" i="1"/>
  <c r="C31" i="2" s="1"/>
  <c r="N11" i="1"/>
  <c r="B6" i="2" s="1"/>
  <c r="O12" i="1"/>
  <c r="N15" i="1"/>
  <c r="B19" i="2" s="1"/>
  <c r="N24" i="1"/>
  <c r="B6" i="3" s="1"/>
  <c r="N27" i="1"/>
  <c r="B16" i="3" s="1"/>
  <c r="O29" i="1"/>
  <c r="C23" i="3" s="1"/>
  <c r="N14" i="1"/>
  <c r="B17" i="2" s="1"/>
  <c r="N18" i="1"/>
  <c r="B27" i="2" s="1"/>
  <c r="N25" i="1"/>
  <c r="B11" i="3" s="1"/>
  <c r="N28" i="1"/>
  <c r="B19" i="3" s="1"/>
  <c r="N31" i="1"/>
  <c r="B29" i="3" s="1"/>
  <c r="O25" i="1"/>
  <c r="M24" i="1"/>
  <c r="O24" i="1" s="1"/>
  <c r="M4" i="2"/>
  <c r="M31" i="1"/>
  <c r="O31" i="1" s="1"/>
  <c r="M27" i="1"/>
  <c r="O27" i="1" s="1"/>
  <c r="O23" i="1"/>
  <c r="M30" i="1"/>
  <c r="O30" i="1" s="1"/>
  <c r="M26" i="1"/>
  <c r="O26" i="1" s="1"/>
  <c r="C4" i="2" l="1"/>
  <c r="B13" i="3"/>
  <c r="B12" i="3"/>
  <c r="B3" i="3"/>
  <c r="C30" i="3"/>
  <c r="B25" i="3"/>
  <c r="B12" i="2"/>
  <c r="C5" i="2"/>
  <c r="B21" i="2"/>
  <c r="B26" i="2"/>
  <c r="C26" i="2"/>
  <c r="C25" i="2"/>
  <c r="C17" i="2"/>
  <c r="C15" i="2"/>
  <c r="C16" i="2"/>
  <c r="M18" i="1"/>
  <c r="O18" i="1" s="1"/>
  <c r="C27" i="2" s="1"/>
  <c r="B8" i="2"/>
  <c r="B13" i="2"/>
  <c r="B22" i="3"/>
  <c r="B30" i="3"/>
  <c r="B27" i="3"/>
  <c r="B8" i="3"/>
  <c r="B18" i="3"/>
  <c r="B29" i="2"/>
  <c r="B15" i="2"/>
  <c r="B31" i="3"/>
  <c r="B18" i="2"/>
  <c r="B10" i="3"/>
  <c r="B32"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 r="C28" i="2" l="1"/>
  <c r="C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<sst xmlns="http://schemas.openxmlformats.org/spreadsheetml/2006/main" count="271" uniqueCount="120">
  <si>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</si>
  <si>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</si>
  <si>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</si>
  <si>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</si>
  <si>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</si>
  <si>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</si>
  <si>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</si>
  <si>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</si>
  <si>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</si>
  <si>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</si>
  <si>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</si>
  <si>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</si>
  <si>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</si>
  <si>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</si>
  <si>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</si>
  <si>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</si>
  <si>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</si>
  <si>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</si>
  <si>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</si>
  <si>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</si>
  <si>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</si>
  <si>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</si>
  <si>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</si>
  <si>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</si>
  <si>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</si>
  <si>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</si>
  <si>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</si>
  <si>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</si>
  <si>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</si>
  <si>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</si>
  <si>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</si>
  <si>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</si>
  <si>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</si>
  <si>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</si>
  <si>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</si>
  <si>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</si>
  <si>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</si>
  <si>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</si>
  <si>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</si>
  <si>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</si>
  <si>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</si>
  <si>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</si>
  <si>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</si>
  <si>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</si>
  <si>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</si>
  <si>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</si>
  <si>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</si>
  <si>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</si>
  <si>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</si>
  <si>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</si>
  <si>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</si>
  <si>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</si>
  <si>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</si>
  <si>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</si>
  <si>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</si>
  <si>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</si>
  <si>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</si>
  <si>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</si>
  <si>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</si>
  <si>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</si>
  <si>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</si>
  <si>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</si>
  <si>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</si>
  <si>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</si>
  <si>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</si>
  <si>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</si>
  <si>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</si>
  <si>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</si>
  <si>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</si>
  <si>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</si>
  <si>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</si>
  <si>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</si>
  <si>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</si>
  <si>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</si>
  <si>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</si>
  <si>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</si>
  <si>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</si>
  <si>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</si>
  <si>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 xml:space="preserve">Control Card </t>
  </si>
  <si>
    <t>Control Card Main Start</t>
  </si>
  <si>
    <t>Control Card Alternate Start</t>
  </si>
  <si>
    <t>CWAC1 to Fallen Leaves</t>
  </si>
  <si>
    <t>VICTORIA</t>
  </si>
  <si>
    <t>BC Indians War Memorial</t>
  </si>
  <si>
    <t>Beacon Hill Park</t>
  </si>
  <si>
    <t>NORTH SAANICH</t>
  </si>
  <si>
    <t>Blue Heron Park</t>
  </si>
  <si>
    <t>Plaque on main entry sign</t>
  </si>
  <si>
    <t>COLWOOD</t>
  </si>
  <si>
    <t>Hatley Memorial Park</t>
  </si>
  <si>
    <t>Garden of Gesthemane</t>
  </si>
  <si>
    <t>Grave:  Lt. Col. Joan Kennedy</t>
  </si>
  <si>
    <t>to right of access road</t>
  </si>
  <si>
    <t>SIDNEY</t>
  </si>
  <si>
    <t>Beagle Pub</t>
  </si>
  <si>
    <t>301 Cook St</t>
  </si>
  <si>
    <t>BC Aviation Museum</t>
  </si>
  <si>
    <t>1910 Norseman Rd</t>
  </si>
  <si>
    <t>Hut 'A'</t>
  </si>
  <si>
    <t>Alexander Rd</t>
  </si>
  <si>
    <t>UVIC</t>
  </si>
  <si>
    <t>814 Wharf St</t>
  </si>
  <si>
    <t>Self Sign</t>
  </si>
  <si>
    <t>Plaque on left pillar main  sign</t>
  </si>
  <si>
    <t>From Armitage bench, 8 metres to right  at 90deg to road</t>
  </si>
  <si>
    <t>Last line on plaque?</t>
  </si>
  <si>
    <t>Memorial: The Homecoming</t>
  </si>
  <si>
    <t>Water side granite marker</t>
  </si>
  <si>
    <t>"…and the _______?_______conflict."</t>
  </si>
  <si>
    <t>"Service to ________?"</t>
  </si>
  <si>
    <t>"Service to _________?"</t>
  </si>
  <si>
    <t>Victoria Airport</t>
  </si>
  <si>
    <t>Marker to right of bikeway</t>
  </si>
  <si>
    <t>"BC Indian ___?___ and Welfare Society"</t>
  </si>
  <si>
    <t>Door is on which side?</t>
  </si>
  <si>
    <t>LEFT                              RIGHT</t>
  </si>
  <si>
    <t>What is colour of doors?</t>
  </si>
  <si>
    <t>4th parking stall to right of gate</t>
  </si>
  <si>
    <t>What covers back of memorial?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</si>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</sst>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9">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9" xfId="0" applyFont="1" applyBorder="1" applyAlignment="1"/>
    <xf numFmtId="0" fontId="13" fillId="0" borderId="5" xfId="0" applyFont="1" applyBorder="1" applyAlignment="1"/>
    <xf numFmtId="0" fontId="13" fillId="0" borderId="10" xfId="0" applyFont="1" applyBorder="1" applyAlignment="1"/>
    <xf numFmtId="1" fontId="13" fillId="0" borderId="4" xfId="0" applyNumberFormat="1" applyFont="1" applyBorder="1" applyProtection="1">
      <protection locked="0"/>
    </xf>
    <xf numFmtId="15" fontId="13" fillId="0" borderId="4" xfId="0" applyNumberFormat="1" applyFont="1" applyBorder="1" applyProtection="1">
      <protection locked="0"/>
    </xf>
    <xf numFmtId="15" fontId="13" fillId="0" borderId="23" xfId="0" applyNumberFormat="1" applyFont="1" applyBorder="1" applyProtection="1">
      <protection locked="0"/>
    </xf>
    <xf numFmtId="20" fontId="13" fillId="0" borderId="8" xfId="0" applyNumberFormat="1" applyFont="1" applyBorder="1" applyProtection="1">
      <protection locked="0"/>
    </xf>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7" xfId="0" applyFont="1" applyBorder="1" applyProtection="1">
      <protection locked="0"/>
    </xf>
    <xf numFmtId="49" fontId="5" fillId="0" borderId="27" xfId="0" applyNumberFormat="1" applyFont="1" applyBorder="1" applyAlignment="1" applyProtection="1">
      <alignment horizontal="center"/>
      <protection locked="0"/>
    </xf>
    <xf numFmtId="49" fontId="5" fillId="0" borderId="24" xfId="0" applyNumberFormat="1" applyFont="1" applyBorder="1" applyAlignment="1" applyProtection="1">
      <alignment horizontal="center"/>
      <protection locked="0"/>
    </xf>
    <xf numFmtId="0" fontId="14" fillId="0" borderId="7" xfId="0" applyFont="1" applyBorder="1" applyAlignment="1">
      <alignment horizontal="center" wrapText="1"/>
    </xf>
    <xf numFmtId="49" fontId="30" fillId="0" borderId="14" xfId="0" applyNumberFormat="1" applyFont="1" applyBorder="1" applyAlignment="1" applyProtection="1">
      <alignment horizontal="center"/>
      <protection locked="0"/>
    </xf>
    <xf numFmtId="49" fontId="31" fillId="0" borderId="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30" fillId="0" borderId="27" xfId="0" applyNumberFormat="1" applyFont="1" applyBorder="1" applyAlignment="1" applyProtection="1">
      <alignment horizontal="center"/>
      <protection locked="0"/>
    </xf>
    <xf numFmtId="49" fontId="30" fillId="0" borderId="24"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0" fontId="14" fillId="0" borderId="16" xfId="0" applyFont="1" applyBorder="1" applyAlignment="1">
      <alignment horizontal="center" wrapText="1"/>
    </xf>
    <xf numFmtId="0" fontId="29"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0" xfId="0" applyFont="1" applyBorder="1" applyAlignment="1" applyProtection="1">
      <alignment horizontal="center" vertical="top" wrapText="1"/>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4" zoomScaleNormal="135" zoomScalePageLayoutView="135" workbookViewId="0">
      <selection activeCell="I15" sqref="I15:K15"/>
    </sheetView>
  </sheetViews>
  <sheetFormatPr baseColWidth="10" defaultColWidth="8.83203125" defaultRowHeight="13" x14ac:dyDescent="0.15"/>
  <cols>
    <col min="1" max="1" width="15.83203125" style="2" bestFit="1" customWidth="1"/>
    <col min="2" max="2" width="10.6640625" customWidth="1"/>
    <col min="3" max="3" width="0.1640625"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5" width="17.83203125" hidden="1" customWidth="1"/>
  </cols>
  <sheetData>
    <row r="1" spans="1:23" ht="18" x14ac:dyDescent="0.2">
      <c r="A1" s="13" t="s">
        <v>18</v>
      </c>
      <c r="B1" s="90">
        <v>200</v>
      </c>
      <c r="C1">
        <f>IF(Brevet_Length&gt;=1200,Brevet_Length,IF(Brevet_Length&gt;=1000,1000,IF(Brevet_Length&gt;=600,600,IF(Brevet_Length&gt;=400,400,IF(Brevet_Length&gt;=300,300,IF(Brevet_Length&gt;=200,200,100))))))</f>
        <v>200</v>
      </c>
      <c r="J1" s="117" t="s">
        <v>64</v>
      </c>
      <c r="K1" s="117"/>
      <c r="Q1" s="98" t="s">
        <v>65</v>
      </c>
      <c r="R1" s="98"/>
      <c r="S1" s="98"/>
      <c r="T1" s="98"/>
      <c r="U1" s="98"/>
      <c r="V1" s="98"/>
      <c r="W1" s="98"/>
    </row>
    <row r="2" spans="1:23" ht="14" thickBot="1" x14ac:dyDescent="0.2">
      <c r="A2" s="14" t="s">
        <v>19</v>
      </c>
      <c r="B2" s="15">
        <f>IF(brevet=1200,90,IF(brevet=1000,75,IF(brevet=600,40,IF(brevet=400,27,IF(brevet=300,20,IF(brevet=200,13.5,IF(brevet=100,7,0)))))))</f>
        <v>13.5</v>
      </c>
      <c r="Q2" t="s">
        <v>66</v>
      </c>
    </row>
    <row r="3" spans="1:23" ht="19" thickBot="1" x14ac:dyDescent="0.25">
      <c r="A3" s="14" t="s">
        <v>20</v>
      </c>
      <c r="B3" s="91" t="s">
        <v>81</v>
      </c>
      <c r="C3" s="92"/>
      <c r="D3" s="92"/>
      <c r="E3" s="92"/>
      <c r="F3" s="92"/>
      <c r="G3" s="92"/>
      <c r="H3" s="93"/>
      <c r="I3" s="35"/>
      <c r="J3" s="35"/>
      <c r="K3" s="35"/>
      <c r="O3" s="36"/>
      <c r="P3" s="36"/>
      <c r="Q3" s="98" t="s">
        <v>67</v>
      </c>
    </row>
    <row r="4" spans="1:23" ht="18" x14ac:dyDescent="0.2">
      <c r="A4" s="14" t="s">
        <v>21</v>
      </c>
      <c r="B4" s="94">
        <v>5120</v>
      </c>
      <c r="C4" s="32"/>
      <c r="F4" s="33"/>
      <c r="G4" s="33"/>
      <c r="H4" s="33"/>
      <c r="I4" s="33"/>
      <c r="J4" s="33"/>
      <c r="K4" s="33"/>
      <c r="Q4" s="98" t="s">
        <v>68</v>
      </c>
    </row>
    <row r="5" spans="1:23" ht="18" x14ac:dyDescent="0.2">
      <c r="A5" s="60" t="s">
        <v>49</v>
      </c>
      <c r="B5" s="95">
        <v>44511</v>
      </c>
      <c r="Q5" s="98" t="s">
        <v>69</v>
      </c>
    </row>
    <row r="6" spans="1:23" ht="6" customHeight="1" x14ac:dyDescent="0.15"/>
    <row r="7" spans="1:23" ht="19" thickBot="1" x14ac:dyDescent="0.25">
      <c r="A7" s="56" t="s">
        <v>22</v>
      </c>
      <c r="B7" s="96">
        <v>44511</v>
      </c>
      <c r="Q7" s="98" t="s">
        <v>70</v>
      </c>
    </row>
    <row r="8" spans="1:23" ht="19" thickBot="1" x14ac:dyDescent="0.25">
      <c r="A8" s="12" t="s">
        <v>23</v>
      </c>
      <c r="B8" s="97">
        <v>0.29166666666666669</v>
      </c>
      <c r="D8" s="118" t="s">
        <v>79</v>
      </c>
      <c r="E8" s="119"/>
      <c r="F8" s="119"/>
      <c r="G8" s="119"/>
      <c r="H8" s="119"/>
      <c r="I8" s="120" t="s">
        <v>75</v>
      </c>
      <c r="J8" s="119"/>
      <c r="K8" s="121"/>
      <c r="Q8" s="98" t="s">
        <v>71</v>
      </c>
    </row>
    <row r="9" spans="1:23" ht="14" thickBot="1" x14ac:dyDescent="0.2">
      <c r="D9" s="6" t="s">
        <v>24</v>
      </c>
      <c r="E9" s="7" t="s">
        <v>25</v>
      </c>
      <c r="F9" s="84" t="s">
        <v>26</v>
      </c>
      <c r="G9" s="84" t="s">
        <v>27</v>
      </c>
      <c r="H9" s="85" t="s">
        <v>28</v>
      </c>
      <c r="I9" s="7" t="s">
        <v>61</v>
      </c>
      <c r="J9" s="7" t="s">
        <v>62</v>
      </c>
      <c r="K9" s="8" t="s">
        <v>63</v>
      </c>
      <c r="L9" t="s">
        <v>3</v>
      </c>
      <c r="M9" t="s">
        <v>4</v>
      </c>
      <c r="N9" t="s">
        <v>5</v>
      </c>
      <c r="O9" t="s">
        <v>6</v>
      </c>
      <c r="Q9" s="98" t="s">
        <v>72</v>
      </c>
    </row>
    <row r="10" spans="1:23" ht="17" customHeight="1" x14ac:dyDescent="0.2">
      <c r="C10" s="3" t="s">
        <v>7</v>
      </c>
      <c r="D10" s="34">
        <v>0</v>
      </c>
      <c r="E10" s="101" t="s">
        <v>82</v>
      </c>
      <c r="F10" s="102" t="s">
        <v>83</v>
      </c>
      <c r="G10" s="102" t="s">
        <v>84</v>
      </c>
      <c r="H10" s="103"/>
      <c r="I10" s="108"/>
      <c r="J10" s="108"/>
      <c r="K10" s="110"/>
      <c r="L10" s="4">
        <f>Start_date+Start_time</f>
        <v>44511.291666666664</v>
      </c>
      <c r="M10" s="4">
        <f>L10+"1:00"</f>
        <v>44511.333333333328</v>
      </c>
      <c r="N10" s="5">
        <f>IF(ISBLANK(Distance),"",Open Control_1)</f>
        <v>44511.291666666664</v>
      </c>
      <c r="O10" s="5">
        <f>IF(ISBLANK(Distance),"",Close Control_1)</f>
        <v>44511.333333333328</v>
      </c>
      <c r="Q10" s="98" t="s">
        <v>73</v>
      </c>
    </row>
    <row r="11" spans="1:23" ht="17" customHeight="1" x14ac:dyDescent="0.2">
      <c r="B11" s="114">
        <f t="shared" ref="B11:B16" si="0">D11-D$11</f>
        <v>0</v>
      </c>
      <c r="C11" s="3" t="s">
        <v>8</v>
      </c>
      <c r="D11" s="34">
        <v>49.7</v>
      </c>
      <c r="E11" s="101" t="s">
        <v>85</v>
      </c>
      <c r="F11" s="102" t="s">
        <v>103</v>
      </c>
      <c r="G11" s="102" t="s">
        <v>92</v>
      </c>
      <c r="H11" s="102" t="s">
        <v>86</v>
      </c>
      <c r="I11" s="108"/>
      <c r="J11" s="108"/>
      <c r="K11" s="110" t="s">
        <v>108</v>
      </c>
      <c r="L11">
        <f>IF(ISBLANK(Distance),"",IF(Distance&gt;1000,(Distance-1000)/26+33.0847,(IF(Distance&gt;600,(Distance-600)/28+18.799,(IF(Distance&gt;400,(Distance-400)/30+12.1324,(IF(Distance&gt;200,(Distance-200)/32+5.8824,Distance/34))))))))</f>
        <v>1.4617647058823531</v>
      </c>
      <c r="M11">
        <f>IF(ISBLANK(Distance),"",IF(Distance&gt;=brevet,IF(brevet&gt;1200,(brevet-1200)*75/1000+90,Max_time),IF(Distance&gt;1200,(Distance-1200)*75/1000+90,IF(Distance&gt;1000,(Distance-1000)/(1000/75)+75,IF(Distance&gt;600,(Distance-600)/(400/35)+40,Distance/15)))))</f>
        <v>3.3133333333333335</v>
      </c>
      <c r="N11" s="5">
        <f>IF(ISBLANK(Distance),"",Open_time Control_1+(INT(Open)&amp;":"&amp;IF(ROUND(((Open-INT(Open))*60),0)&lt;10,0,"")&amp;ROUND(((Open-INT(Open))*60),0)))</f>
        <v>44511.352777777778</v>
      </c>
      <c r="O11" s="5">
        <f>IF(ISBLANK(Distance),"",Open_time Control_1+(INT(Close)&amp;":"&amp;IF(ROUND(((Close-INT(Close))*60),0)&lt;10,0,"")&amp;ROUND(((Close-INT(Close))*60),0)))</f>
        <v>44511.429861111108</v>
      </c>
      <c r="Q11" s="98" t="s">
        <v>74</v>
      </c>
    </row>
    <row r="12" spans="1:23" ht="17" customHeight="1" x14ac:dyDescent="0.2">
      <c r="B12" s="114">
        <f t="shared" si="0"/>
        <v>43.8</v>
      </c>
      <c r="C12" s="3" t="s">
        <v>9</v>
      </c>
      <c r="D12" s="34">
        <v>93.5</v>
      </c>
      <c r="E12" s="101" t="s">
        <v>88</v>
      </c>
      <c r="F12" s="103" t="s">
        <v>91</v>
      </c>
      <c r="G12" s="102" t="s">
        <v>90</v>
      </c>
      <c r="H12" s="102" t="s">
        <v>89</v>
      </c>
      <c r="I12" s="108" t="s">
        <v>104</v>
      </c>
      <c r="J12" s="108"/>
      <c r="K12" s="110" t="s">
        <v>105</v>
      </c>
      <c r="L12">
        <f>IF(ISBLANK(Distance),"",IF(Distance&gt;1000,(Distance-1000)/26+33.0847,(IF(Distance&gt;600,(Distance-600)/28+18.799,(IF(Distance&gt;400,(Distance-400)/30+12.1324,(IF(Distance&gt;200,(Distance-200)/32+5.8824,Distance/34))))))))</f>
        <v>2.75</v>
      </c>
      <c r="M12">
        <f t="shared" ref="M12:M19" si="1">IF(ISBLANK(Distance),"",IF(Distance&gt;=brevet,IF(brevet&gt;1200,(brevet-1200)*75/1000+90,Max_time),IF(Distance&gt;1200,(Distance-1200)*75/1000+90,IF(Distance&gt;1000,(Distance-1000)/(1000/75)+75,IF(Distance&gt;600,(Distance-600)/(400/35)+40,Distance/15)))))</f>
        <v>6.2333333333333334</v>
      </c>
      <c r="N12" s="5">
        <f>IF(ISBLANK(Distance),"",Open_time Control_1+(INT(Open)&amp;":"&amp;IF(ROUND(((Open-INT(Open))*60),0)&lt;10,0,"")&amp;ROUND(((Open-INT(Open))*60),0)))</f>
        <v>44511.40625</v>
      </c>
      <c r="O12" s="5">
        <f>IF(ISBLANK(Distance),"",Open_time Control_1+(INT(Close)&amp;":"&amp;IF(ROUND(((Close-INT(Close))*60),0)&lt;10,0,"")&amp;ROUND(((Close-INT(Close))*60),0)))</f>
        <v>44511.551388888889</v>
      </c>
    </row>
    <row r="13" spans="1:23" ht="17" customHeight="1" x14ac:dyDescent="0.2">
      <c r="B13" s="114">
        <f t="shared" si="0"/>
        <v>61.2</v>
      </c>
      <c r="C13" s="3" t="s">
        <v>10</v>
      </c>
      <c r="D13" s="34">
        <v>110.9</v>
      </c>
      <c r="E13" s="101" t="s">
        <v>82</v>
      </c>
      <c r="F13" s="102" t="s">
        <v>106</v>
      </c>
      <c r="G13" s="102" t="s">
        <v>101</v>
      </c>
      <c r="H13" s="103" t="s">
        <v>107</v>
      </c>
      <c r="I13" s="103"/>
      <c r="J13" s="108"/>
      <c r="K13" s="110" t="s">
        <v>110</v>
      </c>
      <c r="L13">
        <f t="shared" ref="L13:L19" si="2">IF(ISBLANK(Distance),"",IF(Distance&gt;1000,(Distance-1000)/26+33.0847,(IF(Distance&gt;600,(Distance-600)/28+18.799,(IF(Distance&gt;400,(Distance-400)/30+12.1324,(IF(Distance&gt;200,(Distance-200)/32+5.8824,Distance/34))))))))</f>
        <v>3.2617647058823529</v>
      </c>
      <c r="M13">
        <f t="shared" si="1"/>
        <v>7.3933333333333335</v>
      </c>
      <c r="N13" s="5">
        <f>IF(ISBLANK(Distance),"",Open_time Control_1+(INT(Open)&amp;":"&amp;IF(ROUND(((Open-INT(Open))*60),0)&lt;10,0,"")&amp;ROUND(((Open-INT(Open))*60),0)))</f>
        <v>44511.427777777775</v>
      </c>
      <c r="O13" s="5">
        <f>IF(ISBLANK(Distance),"",Open_time Control_1+(INT(Close)&amp;":"&amp;IF(ROUND(((Close-INT(Close))*60),0)&lt;10,0,"")&amp;ROUND(((Close-INT(Close))*60),0)))</f>
        <v>44511.6</v>
      </c>
    </row>
    <row r="14" spans="1:23" ht="17" customHeight="1" x14ac:dyDescent="0.2">
      <c r="B14" s="114">
        <f t="shared" si="0"/>
        <v>75.8</v>
      </c>
      <c r="C14" s="3" t="s">
        <v>11</v>
      </c>
      <c r="D14" s="34">
        <v>125.5</v>
      </c>
      <c r="E14" s="101" t="s">
        <v>82</v>
      </c>
      <c r="F14" s="102" t="s">
        <v>98</v>
      </c>
      <c r="G14" s="102" t="s">
        <v>99</v>
      </c>
      <c r="H14" s="103" t="s">
        <v>100</v>
      </c>
      <c r="I14" s="108" t="s">
        <v>114</v>
      </c>
      <c r="J14" s="108" t="s">
        <v>115</v>
      </c>
      <c r="K14" s="110"/>
      <c r="L14">
        <f t="shared" si="2"/>
        <v>3.6911764705882355</v>
      </c>
      <c r="M14">
        <f t="shared" si="1"/>
        <v>8.3666666666666671</v>
      </c>
      <c r="N14" s="5">
        <f>IF(ISBLANK(Distance),"",Open_time Control_1+(INT(Open)&amp;":"&amp;IF(ROUND(((Open-INT(Open))*60),0)&lt;10,0,"")&amp;ROUND(((Open-INT(Open))*60),0)))</f>
        <v>44511.445138888885</v>
      </c>
      <c r="O14" s="5">
        <f>IF(ISBLANK(Distance),"",Open_time Control_1+(INT(Close)&amp;":"&amp;IF(ROUND(((Close-INT(Close))*60),0)&lt;10,0,"")&amp;ROUND(((Close-INT(Close))*60),0)))</f>
        <v>44511.640277777777</v>
      </c>
      <c r="Q14" s="99" t="s">
        <v>76</v>
      </c>
    </row>
    <row r="15" spans="1:23" ht="17" customHeight="1" x14ac:dyDescent="0.2">
      <c r="B15" s="114">
        <f t="shared" si="0"/>
        <v>104.99999999999999</v>
      </c>
      <c r="C15" s="3" t="s">
        <v>12</v>
      </c>
      <c r="D15" s="34">
        <v>154.69999999999999</v>
      </c>
      <c r="E15" s="101" t="s">
        <v>85</v>
      </c>
      <c r="F15" s="102" t="s">
        <v>96</v>
      </c>
      <c r="G15" s="102" t="s">
        <v>97</v>
      </c>
      <c r="H15" s="103" t="s">
        <v>111</v>
      </c>
      <c r="I15" s="108" t="s">
        <v>117</v>
      </c>
      <c r="J15" s="108"/>
      <c r="K15" s="110" t="s">
        <v>118</v>
      </c>
      <c r="L15">
        <f t="shared" si="2"/>
        <v>4.55</v>
      </c>
      <c r="M15">
        <f t="shared" si="1"/>
        <v>10.313333333333333</v>
      </c>
      <c r="N15" s="5">
        <f>IF(ISBLANK(Distance),"",Open_time Control_1+(INT(Open)&amp;":"&amp;IF(ROUND(((Open-INT(Open))*60),0)&lt;10,0,"")&amp;ROUND(((Open-INT(Open))*60),0)))</f>
        <v>44511.481249999997</v>
      </c>
      <c r="O15" s="5">
        <f>IF(ISBLANK(Distance),"",Open_time Control_1+(INT(Close)&amp;":"&amp;IF(ROUND(((Close-INT(Close))*60),0)&lt;10,0,"")&amp;ROUND(((Close-INT(Close))*60),0)))</f>
        <v>44511.721527777772</v>
      </c>
    </row>
    <row r="16" spans="1:23" ht="17" customHeight="1" x14ac:dyDescent="0.2">
      <c r="B16" s="114">
        <f t="shared" si="0"/>
        <v>151.60000000000002</v>
      </c>
      <c r="C16" s="3" t="s">
        <v>13</v>
      </c>
      <c r="D16" s="34">
        <v>201.3</v>
      </c>
      <c r="E16" s="101" t="s">
        <v>82</v>
      </c>
      <c r="F16" s="102" t="s">
        <v>94</v>
      </c>
      <c r="G16" s="103" t="s">
        <v>95</v>
      </c>
      <c r="H16" s="103"/>
      <c r="I16" s="108"/>
      <c r="J16" s="108"/>
      <c r="K16" s="109"/>
      <c r="L16">
        <f t="shared" si="2"/>
        <v>5.923025</v>
      </c>
      <c r="M16">
        <f t="shared" si="1"/>
        <v>13.5</v>
      </c>
      <c r="N16" s="5">
        <f>IF(ISBLANK(Distance),"",Open_time Control_1+(INT(Open)&amp;":"&amp;IF(ROUND(((Open-INT(Open))*60),0)&lt;10,0,"")&amp;ROUND(((Open-INT(Open))*60),0)))</f>
        <v>44511.538194444445</v>
      </c>
      <c r="O16" s="5">
        <f>IF(ISBLANK(Distance),"",Open_time Control_1+(INT(Close)&amp;":"&amp;IF(ROUND(((Close-INT(Close))*60),0)&lt;10,0,"")&amp;ROUND(((Close-INT(Close))*60),0)))</f>
        <v>44511.854166666664</v>
      </c>
    </row>
    <row r="17" spans="2:15" ht="17" customHeight="1" x14ac:dyDescent="0.2">
      <c r="B17" s="114"/>
      <c r="C17" s="3" t="s">
        <v>14</v>
      </c>
      <c r="D17" s="34"/>
      <c r="E17" s="101"/>
      <c r="F17" s="102"/>
      <c r="G17" s="102"/>
      <c r="H17" s="103"/>
      <c r="I17" s="108"/>
      <c r="J17" s="108"/>
      <c r="K17" s="110"/>
      <c r="L17" t="str">
        <f t="shared" si="2"/>
        <v/>
      </c>
      <c r="M17" t="str">
        <f t="shared" si="1"/>
        <v/>
      </c>
      <c r="N17" s="5" t="str">
        <f>IF(ISBLANK(Distance),"",Open_time Control_1+(INT(Open)&amp;":"&amp;IF(ROUND(((Open-INT(Open))*60),0)&lt;10,0,"")&amp;ROUND(((Open-INT(Open))*60),0)))</f>
        <v/>
      </c>
      <c r="O17" s="5" t="str">
        <f>IF(ISBLANK(Distance),"",Open_time Control_1+(INT(Close)&amp;":"&amp;IF(ROUND(((Close-INT(Close))*60),0)&lt;10,0,"")&amp;ROUND(((Close-INT(Close))*60),0)))</f>
        <v/>
      </c>
    </row>
    <row r="18" spans="2:15" ht="17" customHeight="1" x14ac:dyDescent="0.2">
      <c r="B18" s="114"/>
      <c r="C18" s="3" t="s">
        <v>15</v>
      </c>
      <c r="D18" s="34"/>
      <c r="E18" s="101"/>
      <c r="F18" s="102"/>
      <c r="G18" s="102"/>
      <c r="H18" s="103"/>
      <c r="I18" s="108"/>
      <c r="J18" s="108"/>
      <c r="K18" s="110"/>
      <c r="L18" t="str">
        <f t="shared" si="2"/>
        <v/>
      </c>
      <c r="M18" t="str">
        <f t="shared" si="1"/>
        <v/>
      </c>
      <c r="N18" s="5" t="str">
        <f>IF(ISBLANK(Distance),"",Open_time Control_1+(INT(Open)&amp;":"&amp;IF(ROUND(((Open-INT(Open))*60),0)&lt;10,0,"")&amp;ROUND(((Open-INT(Open))*60),0)))</f>
        <v/>
      </c>
      <c r="O18" s="5" t="str">
        <f>IF(ISBLANK(Distance),"",Open_time Control_1+(INT(Close)&amp;":"&amp;IF(ROUND(((Close-INT(Close))*60),0)&lt;10,0,"")&amp;ROUND(((Close-INT(Close))*60),0)))</f>
        <v/>
      </c>
    </row>
    <row r="19" spans="2:15" ht="17" customHeight="1" thickBot="1" x14ac:dyDescent="0.25">
      <c r="B19" s="114"/>
      <c r="C19" s="3" t="s">
        <v>16</v>
      </c>
      <c r="D19" s="64"/>
      <c r="E19" s="104"/>
      <c r="F19" s="105"/>
      <c r="G19" s="105"/>
      <c r="H19" s="106"/>
      <c r="I19" s="111"/>
      <c r="J19" s="111"/>
      <c r="K19" s="112"/>
      <c r="L19" t="str">
        <f t="shared" si="2"/>
        <v/>
      </c>
      <c r="M19" t="str">
        <f t="shared" si="1"/>
        <v/>
      </c>
      <c r="N19" s="5" t="str">
        <f>IF(ISBLANK(Distance),"",Open_time Control_1+(INT(Open)&amp;":"&amp;IF(ROUND(((Open-INT(Open))*60),0)&lt;10,0,"")&amp;ROUND(((Open-INT(Open))*60),0)))</f>
        <v/>
      </c>
      <c r="O19" s="5" t="str">
        <f>IF(ISBLANK(Distance),"",Open_time Control_1+(INT(Close)&amp;":"&amp;IF(ROUND(((Close-INT(Close))*60),0)&lt;10,0,"")&amp;ROUND(((Close-INT(Close))*60),0)))</f>
        <v/>
      </c>
    </row>
    <row r="20" spans="2:15" ht="7" customHeight="1" thickBot="1" x14ac:dyDescent="0.25">
      <c r="D20" s="86"/>
      <c r="E20" s="87"/>
      <c r="F20" s="88"/>
      <c r="G20" s="88"/>
      <c r="H20" s="88"/>
      <c r="I20" s="88"/>
      <c r="J20" s="88"/>
      <c r="K20" s="89"/>
      <c r="N20" s="5"/>
      <c r="O20" s="5"/>
    </row>
    <row r="21" spans="2:15" ht="14" thickBot="1" x14ac:dyDescent="0.2">
      <c r="D21" s="118" t="s">
        <v>80</v>
      </c>
      <c r="E21" s="119"/>
      <c r="F21" s="119"/>
      <c r="G21" s="119"/>
      <c r="H21" s="119"/>
      <c r="I21" s="120" t="s">
        <v>77</v>
      </c>
      <c r="J21" s="119"/>
      <c r="K21" s="121"/>
    </row>
    <row r="22" spans="2:15" ht="14" thickBot="1" x14ac:dyDescent="0.2">
      <c r="D22" s="6" t="s">
        <v>24</v>
      </c>
      <c r="E22" s="7" t="s">
        <v>25</v>
      </c>
      <c r="F22" s="84" t="s">
        <v>26</v>
      </c>
      <c r="G22" s="84" t="s">
        <v>27</v>
      </c>
      <c r="H22" s="85" t="s">
        <v>28</v>
      </c>
      <c r="I22" s="7" t="s">
        <v>61</v>
      </c>
      <c r="J22" s="7" t="s">
        <v>62</v>
      </c>
      <c r="K22" s="8" t="s">
        <v>63</v>
      </c>
      <c r="L22" t="s">
        <v>3</v>
      </c>
      <c r="M22" t="s">
        <v>4</v>
      </c>
      <c r="N22" t="s">
        <v>5</v>
      </c>
      <c r="O22" t="s">
        <v>6</v>
      </c>
    </row>
    <row r="23" spans="2:15" ht="16" x14ac:dyDescent="0.2">
      <c r="D23" s="34">
        <v>0</v>
      </c>
      <c r="E23" s="101" t="s">
        <v>85</v>
      </c>
      <c r="F23" s="102" t="s">
        <v>87</v>
      </c>
      <c r="G23" s="102" t="s">
        <v>92</v>
      </c>
      <c r="H23" s="102" t="s">
        <v>86</v>
      </c>
      <c r="I23" s="103"/>
      <c r="J23" s="108"/>
      <c r="K23" s="110" t="s">
        <v>108</v>
      </c>
      <c r="L23">
        <f>IF(ISBLANK(D23),"",IF(D23&gt;1000,(D23-1000)/26+33.0847,(IF(D23&gt;600,(D23-600)/28+18.799,(IF(D23&gt;400,(D23-400)/30+12.1324,(IF(D23&gt;200,(D23-200)/32+5.8824,D23/34))))))))</f>
        <v>0</v>
      </c>
      <c r="M23">
        <f>IF(ISBLANK(D23),"",IF((D23=0),1,IF(D23&gt;=brevet,IF(brevet&gt;1200,(brevet-1200)*75/1000+90,Max_time),IF(D23&gt;1200,(D23-1200)*75/1000+90,IF(D23&gt;1000,(D23-1000)/(1000/75)+75,IF(D23&gt;600,(D23-600)/(400/35)+40,D23/15))))))</f>
        <v>1</v>
      </c>
      <c r="N23" s="5">
        <f>IF(ISBLANK(D23),"",Open_time Control_1+(INT(L23)&amp;":"&amp;IF(ROUND(((L23-INT(L23))*60),0)&lt;10,0,"")&amp;ROUND(((L23-INT(L23))*60),0)))</f>
        <v>44511.291666666664</v>
      </c>
      <c r="O23" s="5">
        <f>IF(ISBLANK(D23),"",Open_time Control_1+(INT(M23)&amp;":"&amp;IF(ROUND(((M23-INT(M23))*60),0)&lt;10,0,"")&amp;ROUND(((M23-INT(M23))*60),0)))</f>
        <v>44511.333333333328</v>
      </c>
    </row>
    <row r="24" spans="2:15" ht="17" customHeight="1" x14ac:dyDescent="0.2">
      <c r="D24" s="34">
        <v>43.8</v>
      </c>
      <c r="E24" s="101" t="s">
        <v>88</v>
      </c>
      <c r="F24" s="103" t="s">
        <v>91</v>
      </c>
      <c r="G24" s="102" t="s">
        <v>90</v>
      </c>
      <c r="H24" s="102" t="s">
        <v>89</v>
      </c>
      <c r="I24" s="108" t="s">
        <v>104</v>
      </c>
      <c r="J24" s="108"/>
      <c r="K24" s="110" t="s">
        <v>105</v>
      </c>
      <c r="L24">
        <f t="shared" ref="L24:L32" si="3">IF(ISBLANK(D24),"",IF(D24&gt;1000,(D24-1000)/26+33.0847,(IF(D24&gt;600,(D24-600)/28+18.799,(IF(D24&gt;400,(D24-400)/30+12.1324,(IF(D24&gt;200,(D24-200)/32+5.8824,D24/34))))))))</f>
        <v>1.2882352941176469</v>
      </c>
      <c r="M24">
        <f t="shared" ref="M24:M32" si="4">IF(ISBLANK(D24),"",IF(D24&gt;=brevet,IF(brevet&gt;1200,(brevet-1200)*75/1000+90,Max_time),IF(D24&gt;1200,(D24-1200)*75/1000+90,IF(D24&gt;1000,(D24-1000)/(1000/75)+75,IF(D24&gt;600,(D24-600)/(400/35)+40,D24/15)))))</f>
        <v>2.92</v>
      </c>
      <c r="N24" s="5">
        <f>IF(ISBLANK(D24),"",Open_time Control_1+(INT(L24)&amp;":"&amp;IF(ROUND(((L24-INT(L24))*60),0)&lt;10,0,"")&amp;ROUND(((L24-INT(L24))*60),0)))</f>
        <v>44511.345138888886</v>
      </c>
      <c r="O24" s="5">
        <f>IF(ISBLANK(D24),"",Open_time Control_1+(INT(M24)&amp;":"&amp;IF(ROUND(((M24-INT(M24))*60),0)&lt;10,0,"")&amp;ROUND(((M24-INT(M24))*60),0)))</f>
        <v>44511.413194444445</v>
      </c>
    </row>
    <row r="25" spans="2:15" ht="17" customHeight="1" x14ac:dyDescent="0.2">
      <c r="D25" s="34">
        <v>61.2</v>
      </c>
      <c r="E25" s="101" t="s">
        <v>82</v>
      </c>
      <c r="F25" s="102" t="s">
        <v>106</v>
      </c>
      <c r="G25" s="102" t="s">
        <v>101</v>
      </c>
      <c r="H25" s="103" t="s">
        <v>107</v>
      </c>
      <c r="I25" s="108"/>
      <c r="J25" s="108"/>
      <c r="K25" s="110" t="s">
        <v>109</v>
      </c>
      <c r="L25">
        <f t="shared" si="3"/>
        <v>1.8</v>
      </c>
      <c r="M25">
        <f t="shared" si="4"/>
        <v>4.08</v>
      </c>
      <c r="N25" s="5">
        <f>IF(ISBLANK(D25),"",Open_time Control_1+(INT(L25)&amp;":"&amp;IF(ROUND(((L25-INT(L25))*60),0)&lt;10,0,"")&amp;ROUND(((L25-INT(L25))*60),0)))</f>
        <v>44511.366666666661</v>
      </c>
      <c r="O25" s="5">
        <f>IF(ISBLANK(D25),"",Open_time Control_1+(INT(M25)&amp;":"&amp;IF(ROUND(((M25-INT(M25))*60),0)&lt;10,0,"")&amp;ROUND(((M25-INT(M25))*60),0)))</f>
        <v>44511.461805555555</v>
      </c>
    </row>
    <row r="26" spans="2:15" ht="17" customHeight="1" x14ac:dyDescent="0.2">
      <c r="D26" s="34">
        <v>75.8</v>
      </c>
      <c r="E26" s="101" t="s">
        <v>82</v>
      </c>
      <c r="F26" s="102" t="s">
        <v>98</v>
      </c>
      <c r="G26" s="102" t="s">
        <v>99</v>
      </c>
      <c r="H26" s="103" t="s">
        <v>100</v>
      </c>
      <c r="I26" s="108" t="s">
        <v>114</v>
      </c>
      <c r="J26" s="108" t="s">
        <v>115</v>
      </c>
      <c r="K26" s="110"/>
      <c r="L26">
        <f t="shared" si="3"/>
        <v>2.2294117647058824</v>
      </c>
      <c r="M26">
        <f t="shared" si="4"/>
        <v>5.0533333333333328</v>
      </c>
      <c r="N26" s="5">
        <f>IF(ISBLANK(D26),"",Open_time Control_1+(INT(L26)&amp;":"&amp;IF(ROUND(((L26-INT(L26))*60),0)&lt;10,0,"")&amp;ROUND(((L26-INT(L26))*60),0)))</f>
        <v>44511.384722222218</v>
      </c>
      <c r="O26" s="5">
        <f>IF(ISBLANK(D26),"",Open_time Control_1+(INT(M26)&amp;":"&amp;IF(ROUND(((M26-INT(M26))*60),0)&lt;10,0,"")&amp;ROUND(((M26-INT(M26))*60),0)))</f>
        <v>44511.502083333333</v>
      </c>
    </row>
    <row r="27" spans="2:15" ht="17" customHeight="1" x14ac:dyDescent="0.2">
      <c r="D27" s="34">
        <v>104.99999999999999</v>
      </c>
      <c r="E27" s="101" t="s">
        <v>93</v>
      </c>
      <c r="F27" s="102" t="s">
        <v>96</v>
      </c>
      <c r="G27" s="102" t="s">
        <v>97</v>
      </c>
      <c r="H27" s="103" t="s">
        <v>111</v>
      </c>
      <c r="I27" s="108" t="s">
        <v>117</v>
      </c>
      <c r="J27" s="108"/>
      <c r="K27" s="110" t="s">
        <v>118</v>
      </c>
      <c r="L27">
        <f t="shared" si="3"/>
        <v>3.0882352941176467</v>
      </c>
      <c r="M27">
        <f t="shared" si="4"/>
        <v>6.9999999999999991</v>
      </c>
      <c r="N27" s="5">
        <f>IF(ISBLANK(D27),"",Open_time Control_1+(INT(L27)&amp;":"&amp;IF(ROUND(((L27-INT(L27))*60),0)&lt;10,0,"")&amp;ROUND(((L27-INT(L27))*60),0)))</f>
        <v>44511.420138888883</v>
      </c>
      <c r="O27" s="5">
        <f>IF(ISBLANK(D27),"",Open_time Control_1+(INT(M27)&amp;":"&amp;IF(ROUND(((M27-INT(M27))*60),0)&lt;10,0,"")&amp;ROUND(((M27-INT(M27))*60),0)))</f>
        <v>44511.583333333328</v>
      </c>
    </row>
    <row r="28" spans="2:15" ht="17" customHeight="1" x14ac:dyDescent="0.2">
      <c r="D28" s="34">
        <v>151.60000000000002</v>
      </c>
      <c r="E28" s="101" t="s">
        <v>82</v>
      </c>
      <c r="F28" s="102" t="s">
        <v>94</v>
      </c>
      <c r="G28" s="103" t="s">
        <v>95</v>
      </c>
      <c r="H28" s="103"/>
      <c r="I28" s="108" t="s">
        <v>116</v>
      </c>
      <c r="J28" s="108"/>
      <c r="K28" s="110"/>
      <c r="L28">
        <f t="shared" si="3"/>
        <v>4.4588235294117657</v>
      </c>
      <c r="M28">
        <f t="shared" si="4"/>
        <v>10.106666666666667</v>
      </c>
      <c r="N28" s="5">
        <f>IF(ISBLANK(D28),"",Open_time Control_1+(INT(L28)&amp;":"&amp;IF(ROUND(((L28-INT(L28))*60),0)&lt;10,0,"")&amp;ROUND(((L28-INT(L28))*60),0)))</f>
        <v>44511.477777777778</v>
      </c>
      <c r="O28" s="5">
        <f>IF(ISBLANK(D28),"",Open_time Control_1+(INT(M28)&amp;":"&amp;IF(ROUND(((M28-INT(M28))*60),0)&lt;10,0,"")&amp;ROUND(((M28-INT(M28))*60),0)))</f>
        <v>44511.712499999994</v>
      </c>
    </row>
    <row r="29" spans="2:15" ht="17" customHeight="1" x14ac:dyDescent="0.2">
      <c r="D29" s="34">
        <v>152.80000000000001</v>
      </c>
      <c r="E29" s="101" t="s">
        <v>82</v>
      </c>
      <c r="F29" s="102" t="s">
        <v>83</v>
      </c>
      <c r="G29" s="102" t="s">
        <v>84</v>
      </c>
      <c r="H29" s="103" t="s">
        <v>112</v>
      </c>
      <c r="I29" s="108"/>
      <c r="J29" s="108"/>
      <c r="K29" s="110" t="s">
        <v>113</v>
      </c>
      <c r="L29">
        <f t="shared" si="3"/>
        <v>4.4941176470588236</v>
      </c>
      <c r="M29">
        <f t="shared" si="4"/>
        <v>10.186666666666667</v>
      </c>
      <c r="N29" s="5">
        <f>IF(ISBLANK(D29),"",Open_time Control_1+(INT(L29)&amp;":"&amp;IF(ROUND(((L29-INT(L29))*60),0)&lt;10,0,"")&amp;ROUND(((L29-INT(L29))*60),0)))</f>
        <v>44511.479166666664</v>
      </c>
      <c r="O29" s="5">
        <f>IF(ISBLANK(D29),"",Open_time Control_1+(INT(M29)&amp;":"&amp;IF(ROUND(((M29-INT(M29))*60),0)&lt;10,0,"")&amp;ROUND(((M29-INT(M29))*60),0)))</f>
        <v>44511.71597222222</v>
      </c>
    </row>
    <row r="30" spans="2:15" ht="17" customHeight="1" x14ac:dyDescent="0.2">
      <c r="D30" s="34">
        <v>202.5</v>
      </c>
      <c r="E30" s="101" t="s">
        <v>85</v>
      </c>
      <c r="F30" s="102" t="s">
        <v>86</v>
      </c>
      <c r="G30" s="102"/>
      <c r="H30" s="103"/>
      <c r="I30" s="103" t="s">
        <v>102</v>
      </c>
      <c r="J30" s="108"/>
      <c r="K30" s="109"/>
      <c r="L30">
        <f t="shared" si="3"/>
        <v>5.9605249999999996</v>
      </c>
      <c r="M30">
        <f t="shared" si="4"/>
        <v>13.5</v>
      </c>
      <c r="N30" s="5">
        <f>IF(ISBLANK(D30),"",Open_time Control_1+(INT(L30)&amp;":"&amp;IF(ROUND(((L30-INT(L30))*60),0)&lt;10,0,"")&amp;ROUND(((L30-INT(L30))*60),0)))</f>
        <v>44511.540277777778</v>
      </c>
      <c r="O30" s="5">
        <f>IF(ISBLANK(D30),"",Open_time Control_1+(INT(M30)&amp;":"&amp;IF(ROUND(((M30-INT(M30))*60),0)&lt;10,0,"")&amp;ROUND(((M30-INT(M30))*60),0)))</f>
        <v>44511.854166666664</v>
      </c>
    </row>
    <row r="31" spans="2:15" ht="17" customHeight="1" x14ac:dyDescent="0.2">
      <c r="D31" s="34"/>
      <c r="E31" s="101"/>
      <c r="F31" s="102"/>
      <c r="G31" s="102"/>
      <c r="H31" s="103"/>
      <c r="I31" s="103"/>
      <c r="J31" s="108"/>
      <c r="K31" s="109"/>
      <c r="L31" t="str">
        <f t="shared" si="3"/>
        <v/>
      </c>
      <c r="M31" t="str">
        <f t="shared" si="4"/>
        <v/>
      </c>
      <c r="N31" s="5" t="str">
        <f>IF(ISBLANK(D31),"",Open_time Control_1+(INT(L31)&amp;":"&amp;IF(ROUND(((L31-INT(L31))*60),0)&lt;10,0,"")&amp;ROUND(((L31-INT(L31))*60),0)))</f>
        <v/>
      </c>
      <c r="O31" s="5" t="str">
        <f>IF(ISBLANK(D31),"",Open_time Control_1+(INT(M31)&amp;":"&amp;IF(ROUND(((M31-INT(M31))*60),0)&lt;10,0,"")&amp;ROUND(((M31-INT(M31))*60),0)))</f>
        <v/>
      </c>
    </row>
    <row r="32" spans="2:15" ht="17" customHeight="1" thickBot="1" x14ac:dyDescent="0.25">
      <c r="D32" s="64"/>
      <c r="E32" s="104"/>
      <c r="F32" s="105"/>
      <c r="G32" s="105"/>
      <c r="H32" s="106"/>
      <c r="I32" s="111"/>
      <c r="J32" s="111"/>
      <c r="K32" s="112"/>
      <c r="L32" t="str">
        <f t="shared" si="3"/>
        <v/>
      </c>
      <c r="M32" t="str">
        <f t="shared" si="4"/>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A4" sqref="A4"/>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30" t="s">
        <v>44</v>
      </c>
      <c r="B1" s="130"/>
      <c r="C1" s="130"/>
      <c r="D1" s="130"/>
      <c r="E1" s="130"/>
      <c r="F1" s="130"/>
      <c r="G1" s="130"/>
      <c r="H1" s="35" t="s">
        <v>29</v>
      </c>
    </row>
    <row r="2" spans="1:22" ht="33.75" customHeight="1" thickBot="1" x14ac:dyDescent="0.25">
      <c r="A2" s="100" t="s">
        <v>30</v>
      </c>
      <c r="B2" s="9" t="s">
        <v>3</v>
      </c>
      <c r="C2" s="9" t="s">
        <v>4</v>
      </c>
      <c r="D2" s="9" t="s">
        <v>25</v>
      </c>
      <c r="E2" s="9" t="s">
        <v>31</v>
      </c>
      <c r="F2" s="9" t="s">
        <v>60</v>
      </c>
      <c r="G2" s="100" t="s">
        <v>32</v>
      </c>
      <c r="H2" s="35" t="s">
        <v>29</v>
      </c>
      <c r="K2" s="128" t="s">
        <v>56</v>
      </c>
      <c r="L2" s="128"/>
      <c r="M2" s="128"/>
      <c r="N2" s="128"/>
      <c r="O2" s="128"/>
      <c r="P2" s="128"/>
      <c r="Q2" s="128"/>
      <c r="R2" s="128"/>
      <c r="S2" s="128"/>
      <c r="T2" s="128"/>
      <c r="U2" s="128"/>
    </row>
    <row r="3" spans="1:22" ht="36" customHeight="1" x14ac:dyDescent="0.45">
      <c r="A3" s="39"/>
      <c r="B3" s="40">
        <f>Control_1 Open_time</f>
        <v>44511.291666666664</v>
      </c>
      <c r="C3" s="40">
        <f>Control_1 Close_time</f>
        <v>44511.333333333328</v>
      </c>
      <c r="D3" s="41"/>
      <c r="E3" s="42" t="str">
        <f>IF(ISBLANK(Control_1 Establishment_1),"",Control_1 Establishment_1)</f>
        <v>BC Indians War Memorial</v>
      </c>
      <c r="F3" s="42" t="str">
        <f>IF(ISBLANK('Control Entry'!I10),"",'Control Entry'!I10)</f>
        <v/>
      </c>
      <c r="G3" s="10"/>
      <c r="H3" s="35" t="s">
        <v>29</v>
      </c>
      <c r="K3" s="16"/>
      <c r="O3" s="135" t="s">
        <v>33</v>
      </c>
      <c r="P3" s="135"/>
      <c r="Q3" s="135"/>
      <c r="R3" s="135"/>
      <c r="S3" s="83"/>
      <c r="U3" s="52"/>
    </row>
    <row r="4" spans="1:22" ht="36" customHeight="1" x14ac:dyDescent="0.2">
      <c r="A4" s="48">
        <f>IF(ISBLANK(Distance Control_1),"",Control_1 Distance)</f>
        <v>0</v>
      </c>
      <c r="B4" s="49">
        <f>Control_1 Open_time</f>
        <v>44511.291666666664</v>
      </c>
      <c r="C4" s="49">
        <f>Control_1 Close_time</f>
        <v>44511.333333333328</v>
      </c>
      <c r="D4" s="50" t="str">
        <f>IF(ISBLANK(Locale Control_1),"",Locale Control_1)</f>
        <v>VICTORIA</v>
      </c>
      <c r="E4" s="67" t="str">
        <f>IF(ISBLANK(Control_1 Establishment_2),"",Control_1 Establishment_2)</f>
        <v>Beacon Hill Park</v>
      </c>
      <c r="F4" s="67" t="str">
        <f>IF(ISBLANK('Control Entry'!J10),"",'Control Entry'!J10)</f>
        <v/>
      </c>
      <c r="G4" s="10"/>
      <c r="H4" s="35" t="s">
        <v>29</v>
      </c>
      <c r="K4" s="16"/>
      <c r="M4" s="132" t="str">
        <f>IF(ISBLANK(brevet),"",brevet&amp;" km Randonnée")</f>
        <v>200 km Randonnée</v>
      </c>
      <c r="N4" s="132"/>
      <c r="O4" s="132"/>
      <c r="P4" s="132"/>
      <c r="Q4" s="132"/>
      <c r="R4" s="132"/>
      <c r="S4" s="132"/>
      <c r="T4" s="132"/>
      <c r="U4" s="53"/>
    </row>
    <row r="5" spans="1:22" ht="36" customHeight="1" thickBot="1" x14ac:dyDescent="0.25">
      <c r="A5" s="43"/>
      <c r="B5" s="44">
        <f>Control_1 Open_time</f>
        <v>44511.291666666664</v>
      </c>
      <c r="C5" s="44">
        <f>Control_1 Close_time</f>
        <v>44511.333333333328</v>
      </c>
      <c r="D5" s="45"/>
      <c r="E5" s="115" t="str">
        <f>IF(ISBLANK(Control_1 Establishment_3),"",Control_1 Establishment_3)</f>
        <v/>
      </c>
      <c r="F5" s="107" t="str">
        <f>IF(ISBLANK('Control Entry'!K10),"",'Control Entry'!K10)</f>
        <v/>
      </c>
      <c r="G5" s="11"/>
      <c r="H5" s="35" t="s">
        <v>29</v>
      </c>
      <c r="K5" s="16"/>
      <c r="M5" s="17"/>
      <c r="N5" s="133" t="s">
        <v>48</v>
      </c>
      <c r="O5" s="133"/>
      <c r="P5" s="81">
        <f>IF(ISBLANK(Brevet_Number),"",Brevet_Number)</f>
        <v>5120</v>
      </c>
      <c r="Q5" s="82"/>
      <c r="R5" s="127">
        <f>IF(ISBLANK('Control Entry'!$B5),"",'Control Entry'!$B5)</f>
        <v>44511</v>
      </c>
      <c r="S5" s="127"/>
      <c r="T5" s="127"/>
      <c r="U5" s="127"/>
      <c r="V5" s="54"/>
    </row>
    <row r="6" spans="1:22" ht="36" customHeight="1" x14ac:dyDescent="0.2">
      <c r="A6" s="39"/>
      <c r="B6" s="40">
        <f>Control_2 Open_time</f>
        <v>44511.352777777778</v>
      </c>
      <c r="C6" s="40">
        <f>Control_2 Close_time</f>
        <v>44511.429861111108</v>
      </c>
      <c r="D6" s="47"/>
      <c r="E6" s="42" t="str">
        <f>IF(ISBLANK(Control_2 Establishment_1),"",Control_2 Establishment_1)</f>
        <v>Plaque on left pillar main  sign</v>
      </c>
      <c r="F6" s="42" t="str">
        <f>IF(ISBLANK('Control Entry'!I11),"",'Control Entry'!I11)</f>
        <v/>
      </c>
      <c r="G6" s="10"/>
      <c r="H6" s="35" t="s">
        <v>29</v>
      </c>
      <c r="K6" s="16"/>
      <c r="L6" s="138" t="str">
        <f>IF(ISBLANK(Brevet_Description),"",Brevet_Description)</f>
        <v>CWAC1 to Fallen Leaves</v>
      </c>
      <c r="M6" s="138"/>
      <c r="N6" s="138"/>
      <c r="O6" s="138"/>
      <c r="P6" s="138"/>
      <c r="Q6" s="138"/>
      <c r="R6" s="138"/>
      <c r="S6" s="138"/>
      <c r="T6" s="138"/>
      <c r="U6" s="138"/>
    </row>
    <row r="7" spans="1:22" ht="36" customHeight="1" x14ac:dyDescent="0.2">
      <c r="A7" s="48">
        <f>IF(ISBLANK(Distance Control_2),"",Control_2 Distance)</f>
        <v>49.7</v>
      </c>
      <c r="B7" s="49">
        <f>Control_2 Open_time</f>
        <v>44511.352777777778</v>
      </c>
      <c r="C7" s="49">
        <f>Control_2 Close_time</f>
        <v>44511.429861111108</v>
      </c>
      <c r="D7" s="50" t="str">
        <f>IF(ISBLANK(Locale Control_2),"",Locale Control_2)</f>
        <v>NORTH SAANICH</v>
      </c>
      <c r="E7" s="42" t="str">
        <f>IF(ISBLANK(Control_2 Establishment_2),"",Control_2 Establishment_2)</f>
        <v>to right of access road</v>
      </c>
      <c r="F7" s="67" t="str">
        <f>IF(ISBLANK('Control Entry'!J11),"",'Control Entry'!J11)</f>
        <v/>
      </c>
      <c r="G7" s="10"/>
      <c r="H7" s="35" t="s">
        <v>29</v>
      </c>
    </row>
    <row r="8" spans="1:22" ht="36" customHeight="1" thickBot="1" x14ac:dyDescent="0.25">
      <c r="A8" s="43"/>
      <c r="B8" s="44">
        <f>Control_2 Open_time</f>
        <v>44511.352777777778</v>
      </c>
      <c r="C8" s="44">
        <f>Control_2 Close_time</f>
        <v>44511.429861111108</v>
      </c>
      <c r="D8" s="45"/>
      <c r="E8" s="46" t="str">
        <f>IF(ISBLANK(Control_2 Establishment_3),"",Control_2 Establishment_3)</f>
        <v>Blue Heron Park</v>
      </c>
      <c r="F8" s="107" t="str">
        <f>IF(ISBLANK('Control Entry'!K11),"",'Control Entry'!K11)</f>
        <v>"…and the _______?_______conflict."</v>
      </c>
      <c r="G8" s="11"/>
      <c r="H8" s="35" t="s">
        <v>29</v>
      </c>
      <c r="J8" s="17" t="s">
        <v>34</v>
      </c>
      <c r="L8" s="129"/>
      <c r="M8" s="129"/>
      <c r="N8" s="129"/>
      <c r="O8" s="129"/>
      <c r="P8" s="129"/>
      <c r="Q8" s="129"/>
      <c r="R8" s="36"/>
      <c r="S8" s="55" t="s">
        <v>47</v>
      </c>
      <c r="T8" s="122"/>
      <c r="U8" s="122"/>
    </row>
    <row r="9" spans="1:22" ht="36" customHeight="1" thickBot="1" x14ac:dyDescent="0.3">
      <c r="A9" s="39"/>
      <c r="B9" s="40">
        <f>Control_3 Open_time</f>
        <v>44511.40625</v>
      </c>
      <c r="C9" s="40">
        <f>Control_3 Close_time</f>
        <v>44511.551388888889</v>
      </c>
      <c r="D9" s="47"/>
      <c r="E9" s="42" t="str">
        <f>IF(ISBLANK(Control_3 Establishment_1),"",Control_3 Establishment_1)</f>
        <v>Grave:  Lt. Col. Joan Kennedy</v>
      </c>
      <c r="F9" s="42" t="str">
        <f>IF(ISBLANK('Control Entry'!I12),"",'Control Entry'!I12)</f>
        <v>From Armitage bench, 8 metres to right  at 90deg to road</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93.5</v>
      </c>
      <c r="B10" s="49">
        <f>Control_3 Open_time</f>
        <v>44511.40625</v>
      </c>
      <c r="C10" s="49">
        <f>Control_3 Close_time</f>
        <v>44511.551388888889</v>
      </c>
      <c r="D10" s="50" t="str">
        <f>IF(ISBLANK(Locale Control_3),"",Locale Control_3)</f>
        <v>COLWOOD</v>
      </c>
      <c r="E10" s="67" t="str">
        <f>IF(ISBLANK(Control_3 Establishment_2),"",Control_3 Establishment_2)</f>
        <v>Garden of Gesthemane</v>
      </c>
      <c r="F10" s="67" t="str">
        <f>IF(ISBLANK('Control Entry'!J12),"",'Control Entry'!J12)</f>
        <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44511.40625</v>
      </c>
      <c r="C11" s="44">
        <f>Control_3 Close_time</f>
        <v>44511.551388888889</v>
      </c>
      <c r="D11" s="45"/>
      <c r="E11" s="115" t="str">
        <f>IF(ISBLANK(Control_3 Establishment_3),"",Control_3 Establishment_3)</f>
        <v>Hatley Memorial Park</v>
      </c>
      <c r="F11" s="107" t="str">
        <f>IF(ISBLANK('Control Entry'!K12),"",'Control Entry'!K12)</f>
        <v>Last line on plaque?</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44511.427777777775</v>
      </c>
      <c r="C12" s="40">
        <f>Control_4 Close_time</f>
        <v>44511.6</v>
      </c>
      <c r="D12" s="47"/>
      <c r="E12" s="42" t="str">
        <f>IF(ISBLANK(Control_4 Establishment_1),"",Control_4 Establishment_1)</f>
        <v>Memorial: The Homecoming</v>
      </c>
      <c r="F12" s="42" t="str">
        <f>IF(ISBLANK('Control Entry'!I13),"",'Control Entry'!I13)</f>
        <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110.9</v>
      </c>
      <c r="B13" s="49">
        <f>Control_4 Open_time</f>
        <v>44511.427777777775</v>
      </c>
      <c r="C13" s="49">
        <f>Control_4 Close_time</f>
        <v>44511.6</v>
      </c>
      <c r="D13" s="50" t="str">
        <f>IF(ISBLANK(Locale Control_4),"",Locale Control_4)</f>
        <v>VICTORIA</v>
      </c>
      <c r="E13" s="42" t="str">
        <f>IF(ISBLANK(Control_4 Establishment_2),"",Control_4 Establishment_2)</f>
        <v>814 Wharf St</v>
      </c>
      <c r="F13" s="42" t="str">
        <f>IF(ISBLANK('Control Entry'!J13),"",'Control Entry'!J13)</f>
        <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44511.427777777775</v>
      </c>
      <c r="C14" s="44">
        <f>Control_4 Close_time</f>
        <v>44511.6</v>
      </c>
      <c r="D14" s="45"/>
      <c r="E14" s="46" t="str">
        <f>IF(ISBLANK(Control_4 Establishment_3),"",Control_4 Establishment_3)</f>
        <v>Water side granite marker</v>
      </c>
      <c r="F14" s="107" t="str">
        <f>IF(ISBLANK('Control Entry'!K13),"",'Control Entry'!K13)</f>
        <v>"Service to _________?"</v>
      </c>
      <c r="G14" s="11"/>
      <c r="H14" s="35" t="s">
        <v>29</v>
      </c>
    </row>
    <row r="15" spans="1:22" ht="36" customHeight="1" x14ac:dyDescent="0.2">
      <c r="A15" s="39"/>
      <c r="B15" s="40">
        <f>Control_5 Open_time</f>
        <v>44511.445138888885</v>
      </c>
      <c r="C15" s="40">
        <f>Control_5 Close_time</f>
        <v>44511.640277777777</v>
      </c>
      <c r="D15" s="47"/>
      <c r="E15" s="42" t="str">
        <f>IF(ISBLANK(Control_5 Establishment_1),"",Control_5 Establishment_1)</f>
        <v>Hut 'A'</v>
      </c>
      <c r="F15" s="42" t="str">
        <f>IF(ISBLANK('Control Entry'!I14),"",'Control Entry'!I14)</f>
        <v>Door is on which side?</v>
      </c>
      <c r="G15" s="10"/>
      <c r="H15" s="35" t="s">
        <v>29</v>
      </c>
      <c r="J15" s="17"/>
      <c r="L15" s="137" t="s">
        <v>59</v>
      </c>
      <c r="M15" s="137"/>
      <c r="N15" s="137"/>
      <c r="O15" s="137"/>
      <c r="P15" s="137"/>
      <c r="Q15" s="137"/>
      <c r="R15" s="137"/>
      <c r="S15" s="137"/>
      <c r="T15" s="137"/>
      <c r="U15" s="137"/>
    </row>
    <row r="16" spans="1:22" ht="36" customHeight="1" thickBot="1" x14ac:dyDescent="0.25">
      <c r="A16" s="48">
        <f>IF(ISBLANK(Distance Control_5),"",Control_5 Distance)</f>
        <v>125.5</v>
      </c>
      <c r="B16" s="49">
        <f>Control_5 Open_time</f>
        <v>44511.445138888885</v>
      </c>
      <c r="C16" s="49">
        <f>Control_5 Close_time</f>
        <v>44511.640277777777</v>
      </c>
      <c r="D16" s="50" t="str">
        <f>IF(ISBLANK(Locale Control_5),"",Locale Control_5)</f>
        <v>VICTORIA</v>
      </c>
      <c r="E16" s="42" t="str">
        <f>IF(ISBLANK(Control_5 Establishment_2),"",Control_5 Establishment_2)</f>
        <v>Alexander Rd</v>
      </c>
      <c r="F16" s="116" t="str">
        <f>IF(ISBLANK('Control Entry'!J14),"",'Control Entry'!J14)</f>
        <v>LEFT                              RIGHT</v>
      </c>
      <c r="G16" s="10"/>
      <c r="H16" s="35" t="s">
        <v>29</v>
      </c>
      <c r="L16" s="74"/>
      <c r="M16" s="74"/>
      <c r="N16" s="74"/>
      <c r="O16" s="74"/>
      <c r="P16" s="74"/>
      <c r="Q16" s="75"/>
      <c r="R16" s="75"/>
      <c r="S16" s="75"/>
      <c r="T16" s="75"/>
      <c r="U16" s="75"/>
    </row>
    <row r="17" spans="1:22" ht="36" customHeight="1" thickBot="1" x14ac:dyDescent="0.25">
      <c r="A17" s="43"/>
      <c r="B17" s="44">
        <f>Control_5 Open_time</f>
        <v>44511.445138888885</v>
      </c>
      <c r="C17" s="44">
        <f>Control_5 Close_time</f>
        <v>44511.640277777777</v>
      </c>
      <c r="D17" s="45"/>
      <c r="E17" s="46" t="str">
        <f>IF(ISBLANK(Control_5 Establishment_3),"",Control_5 Establishment_3)</f>
        <v>UVIC</v>
      </c>
      <c r="F17" s="46" t="str">
        <f>IF(ISBLANK('Control Entry'!K14),"",'Control Entry'!K14)</f>
        <v/>
      </c>
      <c r="G17" s="11"/>
      <c r="H17" s="35" t="s">
        <v>29</v>
      </c>
    </row>
    <row r="18" spans="1:22" ht="36" customHeight="1" x14ac:dyDescent="0.2">
      <c r="A18" s="39"/>
      <c r="B18" s="40">
        <f>Control_6 Open_time</f>
        <v>44511.481249999997</v>
      </c>
      <c r="C18" s="40">
        <f>Control_6 Close_time</f>
        <v>44511.721527777772</v>
      </c>
      <c r="D18" s="47"/>
      <c r="E18" s="42" t="str">
        <f>IF(ISBLANK(Control_6 Establishment_1),"",Control_6 Establishment_1)</f>
        <v>BC Aviation Museum</v>
      </c>
      <c r="F18" s="42" t="str">
        <f>IF(ISBLANK('Control Entry'!I15),"",'Control Entry'!I15)</f>
        <v>4th parking stall to right of gate</v>
      </c>
      <c r="G18" s="10"/>
      <c r="H18" s="35" t="s">
        <v>29</v>
      </c>
    </row>
    <row r="19" spans="1:22" ht="36" customHeight="1" x14ac:dyDescent="0.2">
      <c r="A19" s="48">
        <f>IF(ISBLANK(Distance Control_6),"",Control_6 Distance)</f>
        <v>154.69999999999999</v>
      </c>
      <c r="B19" s="49">
        <f>Control_6 Open_time</f>
        <v>44511.481249999997</v>
      </c>
      <c r="C19" s="49">
        <f>Control_6 Close_time</f>
        <v>44511.721527777772</v>
      </c>
      <c r="D19" s="50" t="str">
        <f>IF(ISBLANK(Locale Control_6),"",Locale Control_6)</f>
        <v>NORTH SAANICH</v>
      </c>
      <c r="E19" s="42" t="str">
        <f>IF(ISBLANK(Control_6 Establishment_2),"",Control_6 Establishment_2)</f>
        <v>1910 Norseman Rd</v>
      </c>
      <c r="F19" s="42" t="str">
        <f>IF(ISBLANK('Control Entry'!J15),"",'Control Entry'!J15)</f>
        <v/>
      </c>
      <c r="G19" s="10"/>
      <c r="H19" s="35" t="s">
        <v>29</v>
      </c>
    </row>
    <row r="20" spans="1:22" ht="36" customHeight="1" thickBot="1" x14ac:dyDescent="0.25">
      <c r="A20" s="43"/>
      <c r="B20" s="44">
        <f>Control_6 Open_time</f>
        <v>44511.481249999997</v>
      </c>
      <c r="C20" s="44">
        <f>Control_6 Close_time</f>
        <v>44511.721527777772</v>
      </c>
      <c r="D20" s="45"/>
      <c r="E20" s="46" t="str">
        <f>IF(ISBLANK(Control_6 Establishment_3),"",Control_6 Establishment_3)</f>
        <v>Victoria Airport</v>
      </c>
      <c r="F20" s="46" t="str">
        <f>IF(ISBLANK('Control Entry'!K15),"",'Control Entry'!K15)</f>
        <v>What covers back of memorial?</v>
      </c>
      <c r="G20" s="11"/>
      <c r="H20" s="35" t="s">
        <v>29</v>
      </c>
      <c r="J20" s="73" t="s">
        <v>45</v>
      </c>
      <c r="K20" s="73"/>
      <c r="L20" s="76"/>
      <c r="M20" s="76"/>
      <c r="N20" s="76"/>
      <c r="P20" s="24" t="s">
        <v>0</v>
      </c>
      <c r="Q20" s="24"/>
      <c r="S20" s="136">
        <f>'Control Entry'!B8</f>
        <v>0.29166666666666669</v>
      </c>
      <c r="T20" s="136"/>
      <c r="U20" s="136"/>
    </row>
    <row r="21" spans="1:22" ht="36" customHeight="1" x14ac:dyDescent="0.2">
      <c r="A21" s="39"/>
      <c r="B21" s="40">
        <f>Control_7 Open_time</f>
        <v>44511.538194444445</v>
      </c>
      <c r="C21" s="40">
        <f>Control_7 Close_time</f>
        <v>44511.854166666664</v>
      </c>
      <c r="D21" s="47"/>
      <c r="E21" s="42" t="str">
        <f>IF(ISBLANK(Control_7 Establishment_1),"",Control_7 Establishment_1)</f>
        <v>Beagle Pub</v>
      </c>
      <c r="F21" s="42" t="str">
        <f>IF(ISBLANK('Control Entry'!I16),"",'Control Entry'!I16)</f>
        <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201.3</v>
      </c>
      <c r="B22" s="49">
        <f>Control_7 Open_time</f>
        <v>44511.538194444445</v>
      </c>
      <c r="C22" s="49">
        <f>Control_7 Close_time</f>
        <v>44511.854166666664</v>
      </c>
      <c r="D22" s="50" t="str">
        <f>IF(ISBLANK(Locale Control_7),"",Locale Control_7)</f>
        <v>VICTORIA</v>
      </c>
      <c r="E22" s="42" t="str">
        <f>IF(ISBLANK(Control_7 Establishment_2),"",Control_7 Establishment_2)</f>
        <v>301 Cook St</v>
      </c>
      <c r="F22" s="42" t="str">
        <f>IF(ISBLANK('Control Entry'!J16),"",'Control Entry'!J16)</f>
        <v/>
      </c>
      <c r="G22" s="10"/>
      <c r="H22" s="35" t="s">
        <v>29</v>
      </c>
      <c r="J22" s="72" t="s">
        <v>46</v>
      </c>
      <c r="K22" s="72"/>
      <c r="L22" s="76"/>
      <c r="M22" s="76"/>
      <c r="N22" s="76"/>
      <c r="O22" s="25"/>
      <c r="P22" s="24" t="s">
        <v>1</v>
      </c>
      <c r="Q22" s="24"/>
      <c r="R22" s="25"/>
      <c r="S22" s="78"/>
      <c r="T22" s="78"/>
      <c r="U22" s="78"/>
    </row>
    <row r="23" spans="1:22" ht="36" customHeight="1" thickBot="1" x14ac:dyDescent="0.25">
      <c r="A23" s="43"/>
      <c r="B23" s="44">
        <f>Control_7 Open_time</f>
        <v>44511.538194444445</v>
      </c>
      <c r="C23" s="44">
        <f>Control_7 Close_time</f>
        <v>44511.854166666664</v>
      </c>
      <c r="D23" s="45"/>
      <c r="E23" s="46" t="str">
        <f>IF(ISBLANK(Control_7 Establishment_3),"",Control_7 Establishment_3)</f>
        <v/>
      </c>
      <c r="F23" s="46" t="str">
        <f>IF(ISBLANK('Control Entry'!K16),"",'Control Entry'!K16)</f>
        <v/>
      </c>
      <c r="G23" s="11"/>
      <c r="H23" s="35" t="s">
        <v>29</v>
      </c>
      <c r="J23" s="72"/>
      <c r="K23" s="72"/>
      <c r="L23" s="71"/>
      <c r="M23" s="71"/>
      <c r="N23" s="71"/>
      <c r="O23" s="29"/>
      <c r="P23" s="70"/>
      <c r="Q23" s="70"/>
      <c r="R23" s="29"/>
      <c r="S23" s="29"/>
      <c r="T23" s="29"/>
      <c r="U23" s="29"/>
      <c r="V23" s="36"/>
    </row>
    <row r="24" spans="1:22" ht="36" customHeight="1" thickBot="1" x14ac:dyDescent="0.25">
      <c r="A24" s="39"/>
      <c r="B24" s="40" t="str">
        <f>Control_8 Open_time</f>
        <v/>
      </c>
      <c r="C24" s="40" t="str">
        <f>Control_8 Close_time</f>
        <v/>
      </c>
      <c r="D24" s="47"/>
      <c r="E24" s="42" t="str">
        <f>IF(ISBLANK(Control_8 Establishment_1),"",Control_8 Establishment_1)</f>
        <v/>
      </c>
      <c r="F24" s="42" t="str">
        <f>IF(ISBLANK('Control Entry'!I17),"",'Control Entry'!I17)</f>
        <v/>
      </c>
      <c r="G24" s="10"/>
      <c r="H24" s="35" t="s">
        <v>29</v>
      </c>
      <c r="J24" s="18"/>
      <c r="K24" s="18"/>
      <c r="L24" s="18"/>
      <c r="M24" s="26"/>
      <c r="N24" s="26"/>
      <c r="O24" s="25"/>
      <c r="P24" s="24" t="s">
        <v>2</v>
      </c>
      <c r="Q24" s="24"/>
      <c r="R24" s="25"/>
      <c r="S24" s="26"/>
      <c r="T24" s="26"/>
      <c r="U24" s="26"/>
    </row>
    <row r="25" spans="1:22" ht="36" customHeight="1" x14ac:dyDescent="0.2">
      <c r="A25" s="48" t="str">
        <f>IF(ISBLANK(Distance Control_8),"",Control_8 Distance)</f>
        <v/>
      </c>
      <c r="B25" s="49" t="str">
        <f>Control_8 Open_time</f>
        <v/>
      </c>
      <c r="C25" s="49" t="str">
        <f>Control_8 Close_time</f>
        <v/>
      </c>
      <c r="D25" s="50" t="str">
        <f>IF(ISBLANK(Locale Control_8),"",Locale Control_8)</f>
        <v/>
      </c>
      <c r="E25" s="67" t="str">
        <f>IF(ISBLANK(Control_8 Establishment_2),"",Control_8 Establishment_2)</f>
        <v/>
      </c>
      <c r="F25" s="42" t="str">
        <f>IF(ISBLANK('Control Entry'!J17),"",'Control Entry'!J17)</f>
        <v/>
      </c>
      <c r="G25" s="10"/>
      <c r="H25" s="35" t="s">
        <v>29</v>
      </c>
      <c r="J25" s="134" t="s">
        <v>17</v>
      </c>
      <c r="K25" s="134"/>
      <c r="L25" s="134"/>
      <c r="M25" s="134"/>
      <c r="N25" s="134"/>
      <c r="O25" s="63"/>
      <c r="P25" s="124"/>
      <c r="Q25" s="124"/>
      <c r="R25" s="63"/>
      <c r="S25" s="125"/>
      <c r="T25" s="125"/>
      <c r="U25" s="125"/>
      <c r="V25" s="125"/>
    </row>
    <row r="26" spans="1:22" ht="36" customHeight="1" thickBot="1" x14ac:dyDescent="0.25">
      <c r="A26" s="43"/>
      <c r="B26" s="44" t="str">
        <f>Control_8 Open_time</f>
        <v/>
      </c>
      <c r="C26" s="44" t="str">
        <f>Control_8 Close_time</f>
        <v/>
      </c>
      <c r="D26" s="45"/>
      <c r="E26" s="46" t="str">
        <f>IF(ISBLANK(Control_8 Establishment_3),"",Control_8 Establishment_3)</f>
        <v/>
      </c>
      <c r="F26" s="46" t="str">
        <f>IF(ISBLANK('Control Entry'!K17),"",'Control Entry'!K17)</f>
        <v/>
      </c>
      <c r="G26" s="11"/>
      <c r="H26" s="35" t="s">
        <v>29</v>
      </c>
    </row>
    <row r="27" spans="1:22" ht="36" customHeight="1" x14ac:dyDescent="0.2">
      <c r="A27" s="39"/>
      <c r="B27" s="40" t="str">
        <f>Control_9 Open_time</f>
        <v/>
      </c>
      <c r="C27" s="40" t="str">
        <f>Control_9 Close_time</f>
        <v/>
      </c>
      <c r="D27" s="47"/>
      <c r="E27" s="42" t="str">
        <f>IF(ISBLANK(Control_9 Establishment_1),"",Control_9 Establishment_1)</f>
        <v/>
      </c>
      <c r="F27" s="42" t="str">
        <f>IF(ISBLANK('Control Entry'!I18),"",'Control Entry'!I18)</f>
        <v/>
      </c>
      <c r="G27" s="10"/>
      <c r="H27" s="35" t="s">
        <v>29</v>
      </c>
      <c r="K27" s="132" t="s">
        <v>57</v>
      </c>
      <c r="L27" s="124"/>
      <c r="M27" s="62" t="s">
        <v>58</v>
      </c>
      <c r="N27" s="124" t="s">
        <v>50</v>
      </c>
      <c r="O27" s="124"/>
      <c r="P27" s="124" t="s">
        <v>51</v>
      </c>
      <c r="Q27" s="124"/>
      <c r="R27" s="63" t="s">
        <v>52</v>
      </c>
      <c r="S27" s="125" t="s">
        <v>53</v>
      </c>
      <c r="T27" s="125"/>
      <c r="U27" s="125" t="s">
        <v>54</v>
      </c>
      <c r="V27" s="125"/>
    </row>
    <row r="28" spans="1:22" ht="36" customHeight="1" x14ac:dyDescent="0.2">
      <c r="A28" s="48" t="str">
        <f>IF(ISBLANK(Distance Control_9),"",Control_9 Distance)</f>
        <v/>
      </c>
      <c r="B28" s="49" t="str">
        <f>Control_9 Open_time</f>
        <v/>
      </c>
      <c r="C28" s="49" t="str">
        <f>Control_9 Close_time</f>
        <v/>
      </c>
      <c r="D28" s="50" t="str">
        <f>IF(ISBLANK(Locale Control_9),"",Locale Control_9)</f>
        <v/>
      </c>
      <c r="E28" s="67" t="str">
        <f>IF(ISBLANK(Control_9 Establishment_2),"",Control_9 Establishment_2)</f>
        <v/>
      </c>
      <c r="F28" s="42" t="str">
        <f>IF(ISBLANK('Control Entry'!J18),"",'Control Entry'!J18)</f>
        <v/>
      </c>
      <c r="G28" s="10"/>
      <c r="H28" s="35" t="s">
        <v>29</v>
      </c>
    </row>
    <row r="29" spans="1:22" ht="36" customHeight="1" thickBot="1" x14ac:dyDescent="0.25">
      <c r="A29" s="43"/>
      <c r="B29" s="44" t="str">
        <f>Control_9 Open_time</f>
        <v/>
      </c>
      <c r="C29" s="44" t="str">
        <f>Control_9 Close_time</f>
        <v/>
      </c>
      <c r="D29" s="45"/>
      <c r="E29" s="115" t="str">
        <f>IF(ISBLANK(Control_9 Establishment_3),"",Control_9 Establishment_3)</f>
        <v/>
      </c>
      <c r="F29" s="46" t="str">
        <f>IF(ISBLANK('Control Entry'!K18),"",'Control Entry'!K18)</f>
        <v/>
      </c>
      <c r="G29" s="11"/>
      <c r="H29" s="35" t="s">
        <v>29</v>
      </c>
      <c r="M29" s="123" t="s">
        <v>42</v>
      </c>
      <c r="N29" s="123"/>
      <c r="O29" s="123"/>
      <c r="P29" s="123"/>
      <c r="Q29" s="123"/>
      <c r="R29" s="123"/>
      <c r="S29" s="123"/>
      <c r="T29" s="123"/>
      <c r="U29" s="68"/>
    </row>
    <row r="30" spans="1:22" ht="36" customHeight="1" x14ac:dyDescent="0.2">
      <c r="A30" s="39"/>
      <c r="B30" s="40" t="str">
        <f>Control_10 Open_time</f>
        <v/>
      </c>
      <c r="C30" s="40" t="str">
        <f>Control_10 Close_time</f>
        <v/>
      </c>
      <c r="D30" s="47"/>
      <c r="E30" s="42" t="str">
        <f>IF(ISBLANK(Control_10 Establishment_1),"",Control_10 Establishment_1)</f>
        <v/>
      </c>
      <c r="F30" s="42" t="str">
        <f>IF(ISBLANK('Control Entry'!I19),"",'Control Entry'!I19)</f>
        <v/>
      </c>
      <c r="G30" s="10"/>
      <c r="H30" s="35" t="s">
        <v>29</v>
      </c>
      <c r="M30" s="19"/>
      <c r="N30" s="27"/>
      <c r="O30" s="27"/>
      <c r="P30" s="28"/>
      <c r="Q30" s="27"/>
      <c r="R30" s="27"/>
      <c r="S30" s="27"/>
      <c r="T30" s="28"/>
      <c r="U30" s="29"/>
    </row>
    <row r="31" spans="1:22" ht="36" customHeight="1" x14ac:dyDescent="0.2">
      <c r="A31" s="48" t="str">
        <f>IF(ISBLANK(Distance Control_10),"",Control_10 Distance)</f>
        <v/>
      </c>
      <c r="B31" s="49" t="str">
        <f>Control_10 Open_time</f>
        <v/>
      </c>
      <c r="C31" s="49" t="str">
        <f>Control_10 Close_time</f>
        <v/>
      </c>
      <c r="D31" s="50" t="str">
        <f>IF(ISBLANK(Locale Control_10),"",Locale Control_10)</f>
        <v/>
      </c>
      <c r="E31" s="42" t="str">
        <f>IF(ISBLANK(Control_10 Establishment_2),"",Control_10 Establishment_2)</f>
        <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t="str">
        <f>Control_10 Open_time</f>
        <v/>
      </c>
      <c r="C32" s="44" t="str">
        <f>Control_10 Close_time</f>
        <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36" customHeight="1" x14ac:dyDescent="0.2">
      <c r="A33" s="131" t="s">
        <v>43</v>
      </c>
      <c r="B33" s="131"/>
      <c r="C33" s="131"/>
      <c r="D33" s="131"/>
      <c r="E33" s="131"/>
      <c r="F33" s="131"/>
      <c r="G33" s="131"/>
      <c r="H33" s="51"/>
      <c r="I33" s="51"/>
      <c r="N33" s="126"/>
      <c r="O33" s="126"/>
      <c r="P33" s="126"/>
      <c r="Q33" s="126"/>
      <c r="R33" s="126"/>
      <c r="S33" s="126"/>
      <c r="T33" s="126"/>
      <c r="U33" s="126"/>
      <c r="V33" s="61"/>
    </row>
    <row r="34" spans="1:22" ht="36" customHeight="1" x14ac:dyDescent="0.2">
      <c r="A34"/>
      <c r="O34" s="59"/>
      <c r="P34" s="59"/>
      <c r="Q34" s="59"/>
      <c r="R34" s="58"/>
    </row>
    <row r="35" spans="1:22" ht="36" customHeight="1" x14ac:dyDescent="0.2">
      <c r="A35"/>
      <c r="N35" s="123"/>
      <c r="O35" s="123"/>
      <c r="P35" s="123"/>
      <c r="Q35" s="123"/>
      <c r="R35" s="123"/>
      <c r="S35" s="123"/>
      <c r="T35" s="123"/>
      <c r="U35" s="123"/>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N33:U33"/>
  </mergeCells>
  <phoneticPr fontId="16" type="noConversion"/>
  <pageMargins left="0.2" right="0.2" top="0.2" bottom="0.2" header="0.51" footer="0.51"/>
  <pageSetup scale="45"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A10" zoomScale="92" zoomScaleNormal="92" zoomScalePageLayoutView="92" workbookViewId="0">
      <selection activeCell="F13" sqref="F13"/>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30" t="s">
        <v>44</v>
      </c>
      <c r="B1" s="130"/>
      <c r="C1" s="130"/>
      <c r="D1" s="130"/>
      <c r="E1" s="130"/>
      <c r="F1" s="130"/>
      <c r="G1" s="130"/>
      <c r="H1" s="35" t="s">
        <v>29</v>
      </c>
    </row>
    <row r="2" spans="1:22" ht="33.75" customHeight="1" thickBot="1" x14ac:dyDescent="0.25">
      <c r="A2" s="100" t="s">
        <v>30</v>
      </c>
      <c r="B2" s="9" t="s">
        <v>3</v>
      </c>
      <c r="C2" s="9" t="s">
        <v>4</v>
      </c>
      <c r="D2" s="9" t="s">
        <v>25</v>
      </c>
      <c r="E2" s="9" t="s">
        <v>31</v>
      </c>
      <c r="F2" s="9" t="s">
        <v>60</v>
      </c>
      <c r="G2" s="100" t="s">
        <v>32</v>
      </c>
      <c r="H2" s="35" t="s">
        <v>29</v>
      </c>
      <c r="K2" s="128" t="s">
        <v>56</v>
      </c>
      <c r="L2" s="128"/>
      <c r="M2" s="128"/>
      <c r="N2" s="128"/>
      <c r="O2" s="128"/>
      <c r="P2" s="128"/>
      <c r="Q2" s="128"/>
      <c r="R2" s="128"/>
      <c r="S2" s="128"/>
      <c r="T2" s="128"/>
      <c r="U2" s="128"/>
    </row>
    <row r="3" spans="1:22" ht="36" customHeight="1" x14ac:dyDescent="0.45">
      <c r="A3" s="39"/>
      <c r="B3" s="40">
        <f>'Control Entry'!N23</f>
        <v>44511.291666666664</v>
      </c>
      <c r="C3" s="40">
        <f>'Control Entry'!O23</f>
        <v>44511.333333333328</v>
      </c>
      <c r="D3" s="41"/>
      <c r="E3" s="42" t="str">
        <f>IF(ISBLANK('Control Entry'!F23),"",'Control Entry'!F23)</f>
        <v>Plaque on main entry sign</v>
      </c>
      <c r="F3" s="42" t="str">
        <f>IF(ISBLANK('Control Entry'!I23),"",'Control Entry'!I23)</f>
        <v/>
      </c>
      <c r="G3" s="10"/>
      <c r="H3" s="35" t="s">
        <v>29</v>
      </c>
      <c r="K3" s="16"/>
      <c r="N3" s="135" t="s">
        <v>78</v>
      </c>
      <c r="O3" s="135"/>
      <c r="P3" s="135"/>
      <c r="Q3" s="135"/>
      <c r="R3" s="135"/>
      <c r="S3" s="135"/>
      <c r="T3" s="52"/>
      <c r="U3" s="52"/>
    </row>
    <row r="4" spans="1:22" ht="36" customHeight="1" x14ac:dyDescent="0.2">
      <c r="A4" s="48">
        <f>IF(ISBLANK('Control Entry'!D23),"",'Control Entry'!D23)</f>
        <v>0</v>
      </c>
      <c r="B4" s="49">
        <f>'Control Entry'!N23</f>
        <v>44511.291666666664</v>
      </c>
      <c r="C4" s="49">
        <f>'Control Entry'!O23</f>
        <v>44511.333333333328</v>
      </c>
      <c r="D4" s="50" t="str">
        <f>IF(ISBLANK('Control Entry'!E23),"",'Control Entry'!E23)</f>
        <v>NORTH SAANICH</v>
      </c>
      <c r="E4" s="42" t="str">
        <f>IF(ISBLANK('Control Entry'!G23),"",'Control Entry'!G23)</f>
        <v>to right of access road</v>
      </c>
      <c r="F4" s="42" t="str">
        <f>IF(ISBLANK('Control Entry'!J23),"",'Control Entry'!J23)</f>
        <v/>
      </c>
      <c r="G4" s="10"/>
      <c r="H4" s="35" t="s">
        <v>29</v>
      </c>
      <c r="K4" s="16"/>
      <c r="M4" s="132" t="str">
        <f>IF(ISBLANK(brevet),"",brevet&amp;" km Randonnée")</f>
        <v>200 km Randonnée</v>
      </c>
      <c r="N4" s="132"/>
      <c r="O4" s="132"/>
      <c r="P4" s="132"/>
      <c r="Q4" s="132"/>
      <c r="R4" s="132"/>
      <c r="S4" s="132"/>
      <c r="T4" s="132"/>
      <c r="U4" s="53"/>
    </row>
    <row r="5" spans="1:22" ht="36" customHeight="1" thickBot="1" x14ac:dyDescent="0.25">
      <c r="A5" s="43"/>
      <c r="B5" s="44">
        <f>'Control Entry'!N23</f>
        <v>44511.291666666664</v>
      </c>
      <c r="C5" s="44">
        <f>'Control Entry'!O23</f>
        <v>44511.333333333328</v>
      </c>
      <c r="D5" s="45"/>
      <c r="E5" s="46" t="str">
        <f>IF(ISBLANK('Control Entry'!H23),"",'Control Entry'!H23)</f>
        <v>Blue Heron Park</v>
      </c>
      <c r="F5" s="46" t="str">
        <f>IF(ISBLANK('Control Entry'!K23),"",'Control Entry'!K23)</f>
        <v>"…and the _______?_______conflict."</v>
      </c>
      <c r="G5" s="11"/>
      <c r="H5" s="35" t="s">
        <v>29</v>
      </c>
      <c r="K5" s="16"/>
      <c r="M5" s="17"/>
      <c r="N5" s="133" t="s">
        <v>48</v>
      </c>
      <c r="O5" s="133"/>
      <c r="P5" s="81">
        <f>IF(ISBLANK(Brevet_Number),"",Brevet_Number)</f>
        <v>5120</v>
      </c>
      <c r="Q5" s="82"/>
      <c r="R5" s="127">
        <f>IF(ISBLANK('Control Entry'!$B5),"",'Control Entry'!$B5)</f>
        <v>44511</v>
      </c>
      <c r="S5" s="127"/>
      <c r="T5" s="127"/>
      <c r="U5" s="127"/>
      <c r="V5" s="54"/>
    </row>
    <row r="6" spans="1:22" ht="36" customHeight="1" x14ac:dyDescent="0.2">
      <c r="A6" s="39"/>
      <c r="B6" s="40">
        <f>'Control Entry'!N24</f>
        <v>44511.345138888886</v>
      </c>
      <c r="C6" s="40">
        <f>'Control Entry'!O24</f>
        <v>44511.413194444445</v>
      </c>
      <c r="D6" s="47"/>
      <c r="E6" s="42" t="str">
        <f>IF(ISBLANK('Control Entry'!F24),"",'Control Entry'!F24)</f>
        <v>Grave:  Lt. Col. Joan Kennedy</v>
      </c>
      <c r="F6" s="42" t="str">
        <f>IF(ISBLANK('Control Entry'!I24),"",'Control Entry'!I24)</f>
        <v>From Armitage bench, 8 metres to right  at 90deg to road</v>
      </c>
      <c r="G6" s="10"/>
      <c r="H6" s="35" t="s">
        <v>29</v>
      </c>
      <c r="K6" s="16"/>
      <c r="L6" s="138" t="str">
        <f>IF(ISBLANK(Brevet_Description),"",Brevet_Description)</f>
        <v>CWAC1 to Fallen Leaves</v>
      </c>
      <c r="M6" s="138"/>
      <c r="N6" s="138"/>
      <c r="O6" s="138"/>
      <c r="P6" s="138"/>
      <c r="Q6" s="138"/>
      <c r="R6" s="138"/>
      <c r="S6" s="138"/>
      <c r="T6" s="138"/>
      <c r="U6" s="138"/>
    </row>
    <row r="7" spans="1:22" ht="36" customHeight="1" x14ac:dyDescent="0.2">
      <c r="A7" s="48">
        <f>IF(ISBLANK('Control Entry'!D24),"",'Control Entry'!D24)</f>
        <v>43.8</v>
      </c>
      <c r="B7" s="49">
        <f>'Control Entry'!N24</f>
        <v>44511.345138888886</v>
      </c>
      <c r="C7" s="49">
        <f>'Control Entry'!O24</f>
        <v>44511.413194444445</v>
      </c>
      <c r="D7" s="50" t="str">
        <f>IF(ISBLANK('Control Entry'!E24),"",'Control Entry'!E24)</f>
        <v>COLWOOD</v>
      </c>
      <c r="E7" s="42" t="str">
        <f>IF(ISBLANK('Control Entry'!G24),"",'Control Entry'!G24)</f>
        <v>Garden of Gesthemane</v>
      </c>
      <c r="F7" s="42" t="str">
        <f>IF(ISBLANK('Control Entry'!J24),"",'Control Entry'!J24)</f>
        <v/>
      </c>
      <c r="G7" s="10"/>
      <c r="H7" s="35" t="s">
        <v>29</v>
      </c>
    </row>
    <row r="8" spans="1:22" ht="36" customHeight="1" thickBot="1" x14ac:dyDescent="0.25">
      <c r="A8" s="43"/>
      <c r="B8" s="44">
        <f>'Control Entry'!N24</f>
        <v>44511.345138888886</v>
      </c>
      <c r="C8" s="44">
        <f>'Control Entry'!O24</f>
        <v>44511.413194444445</v>
      </c>
      <c r="D8" s="45"/>
      <c r="E8" s="46" t="str">
        <f>IF(ISBLANK('Control Entry'!H24),"",'Control Entry'!H24)</f>
        <v>Hatley Memorial Park</v>
      </c>
      <c r="F8" s="46" t="str">
        <f>IF(ISBLANK('Control Entry'!K24),"",'Control Entry'!K24)</f>
        <v>Last line on plaque?</v>
      </c>
      <c r="G8" s="11"/>
      <c r="H8" s="35" t="s">
        <v>29</v>
      </c>
      <c r="J8" s="17" t="s">
        <v>34</v>
      </c>
      <c r="L8" s="129"/>
      <c r="M8" s="129"/>
      <c r="N8" s="129"/>
      <c r="O8" s="129"/>
      <c r="P8" s="129"/>
      <c r="Q8" s="129"/>
      <c r="R8" s="36"/>
      <c r="S8" s="55" t="s">
        <v>47</v>
      </c>
      <c r="T8" s="122"/>
      <c r="U8" s="122"/>
    </row>
    <row r="9" spans="1:22" ht="36" customHeight="1" thickBot="1" x14ac:dyDescent="0.3">
      <c r="A9" s="39"/>
      <c r="B9" s="40">
        <f>'Control Entry'!N25</f>
        <v>44511.366666666661</v>
      </c>
      <c r="C9" s="40">
        <f>'Control Entry'!O25</f>
        <v>44511.461805555555</v>
      </c>
      <c r="D9" s="47"/>
      <c r="E9" s="42" t="str">
        <f>IF(ISBLANK('Control Entry'!F25),"",'Control Entry'!F25)</f>
        <v>Memorial: The Homecoming</v>
      </c>
      <c r="F9" s="42" t="str">
        <f>IF(ISBLANK('Control Entry'!I25),"",'Control Entry'!I25)</f>
        <v/>
      </c>
      <c r="G9" s="10"/>
      <c r="H9" s="35" t="s">
        <v>29</v>
      </c>
      <c r="J9" s="17" t="s">
        <v>35</v>
      </c>
      <c r="K9" s="17"/>
      <c r="L9" s="65" t="s">
        <v>55</v>
      </c>
      <c r="M9" s="23"/>
      <c r="N9" s="23"/>
      <c r="O9" s="23"/>
      <c r="P9" s="23"/>
      <c r="Q9" s="23"/>
      <c r="R9" s="23"/>
      <c r="S9" s="23"/>
      <c r="T9" s="23"/>
      <c r="U9" s="21"/>
    </row>
    <row r="10" spans="1:22" ht="36" customHeight="1" thickBot="1" x14ac:dyDescent="0.3">
      <c r="A10" s="48">
        <f>IF(ISBLANK('Control Entry'!D25),"",'Control Entry'!D25)</f>
        <v>61.2</v>
      </c>
      <c r="B10" s="49">
        <f>'Control Entry'!N25</f>
        <v>44511.366666666661</v>
      </c>
      <c r="C10" s="49">
        <f>'Control Entry'!O25</f>
        <v>44511.461805555555</v>
      </c>
      <c r="D10" s="50" t="str">
        <f>IF(ISBLANK('Control Entry'!E25),"",'Control Entry'!E25)</f>
        <v>VICTORIA</v>
      </c>
      <c r="E10" s="42" t="str">
        <f>IF(ISBLANK('Control Entry'!G25),"",'Control Entry'!G25)</f>
        <v>814 Wharf St</v>
      </c>
      <c r="F10" s="42" t="str">
        <f>IF(ISBLANK('Control Entry'!J25),"",'Control Entry'!J25)</f>
        <v/>
      </c>
      <c r="G10" s="10"/>
      <c r="H10" s="35" t="s">
        <v>29</v>
      </c>
      <c r="J10" s="17"/>
      <c r="K10" s="17"/>
      <c r="L10" s="37"/>
      <c r="M10" s="23"/>
      <c r="N10" s="23"/>
      <c r="O10" s="23"/>
      <c r="P10" s="23"/>
      <c r="Q10" s="23"/>
      <c r="R10" s="23"/>
      <c r="S10" s="23"/>
      <c r="T10" s="23"/>
      <c r="U10" s="21"/>
    </row>
    <row r="11" spans="1:22" ht="36" customHeight="1" thickBot="1" x14ac:dyDescent="0.3">
      <c r="A11" s="43"/>
      <c r="B11" s="44">
        <f>'Control Entry'!N25</f>
        <v>44511.366666666661</v>
      </c>
      <c r="C11" s="44">
        <f>'Control Entry'!O25</f>
        <v>44511.461805555555</v>
      </c>
      <c r="D11" s="45"/>
      <c r="E11" s="46" t="str">
        <f>IF(ISBLANK('Control Entry'!H25),"",'Control Entry'!H25)</f>
        <v>Water side granite marker</v>
      </c>
      <c r="F11" s="46" t="str">
        <f>IF(ISBLANK('Control Entry'!K25),"",'Control Entry'!K25)</f>
        <v>"Service to ________?"</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 Entry'!N26</f>
        <v>44511.384722222218</v>
      </c>
      <c r="C12" s="40">
        <f>'Control Entry'!O26</f>
        <v>44511.502083333333</v>
      </c>
      <c r="D12" s="47"/>
      <c r="E12" s="42" t="str">
        <f>IF(ISBLANK('Control Entry'!F26),"",'Control Entry'!F26)</f>
        <v>Hut 'A'</v>
      </c>
      <c r="F12" s="42" t="str">
        <f>IF(ISBLANK('Control Entry'!I26),"",'Control Entry'!I26)</f>
        <v>Door is on which side?</v>
      </c>
      <c r="G12" s="10"/>
      <c r="H12" s="35" t="s">
        <v>29</v>
      </c>
      <c r="J12" s="17" t="s">
        <v>38</v>
      </c>
      <c r="K12" s="17"/>
      <c r="L12" s="37"/>
      <c r="M12" s="23"/>
      <c r="N12" s="23"/>
      <c r="O12" s="24"/>
      <c r="P12" s="24" t="s">
        <v>39</v>
      </c>
      <c r="Q12" s="24"/>
      <c r="R12" s="24"/>
      <c r="S12" s="57"/>
      <c r="T12" s="37"/>
      <c r="U12" s="21"/>
    </row>
    <row r="13" spans="1:22" ht="36" customHeight="1" thickBot="1" x14ac:dyDescent="0.3">
      <c r="A13" s="48">
        <f>IF(ISBLANK('Control Entry'!D26),"",'Control Entry'!D26)</f>
        <v>75.8</v>
      </c>
      <c r="B13" s="49">
        <f>'Control Entry'!N26</f>
        <v>44511.384722222218</v>
      </c>
      <c r="C13" s="49">
        <f>'Control Entry'!O26</f>
        <v>44511.502083333333</v>
      </c>
      <c r="D13" s="50" t="str">
        <f>IF(ISBLANK('Control Entry'!E26),"",'Control Entry'!E26)</f>
        <v>VICTORIA</v>
      </c>
      <c r="E13" s="42" t="str">
        <f>IF(ISBLANK('Control Entry'!G26),"",'Control Entry'!G26)</f>
        <v>Alexander Rd</v>
      </c>
      <c r="F13" s="116" t="s">
        <v>119</v>
      </c>
      <c r="G13" s="10"/>
      <c r="H13" s="35" t="s">
        <v>29</v>
      </c>
      <c r="J13" s="17" t="s">
        <v>40</v>
      </c>
      <c r="L13" s="79"/>
      <c r="M13" s="80"/>
      <c r="N13" s="80"/>
      <c r="O13" s="25"/>
      <c r="P13" s="24" t="s">
        <v>41</v>
      </c>
      <c r="Q13" s="24"/>
      <c r="R13" s="38"/>
      <c r="S13" s="26"/>
      <c r="T13" s="26"/>
      <c r="U13" s="22"/>
    </row>
    <row r="14" spans="1:22" ht="36" customHeight="1" thickBot="1" x14ac:dyDescent="0.25">
      <c r="A14" s="43"/>
      <c r="B14" s="44">
        <f>'Control Entry'!N26</f>
        <v>44511.384722222218</v>
      </c>
      <c r="C14" s="44">
        <f>'Control Entry'!O26</f>
        <v>44511.502083333333</v>
      </c>
      <c r="D14" s="45"/>
      <c r="E14" s="46" t="str">
        <f>IF(ISBLANK('Control Entry'!H26),"",'Control Entry'!H26)</f>
        <v>UVIC</v>
      </c>
      <c r="F14" s="46" t="str">
        <f>IF(ISBLANK('Control Entry'!K26),"",'Control Entry'!K26)</f>
        <v/>
      </c>
      <c r="G14" s="11"/>
      <c r="H14" s="35" t="s">
        <v>29</v>
      </c>
    </row>
    <row r="15" spans="1:22" ht="36" customHeight="1" x14ac:dyDescent="0.2">
      <c r="A15" s="39"/>
      <c r="B15" s="40">
        <f>'Control Entry'!N27</f>
        <v>44511.420138888883</v>
      </c>
      <c r="C15" s="40">
        <f>'Control Entry'!O27</f>
        <v>44511.583333333328</v>
      </c>
      <c r="D15" s="47"/>
      <c r="E15" s="42" t="str">
        <f>IF(ISBLANK('Control Entry'!F27),"",'Control Entry'!F27)</f>
        <v>BC Aviation Museum</v>
      </c>
      <c r="F15" s="42" t="str">
        <f>IF(ISBLANK('Control Entry'!I27),"",'Control Entry'!I27)</f>
        <v>4th parking stall to right of gate</v>
      </c>
      <c r="G15" s="10"/>
      <c r="H15" s="35" t="s">
        <v>29</v>
      </c>
      <c r="J15" s="17"/>
      <c r="L15" s="137" t="s">
        <v>59</v>
      </c>
      <c r="M15" s="137"/>
      <c r="N15" s="137"/>
      <c r="O15" s="137"/>
      <c r="P15" s="137"/>
      <c r="Q15" s="137"/>
      <c r="R15" s="137"/>
      <c r="S15" s="137"/>
      <c r="T15" s="137"/>
      <c r="U15" s="137"/>
    </row>
    <row r="16" spans="1:22" ht="36" customHeight="1" thickBot="1" x14ac:dyDescent="0.25">
      <c r="A16" s="48">
        <f>IF(ISBLANK('Control Entry'!D27),"",'Control Entry'!D27)</f>
        <v>104.99999999999999</v>
      </c>
      <c r="B16" s="49">
        <f>'Control Entry'!N27</f>
        <v>44511.420138888883</v>
      </c>
      <c r="C16" s="49">
        <f>'Control Entry'!O27</f>
        <v>44511.583333333328</v>
      </c>
      <c r="D16" s="50" t="str">
        <f>IF(ISBLANK('Control Entry'!E27),"",'Control Entry'!E27)</f>
        <v>SIDNEY</v>
      </c>
      <c r="E16" s="42" t="str">
        <f>IF(ISBLANK('Control Entry'!G27),"",'Control Entry'!G27)</f>
        <v>1910 Norseman Rd</v>
      </c>
      <c r="F16" s="42" t="str">
        <f>IF(ISBLANK('Control Entry'!J27),"",'Control Entry'!J27)</f>
        <v/>
      </c>
      <c r="G16" s="10"/>
      <c r="H16" s="35" t="s">
        <v>29</v>
      </c>
      <c r="L16" s="74"/>
      <c r="M16" s="74"/>
      <c r="N16" s="74"/>
      <c r="O16" s="74"/>
      <c r="P16" s="74"/>
      <c r="Q16" s="75"/>
      <c r="R16" s="75"/>
      <c r="S16" s="75"/>
      <c r="T16" s="75"/>
      <c r="U16" s="75"/>
    </row>
    <row r="17" spans="1:22" ht="36" customHeight="1" thickBot="1" x14ac:dyDescent="0.25">
      <c r="A17" s="43"/>
      <c r="B17" s="44">
        <f>'Control Entry'!N27</f>
        <v>44511.420138888883</v>
      </c>
      <c r="C17" s="44">
        <f>'Control Entry'!O27</f>
        <v>44511.583333333328</v>
      </c>
      <c r="D17" s="45"/>
      <c r="E17" s="46" t="str">
        <f>IF(ISBLANK('Control Entry'!H27),"",'Control Entry'!H27)</f>
        <v>Victoria Airport</v>
      </c>
      <c r="F17" s="46" t="str">
        <f>IF(ISBLANK('Control Entry'!K27),"",'Control Entry'!K27)</f>
        <v>What covers back of memorial?</v>
      </c>
      <c r="G17" s="11"/>
      <c r="H17" s="35" t="s">
        <v>29</v>
      </c>
    </row>
    <row r="18" spans="1:22" ht="36" customHeight="1" x14ac:dyDescent="0.2">
      <c r="A18" s="39"/>
      <c r="B18" s="40">
        <f>'Control Entry'!N28</f>
        <v>44511.477777777778</v>
      </c>
      <c r="C18" s="40">
        <f>'Control Entry'!O28</f>
        <v>44511.712499999994</v>
      </c>
      <c r="D18" s="47"/>
      <c r="E18" s="42" t="str">
        <f>IF(ISBLANK('Control Entry'!F28),"",'Control Entry'!F28)</f>
        <v>Beagle Pub</v>
      </c>
      <c r="F18" s="42" t="str">
        <f>IF(ISBLANK('Control Entry'!I28),"",'Control Entry'!I28)</f>
        <v>What is colour of doors?</v>
      </c>
      <c r="G18" s="10"/>
      <c r="H18" s="35" t="s">
        <v>29</v>
      </c>
    </row>
    <row r="19" spans="1:22" ht="36" customHeight="1" x14ac:dyDescent="0.2">
      <c r="A19" s="48">
        <f>IF(ISBLANK('Control Entry'!D28),"",'Control Entry'!D28)</f>
        <v>151.60000000000002</v>
      </c>
      <c r="B19" s="49">
        <f>'Control Entry'!N28</f>
        <v>44511.477777777778</v>
      </c>
      <c r="C19" s="49">
        <f>'Control Entry'!O28</f>
        <v>44511.712499999994</v>
      </c>
      <c r="D19" s="50" t="str">
        <f>IF(ISBLANK('Control Entry'!E28),"",'Control Entry'!E28)</f>
        <v>VICTORIA</v>
      </c>
      <c r="E19" s="42" t="str">
        <f>IF(ISBLANK('Control Entry'!G28),"",'Control Entry'!G28)</f>
        <v>301 Cook St</v>
      </c>
      <c r="F19" s="42" t="str">
        <f>IF(ISBLANK('Control Entry'!J28),"",'Control Entry'!J28)</f>
        <v/>
      </c>
      <c r="G19" s="10"/>
      <c r="H19" s="35" t="s">
        <v>29</v>
      </c>
    </row>
    <row r="20" spans="1:22" ht="36" customHeight="1" thickBot="1" x14ac:dyDescent="0.25">
      <c r="A20" s="43"/>
      <c r="B20" s="44">
        <f>'Control Entry'!N28</f>
        <v>44511.477777777778</v>
      </c>
      <c r="C20" s="44">
        <f>'Control Entry'!O28</f>
        <v>44511.712499999994</v>
      </c>
      <c r="D20" s="45"/>
      <c r="E20" s="46" t="str">
        <f>IF(ISBLANK('Control Entry'!H28),"",'Control Entry'!H28)</f>
        <v/>
      </c>
      <c r="F20" s="46" t="str">
        <f>IF(ISBLANK('Control Entry'!K28),"",'Control Entry'!K28)</f>
        <v/>
      </c>
      <c r="G20" s="11"/>
      <c r="H20" s="35" t="s">
        <v>29</v>
      </c>
      <c r="J20" s="73" t="s">
        <v>45</v>
      </c>
      <c r="K20" s="73"/>
      <c r="L20" s="76"/>
      <c r="M20" s="76"/>
      <c r="N20" s="76"/>
      <c r="P20" s="24" t="s">
        <v>0</v>
      </c>
      <c r="Q20" s="24"/>
      <c r="S20" s="136">
        <f>'Control Entry'!B8</f>
        <v>0.29166666666666669</v>
      </c>
      <c r="T20" s="136"/>
      <c r="U20" s="136"/>
    </row>
    <row r="21" spans="1:22" ht="36" customHeight="1" x14ac:dyDescent="0.2">
      <c r="A21" s="39"/>
      <c r="B21" s="40">
        <f>'Control Entry'!N29</f>
        <v>44511.479166666664</v>
      </c>
      <c r="C21" s="40">
        <f>'Control Entry'!O29</f>
        <v>44511.71597222222</v>
      </c>
      <c r="D21" s="47"/>
      <c r="E21" s="42" t="str">
        <f>IF(ISBLANK('Control Entry'!F29),"",'Control Entry'!F29)</f>
        <v>BC Indians War Memorial</v>
      </c>
      <c r="F21" s="42" t="str">
        <f>IF(ISBLANK('Control Entry'!I29),"",'Control Entry'!I29)</f>
        <v/>
      </c>
      <c r="G21" s="10"/>
      <c r="H21" s="35" t="s">
        <v>29</v>
      </c>
      <c r="J21" s="73"/>
      <c r="K21" s="73"/>
      <c r="L21" s="71"/>
      <c r="M21" s="71"/>
      <c r="N21" s="71"/>
      <c r="P21" s="24"/>
      <c r="Q21" s="24"/>
      <c r="R21" s="29"/>
      <c r="S21" s="77"/>
      <c r="T21" s="77"/>
      <c r="U21" s="77"/>
      <c r="V21" s="36"/>
    </row>
    <row r="22" spans="1:22" ht="36" customHeight="1" thickBot="1" x14ac:dyDescent="0.25">
      <c r="A22" s="48">
        <f>IF(ISBLANK('Control Entry'!D29),"",'Control Entry'!D29)</f>
        <v>152.80000000000001</v>
      </c>
      <c r="B22" s="49">
        <f>'Control Entry'!N29</f>
        <v>44511.479166666664</v>
      </c>
      <c r="C22" s="49">
        <f>'Control Entry'!O29</f>
        <v>44511.71597222222</v>
      </c>
      <c r="D22" s="50" t="str">
        <f>IF(ISBLANK('Control Entry'!E29),"",'Control Entry'!E29)</f>
        <v>VICTORIA</v>
      </c>
      <c r="E22" s="42" t="str">
        <f>IF(ISBLANK('Control Entry'!G29),"",'Control Entry'!G29)</f>
        <v>Beacon Hill Park</v>
      </c>
      <c r="F22" s="42" t="str">
        <f>IF(ISBLANK('Control Entry'!J29),"",'Control Entry'!J29)</f>
        <v/>
      </c>
      <c r="G22" s="10"/>
      <c r="H22" s="35" t="s">
        <v>29</v>
      </c>
      <c r="J22" s="113" t="s">
        <v>46</v>
      </c>
      <c r="K22" s="113"/>
      <c r="L22" s="76"/>
      <c r="M22" s="76"/>
      <c r="N22" s="76"/>
      <c r="O22" s="25"/>
      <c r="P22" s="24" t="s">
        <v>1</v>
      </c>
      <c r="Q22" s="24"/>
      <c r="R22" s="25"/>
      <c r="S22" s="78"/>
      <c r="T22" s="78"/>
      <c r="U22" s="78"/>
    </row>
    <row r="23" spans="1:22" ht="36" customHeight="1" thickBot="1" x14ac:dyDescent="0.25">
      <c r="A23" s="43"/>
      <c r="B23" s="44">
        <f>'Control Entry'!N29</f>
        <v>44511.479166666664</v>
      </c>
      <c r="C23" s="44">
        <f>'Control Entry'!O29</f>
        <v>44511.71597222222</v>
      </c>
      <c r="D23" s="45"/>
      <c r="E23" s="46" t="str">
        <f>IF(ISBLANK('Control Entry'!H29),"",'Control Entry'!H29)</f>
        <v>Marker to right of bikeway</v>
      </c>
      <c r="F23" s="46" t="str">
        <f>IF(ISBLANK('Control Entry'!K29),"",'Control Entry'!K29)</f>
        <v>"BC Indian ___?___ and Welfare Society"</v>
      </c>
      <c r="G23" s="11"/>
      <c r="H23" s="35" t="s">
        <v>29</v>
      </c>
      <c r="J23" s="113"/>
      <c r="K23" s="113"/>
      <c r="L23" s="71"/>
      <c r="M23" s="71"/>
      <c r="N23" s="71"/>
      <c r="O23" s="29"/>
      <c r="P23" s="70"/>
      <c r="Q23" s="70"/>
      <c r="R23" s="29"/>
      <c r="S23" s="29"/>
      <c r="T23" s="29"/>
      <c r="U23" s="29"/>
      <c r="V23" s="36"/>
    </row>
    <row r="24" spans="1:22" ht="36" customHeight="1" thickBot="1" x14ac:dyDescent="0.25">
      <c r="A24" s="39"/>
      <c r="B24" s="40">
        <f>'Control Entry'!N30</f>
        <v>44511.540277777778</v>
      </c>
      <c r="C24" s="40">
        <f>'Control Entry'!O30</f>
        <v>44511.854166666664</v>
      </c>
      <c r="D24" s="47"/>
      <c r="E24" s="42" t="str">
        <f>IF(ISBLANK('Control Entry'!F30),"",'Control Entry'!F30)</f>
        <v>Blue Heron Park</v>
      </c>
      <c r="F24" s="42" t="str">
        <f>IF(ISBLANK('Control Entry'!I30),"",'Control Entry'!I30)</f>
        <v>Self Sign</v>
      </c>
      <c r="G24" s="10"/>
      <c r="H24" s="35" t="s">
        <v>29</v>
      </c>
      <c r="J24" s="18"/>
      <c r="K24" s="18"/>
      <c r="L24" s="18"/>
      <c r="M24" s="26"/>
      <c r="N24" s="26"/>
      <c r="O24" s="25"/>
      <c r="P24" s="24" t="s">
        <v>2</v>
      </c>
      <c r="Q24" s="24"/>
      <c r="R24" s="25"/>
      <c r="S24" s="26"/>
      <c r="T24" s="26"/>
      <c r="U24" s="26"/>
    </row>
    <row r="25" spans="1:22" ht="36" customHeight="1" x14ac:dyDescent="0.2">
      <c r="A25" s="48">
        <f>IF(ISBLANK('Control Entry'!D30),"",'Control Entry'!D30)</f>
        <v>202.5</v>
      </c>
      <c r="B25" s="49">
        <f>'Control Entry'!N30</f>
        <v>44511.540277777778</v>
      </c>
      <c r="C25" s="49">
        <f>'Control Entry'!O30</f>
        <v>44511.854166666664</v>
      </c>
      <c r="D25" s="50" t="str">
        <f>IF(ISBLANK('Control Entry'!E30),"",'Control Entry'!E30)</f>
        <v>NORTH SAANICH</v>
      </c>
      <c r="E25" s="42" t="str">
        <f>IF(ISBLANK('Control Entry'!G30),"",'Control Entry'!G30)</f>
        <v/>
      </c>
      <c r="F25" s="42" t="str">
        <f>IF(ISBLANK('Control Entry'!J30),"",'Control Entry'!J30)</f>
        <v/>
      </c>
      <c r="G25" s="10"/>
      <c r="H25" s="35" t="s">
        <v>29</v>
      </c>
      <c r="J25" s="134" t="s">
        <v>17</v>
      </c>
      <c r="K25" s="134"/>
      <c r="L25" s="134"/>
      <c r="M25" s="134"/>
      <c r="N25" s="134"/>
      <c r="O25" s="63"/>
      <c r="P25" s="124"/>
      <c r="Q25" s="124"/>
      <c r="R25" s="63"/>
      <c r="S25" s="125"/>
      <c r="T25" s="125"/>
      <c r="U25" s="125"/>
      <c r="V25" s="125"/>
    </row>
    <row r="26" spans="1:22" ht="36" customHeight="1" thickBot="1" x14ac:dyDescent="0.25">
      <c r="A26" s="43"/>
      <c r="B26" s="44">
        <f>'Control Entry'!N30</f>
        <v>44511.540277777778</v>
      </c>
      <c r="C26" s="44">
        <f>'Control Entry'!O30</f>
        <v>44511.854166666664</v>
      </c>
      <c r="D26" s="45"/>
      <c r="E26" s="46" t="str">
        <f>IF(ISBLANK('Control Entry'!H30),"",'Control Entry'!H30)</f>
        <v/>
      </c>
      <c r="F26" s="46" t="str">
        <f>IF(ISBLANK('Control Entry'!K30),"",'Control Entry'!K30)</f>
        <v/>
      </c>
      <c r="G26" s="11"/>
      <c r="H26" s="35" t="s">
        <v>29</v>
      </c>
    </row>
    <row r="27" spans="1:22" ht="36" customHeight="1" x14ac:dyDescent="0.2">
      <c r="A27" s="39"/>
      <c r="B27" s="40" t="str">
        <f>'Control Entry'!N31</f>
        <v/>
      </c>
      <c r="C27" s="40" t="str">
        <f>'Control Entry'!O31</f>
        <v/>
      </c>
      <c r="D27" s="47"/>
      <c r="E27" s="42" t="str">
        <f>IF(ISBLANK('Control Entry'!F31),"",'Control Entry'!F31)</f>
        <v/>
      </c>
      <c r="F27" s="42" t="str">
        <f>IF(ISBLANK('Control Entry'!I31),"",'Control Entry'!I31)</f>
        <v/>
      </c>
      <c r="G27" s="10"/>
      <c r="H27" s="35" t="s">
        <v>29</v>
      </c>
      <c r="K27" s="132" t="s">
        <v>57</v>
      </c>
      <c r="L27" s="124"/>
      <c r="M27" s="62" t="s">
        <v>58</v>
      </c>
      <c r="N27" s="124" t="s">
        <v>50</v>
      </c>
      <c r="O27" s="124"/>
      <c r="P27" s="124" t="s">
        <v>51</v>
      </c>
      <c r="Q27" s="124"/>
      <c r="R27" s="63" t="s">
        <v>52</v>
      </c>
      <c r="S27" s="125" t="s">
        <v>53</v>
      </c>
      <c r="T27" s="125"/>
      <c r="U27" s="125" t="s">
        <v>54</v>
      </c>
      <c r="V27" s="125"/>
    </row>
    <row r="28" spans="1:22" ht="36" customHeight="1" x14ac:dyDescent="0.2">
      <c r="A28" s="48" t="str">
        <f>IF(ISBLANK('Control Entry'!D31),"",'Control Entry'!D31)</f>
        <v/>
      </c>
      <c r="B28" s="49" t="str">
        <f>'Control Entry'!N31</f>
        <v/>
      </c>
      <c r="C28" s="49" t="str">
        <f>'Control Entry'!O31</f>
        <v/>
      </c>
      <c r="D28" s="50" t="str">
        <f>IF(ISBLANK('Control Entry'!E31),"",'Control Entry'!E31)</f>
        <v/>
      </c>
      <c r="E28" s="42" t="str">
        <f>IF(ISBLANK('Control Entry'!G31),"",'Control Entry'!G31)</f>
        <v/>
      </c>
      <c r="F28" s="42" t="str">
        <f>IF(ISBLANK('Control Entry'!J31),"",'Control Entry'!J31)</f>
        <v/>
      </c>
      <c r="G28" s="10"/>
      <c r="H28" s="35" t="s">
        <v>29</v>
      </c>
    </row>
    <row r="29" spans="1:22" ht="36" customHeight="1" thickBot="1" x14ac:dyDescent="0.25">
      <c r="A29" s="43"/>
      <c r="B29" s="44" t="str">
        <f>'Control Entry'!N31</f>
        <v/>
      </c>
      <c r="C29" s="44" t="str">
        <f>'Control Entry'!O31</f>
        <v/>
      </c>
      <c r="D29" s="45"/>
      <c r="E29" s="46" t="str">
        <f>IF(ISBLANK('Control Entry'!H31),"",'Control Entry'!H31)</f>
        <v/>
      </c>
      <c r="F29" s="46" t="str">
        <f>IF(ISBLANK('Control Entry'!K31),"",'Control Entry'!K31)</f>
        <v/>
      </c>
      <c r="G29" s="11"/>
      <c r="H29" s="35" t="s">
        <v>29</v>
      </c>
      <c r="M29" s="123" t="s">
        <v>42</v>
      </c>
      <c r="N29" s="123"/>
      <c r="O29" s="123"/>
      <c r="P29" s="123"/>
      <c r="Q29" s="123"/>
      <c r="R29" s="123"/>
      <c r="S29" s="123"/>
      <c r="T29" s="123"/>
      <c r="U29" s="68"/>
    </row>
    <row r="30" spans="1:22" ht="36" customHeight="1" x14ac:dyDescent="0.2">
      <c r="A30" s="39"/>
      <c r="B30" s="40" t="str">
        <f>'Control Entry'!N32</f>
        <v/>
      </c>
      <c r="C30" s="40" t="str">
        <f>'Control Entry'!O32</f>
        <v/>
      </c>
      <c r="D30" s="47"/>
      <c r="E30" s="42" t="str">
        <f>IF(ISBLANK('Control Entry'!F32),"",'Control Entry'!F32)</f>
        <v/>
      </c>
      <c r="F30" s="42" t="str">
        <f>IF(ISBLANK('Control Entry'!I32),"",'Control Entry'!I32)</f>
        <v/>
      </c>
      <c r="G30" s="10"/>
      <c r="H30" s="35" t="s">
        <v>29</v>
      </c>
      <c r="M30" s="19"/>
      <c r="N30" s="27"/>
      <c r="O30" s="27"/>
      <c r="P30" s="28"/>
      <c r="Q30" s="27"/>
      <c r="R30" s="27"/>
      <c r="S30" s="27"/>
      <c r="T30" s="28"/>
      <c r="U30" s="29"/>
    </row>
    <row r="31" spans="1:22" ht="36" customHeight="1" x14ac:dyDescent="0.2">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2" ht="36" customHeight="1" thickBot="1" x14ac:dyDescent="0.25">
      <c r="A32" s="43"/>
      <c r="B32" s="44" t="str">
        <f>'Control Entry'!N32</f>
        <v/>
      </c>
      <c r="C32" s="44" t="str">
        <f>'Control Entry'!O32</f>
        <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x14ac:dyDescent="0.2">
      <c r="A33" s="131" t="s">
        <v>43</v>
      </c>
      <c r="B33" s="131"/>
      <c r="C33" s="131"/>
      <c r="D33" s="131"/>
      <c r="E33" s="131"/>
      <c r="F33" s="131"/>
      <c r="G33" s="131"/>
      <c r="H33" s="51"/>
      <c r="I33" s="51"/>
      <c r="N33" s="126"/>
      <c r="O33" s="126"/>
      <c r="P33" s="126"/>
      <c r="Q33" s="126"/>
      <c r="R33" s="126"/>
      <c r="S33" s="126"/>
      <c r="T33" s="126"/>
      <c r="U33" s="126"/>
      <c r="V33" s="71"/>
    </row>
    <row r="34" spans="1:22" ht="36" customHeight="1" x14ac:dyDescent="0.2">
      <c r="A34"/>
      <c r="O34" s="59"/>
      <c r="P34" s="59"/>
      <c r="Q34" s="59"/>
      <c r="R34" s="58"/>
    </row>
    <row r="35" spans="1:22" ht="36" customHeight="1" x14ac:dyDescent="0.2">
      <c r="A35"/>
      <c r="N35" s="123"/>
      <c r="O35" s="123"/>
      <c r="P35" s="123"/>
      <c r="Q35" s="123"/>
      <c r="R35" s="123"/>
      <c r="S35" s="123"/>
      <c r="T35" s="123"/>
      <c r="U35" s="123"/>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L6:U6"/>
    <mergeCell ref="T8:U8"/>
    <mergeCell ref="A1:G1"/>
    <mergeCell ref="K2:U2"/>
    <mergeCell ref="N3:S3"/>
    <mergeCell ref="M4:T4"/>
    <mergeCell ref="N5:O5"/>
    <mergeCell ref="R5:U5"/>
    <mergeCell ref="A33:G33"/>
    <mergeCell ref="N33:U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s>
  <phoneticPr fontId="16" type="noConversion"/>
  <printOptions horizontalCentered="1" verticalCentered="1"/>
  <pageMargins left="0.2" right="0.2" top="0.2" bottom="0.2" header="0.51" footer="0.51"/>
  <pageSetup scale="45"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Victoria Start</vt:lpstr>
      <vt:lpstr>Control Card North Saanic Start</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North Saanic Start'!Print_Titles</vt:lpstr>
      <vt:lpstr>'Control Card Victoria Start'!Print_Titles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2021-10-25T22:22:52Z</cp:lastPrinted>
  <dcterms:created xsi:type="dcterms:W3CDTF">1997-11-12T04:43:39Z</dcterms:created>
  <dcterms:modified xsi:type="dcterms:W3CDTF">2021-11-07T20:35:39Z</dcterms:modified>
</cp:coreProperties>
</file>