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hegidney/Desktop/Explor-a-toria Brevet/"/>
    </mc:Choice>
  </mc:AlternateContent>
  <xr:revisionPtr revIDLastSave="0" documentId="13_ncr:1_{62DB1F79-9E8E-7743-82E9-D5444C364B20}" xr6:coauthVersionLast="36" xr6:coauthVersionMax="36" xr10:uidLastSave="{00000000-0000-0000-0000-000000000000}"/>
  <bookViews>
    <workbookView xWindow="0" yWindow="900" windowWidth="28800" windowHeight="15420" tabRatio="509"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Area" localSheetId="1">'Control Card #1'!$A$1:$V$33</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14" i="2" l="1"/>
  <c r="F15" i="2"/>
  <c r="F27" i="2"/>
  <c r="E22" i="2"/>
  <c r="E13" i="2"/>
  <c r="M23" i="1"/>
  <c r="E7" i="3"/>
  <c r="E8" i="3"/>
  <c r="E5" i="3"/>
  <c r="F5" i="2"/>
  <c r="T8" i="3"/>
  <c r="L8" i="3"/>
  <c r="S3" i="2"/>
  <c r="F32" i="2"/>
  <c r="F31" i="2"/>
  <c r="F30" i="2"/>
  <c r="F29" i="2"/>
  <c r="F28" i="2"/>
  <c r="F26" i="2"/>
  <c r="F25" i="2"/>
  <c r="F24" i="2"/>
  <c r="F23" i="2"/>
  <c r="F22" i="2"/>
  <c r="F21" i="2"/>
  <c r="F20" i="2"/>
  <c r="F19" i="2"/>
  <c r="F18" i="2"/>
  <c r="F17" i="2"/>
  <c r="F16" i="2"/>
  <c r="F14" i="2"/>
  <c r="F13" i="2"/>
  <c r="F12" i="2"/>
  <c r="F11" i="2"/>
  <c r="F10" i="2"/>
  <c r="F9" i="2"/>
  <c r="F8" i="2"/>
  <c r="F7" i="2"/>
  <c r="F6" i="2"/>
  <c r="F4" i="2"/>
  <c r="F3" i="2"/>
  <c r="L10" i="1"/>
  <c r="N10" i="1"/>
  <c r="O15" i="1" s="1"/>
  <c r="C20" i="2" s="1"/>
  <c r="C1" i="1"/>
  <c r="M12"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M4" i="3"/>
  <c r="E4" i="3"/>
  <c r="E3" i="3"/>
  <c r="D31" i="3"/>
  <c r="D28" i="3"/>
  <c r="D25" i="3"/>
  <c r="D22" i="3"/>
  <c r="D19" i="3"/>
  <c r="D16" i="3"/>
  <c r="D13" i="3"/>
  <c r="D10" i="3"/>
  <c r="D7" i="3"/>
  <c r="D4" i="3"/>
  <c r="A31" i="3"/>
  <c r="A28" i="3"/>
  <c r="A25" i="3"/>
  <c r="A22" i="3"/>
  <c r="A19" i="3"/>
  <c r="A16" i="3"/>
  <c r="A13" i="3"/>
  <c r="A10" i="3"/>
  <c r="A7" i="3"/>
  <c r="A4" i="3"/>
  <c r="M19" i="1"/>
  <c r="L19" i="1"/>
  <c r="M18" i="1"/>
  <c r="L18" i="1"/>
  <c r="B2" i="1"/>
  <c r="M17" i="1"/>
  <c r="L17" i="1"/>
  <c r="M16" i="1"/>
  <c r="L16" i="1"/>
  <c r="M15" i="1"/>
  <c r="L15" i="1"/>
  <c r="N15" i="1" s="1"/>
  <c r="B20" i="2" s="1"/>
  <c r="M14" i="1"/>
  <c r="L14" i="1"/>
  <c r="M13" i="1"/>
  <c r="L13" i="1"/>
  <c r="L12" i="1"/>
  <c r="M11" i="1"/>
  <c r="L11" i="1"/>
  <c r="L6" i="3"/>
  <c r="R5" i="3"/>
  <c r="P5" i="3"/>
  <c r="L6" i="2"/>
  <c r="S20" i="2"/>
  <c r="R5" i="2"/>
  <c r="P5" i="2"/>
  <c r="A7" i="2"/>
  <c r="E32" i="2"/>
  <c r="E31" i="2"/>
  <c r="E30" i="2"/>
  <c r="E29" i="2"/>
  <c r="E28" i="2"/>
  <c r="E27" i="2"/>
  <c r="E26" i="2"/>
  <c r="E25" i="2"/>
  <c r="E24" i="2"/>
  <c r="E21" i="2"/>
  <c r="E20" i="2"/>
  <c r="E19" i="2"/>
  <c r="E18" i="2"/>
  <c r="E17" i="2"/>
  <c r="E16" i="2"/>
  <c r="E15"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C3" i="3" s="1"/>
  <c r="N31" i="1"/>
  <c r="B29" i="3" s="1"/>
  <c r="N29" i="1"/>
  <c r="B23" i="3" s="1"/>
  <c r="N27" i="1"/>
  <c r="B17" i="3" s="1"/>
  <c r="N25" i="1"/>
  <c r="B11" i="3" s="1"/>
  <c r="O32" i="1"/>
  <c r="C30" i="3" s="1"/>
  <c r="O30" i="1"/>
  <c r="C24" i="3" s="1"/>
  <c r="O28" i="1"/>
  <c r="C18" i="3" s="1"/>
  <c r="O26" i="1"/>
  <c r="C12" i="3" s="1"/>
  <c r="O24" i="1"/>
  <c r="C6" i="3" s="1"/>
  <c r="N32" i="1"/>
  <c r="B32" i="3" s="1"/>
  <c r="N28" i="1"/>
  <c r="B20" i="3" s="1"/>
  <c r="N24" i="1"/>
  <c r="B8" i="3" s="1"/>
  <c r="N26" i="1"/>
  <c r="B14" i="3" s="1"/>
  <c r="N23" i="1"/>
  <c r="B5" i="3" s="1"/>
  <c r="O31" i="1"/>
  <c r="C27" i="3" s="1"/>
  <c r="O29" i="1"/>
  <c r="C21" i="3" s="1"/>
  <c r="O27" i="1"/>
  <c r="C15" i="3" s="1"/>
  <c r="O25" i="1"/>
  <c r="C9" i="3" s="1"/>
  <c r="N30" i="1"/>
  <c r="B26" i="3" s="1"/>
  <c r="N19" i="1"/>
  <c r="B32" i="2" s="1"/>
  <c r="O19" i="1"/>
  <c r="C32" i="2" s="1"/>
  <c r="N18" i="1"/>
  <c r="B27" i="2" s="1"/>
  <c r="O18" i="1"/>
  <c r="C29" i="2" s="1"/>
  <c r="N17" i="1"/>
  <c r="B24" i="2" s="1"/>
  <c r="O17" i="1"/>
  <c r="C26" i="2" s="1"/>
  <c r="N16" i="1"/>
  <c r="B22" i="2" s="1"/>
  <c r="O16" i="1"/>
  <c r="C21" i="2" s="1"/>
  <c r="O11" i="1"/>
  <c r="C7" i="2" s="1"/>
  <c r="N12" i="1"/>
  <c r="B10" i="2" s="1"/>
  <c r="B4" i="2"/>
  <c r="B5" i="2"/>
  <c r="M10" i="1"/>
  <c r="O10" i="1"/>
  <c r="C5" i="2" s="1"/>
  <c r="M4" i="2"/>
  <c r="B10" i="3"/>
  <c r="B26" i="2"/>
  <c r="C4" i="3"/>
  <c r="B7" i="3"/>
  <c r="B6" i="3"/>
  <c r="B30" i="2" l="1"/>
  <c r="C13" i="3"/>
  <c r="C14" i="3"/>
  <c r="C24" i="2"/>
  <c r="C5" i="3"/>
  <c r="B9" i="3"/>
  <c r="C17" i="3"/>
  <c r="O14" i="1"/>
  <c r="C15" i="2" s="1"/>
  <c r="B21" i="2"/>
  <c r="C25" i="2"/>
  <c r="B3" i="2"/>
  <c r="O13" i="1"/>
  <c r="C14" i="2" s="1"/>
  <c r="N14" i="1"/>
  <c r="B16" i="2" s="1"/>
  <c r="N13" i="1"/>
  <c r="C4" i="2"/>
  <c r="C28" i="3"/>
  <c r="C31" i="2"/>
  <c r="C11" i="3"/>
  <c r="C16" i="3"/>
  <c r="B4" i="3"/>
  <c r="B19" i="3"/>
  <c r="C10" i="3"/>
  <c r="C19" i="2"/>
  <c r="B3" i="3"/>
  <c r="B16" i="3"/>
  <c r="N11" i="1"/>
  <c r="B7" i="2" s="1"/>
  <c r="C28" i="2"/>
  <c r="C23" i="3"/>
  <c r="B31" i="2"/>
  <c r="C3" i="2"/>
  <c r="C25" i="3"/>
  <c r="C22" i="3"/>
  <c r="C26" i="3"/>
  <c r="B22" i="3"/>
  <c r="B31" i="3"/>
  <c r="B25" i="2"/>
  <c r="B12" i="3"/>
  <c r="O12" i="1"/>
  <c r="C11" i="2" s="1"/>
  <c r="B30" i="3"/>
  <c r="B21" i="3"/>
  <c r="C30" i="2"/>
  <c r="B24" i="3"/>
  <c r="C29" i="3"/>
  <c r="B15" i="3"/>
  <c r="B13" i="3"/>
  <c r="C32" i="3"/>
  <c r="C6" i="2"/>
  <c r="B18" i="3"/>
  <c r="C7" i="3"/>
  <c r="C8" i="3"/>
  <c r="B18" i="2"/>
  <c r="C31" i="3"/>
  <c r="C22" i="2"/>
  <c r="B9" i="2"/>
  <c r="B25" i="3"/>
  <c r="C20" i="3"/>
  <c r="C19" i="3"/>
  <c r="B28" i="3"/>
  <c r="B27" i="3"/>
  <c r="B17" i="2"/>
  <c r="C18" i="2"/>
  <c r="C27" i="2"/>
  <c r="B23" i="2"/>
  <c r="B19" i="2"/>
  <c r="B11" i="2"/>
  <c r="C8" i="2"/>
  <c r="C23" i="2"/>
  <c r="B29" i="2"/>
  <c r="B28" i="2"/>
  <c r="C17" i="2" l="1"/>
  <c r="C16" i="2"/>
  <c r="B15" i="2"/>
  <c r="C12" i="2"/>
  <c r="C13" i="2"/>
  <c r="B14" i="2"/>
  <c r="B13" i="2"/>
  <c r="B12" i="2"/>
  <c r="B8" i="2"/>
  <c r="B6" i="2"/>
  <c r="C9" i="2"/>
  <c r="C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<sst xmlns="http://schemas.openxmlformats.org/spreadsheetml/2006/main" count="195" uniqueCount="103">
  <si>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</si>
  <si>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</si>
  <si>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</si>
  <si>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</si>
  <si>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</si>
  <si>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</si>
  <si>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</si>
  <si>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</si>
  <si>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</si>
  <si>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</si>
  <si>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</si>
  <si>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</si>
  <si>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</si>
  <si>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</si>
  <si>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</si>
  <si>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</si>
  <si>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</si>
  <si>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</si>
  <si>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</si>
  <si>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</si>
  <si>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</si>
  <si>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</si>
  <si>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</si>
  <si>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</si>
  <si>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</si>
  <si>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</si>
  <si>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</si>
  <si>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</si>
  <si>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</si>
  <si>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</si>
  <si>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</si>
  <si>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</si>
  <si>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</si>
  <si>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</si>
  <si>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</si>
  <si>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</si>
  <si>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</si>
  <si>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</si>
  <si>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</si>
  <si>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</si>
  <si>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</si>
  <si>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</si>
  <si>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</si>
  <si>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</si>
  <si>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</si>
  <si>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</si>
  <si>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</si>
  <si>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</si>
  <si>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</si>
  <si>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</si>
  <si>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</si>
  <si>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</si>
  <si>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</si>
  <si>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</si>
  <si>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</si>
  <si>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</si>
  <si>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</si>
  <si>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</si>
  <si>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</si>
  <si>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</si>
  <si>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</si>
  <si>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</si>
  <si>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</si>
  <si>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</si>
  <si>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</si>
  <si>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</si>
  <si>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</si>
  <si>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</si>
  <si>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</si>
  <si>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</si>
  <si>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</si>
  <si>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</si>
  <si>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</si>
  <si>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</si>
  <si>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</si>
  <si>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</si>
  <si>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</si>
  <si>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</si>
  <si>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</si>
  <si>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</si>
  <si>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</si>
  <si>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Oak Bay</t>
  </si>
  <si>
    <t>Windsor Park Pavilion</t>
  </si>
  <si>
    <t>Metchosin</t>
  </si>
  <si>
    <t>Langford</t>
  </si>
  <si>
    <t>Gordon Head</t>
  </si>
  <si>
    <t>North Saanich</t>
  </si>
  <si>
    <t>Esquimalt</t>
  </si>
  <si>
    <t>VI ACP Centennial 200: Explor-a-toria</t>
  </si>
  <si>
    <t>Deep Cove Winery 
11195 Chalet Road</t>
  </si>
  <si>
    <t>Number on fire hydrant next to gate?</t>
  </si>
  <si>
    <t>(second entrance)</t>
  </si>
  <si>
    <t>Goldstream Campground Entrance</t>
  </si>
  <si>
    <t>(across from Ma Miller's)</t>
  </si>
  <si>
    <t>Glencoe Cove Park</t>
  </si>
  <si>
    <t>(open Noon - 6pm)</t>
  </si>
  <si>
    <t xml:space="preserve">Rocky Point Road </t>
  </si>
  <si>
    <t>(just past 30k sign on the Goose)</t>
  </si>
  <si>
    <t>IN CASE OF ABANDONMENT OR EMERGENCY, 
PHONE: Holland Gidney - 250-886-9284</t>
  </si>
  <si>
    <t>McLoughlin Point Pumping Station</t>
  </si>
  <si>
    <r>
      <t xml:space="preserve">Please </t>
    </r>
    <r>
      <rPr>
        <b/>
        <i/>
        <sz val="16"/>
        <rFont val="Arial"/>
        <family val="2"/>
      </rPr>
      <t>answer question or collect signature/stamp</t>
    </r>
    <r>
      <rPr>
        <i/>
        <sz val="16"/>
        <rFont val="Arial"/>
        <family val="2"/>
      </rPr>
      <t xml:space="preserve"> and</t>
    </r>
    <r>
      <rPr>
        <b/>
        <i/>
        <sz val="16"/>
        <rFont val="Arial"/>
        <family val="2"/>
      </rPr>
      <t xml:space="preserve"> note time of day</t>
    </r>
  </si>
  <si>
    <t>Signature/Stamp/Answer</t>
  </si>
  <si>
    <t>Penny Farthing Pub 2228 Oak Bay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</si>
</sst>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22"/>
      <name val="Arial Narrow"/>
      <family val="2"/>
    </font>
    <font>
      <b/>
      <sz val="13"/>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style="medium">
        <color auto="1"/>
      </top>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6">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0" fillId="0" borderId="28" xfId="0" applyBorder="1"/>
    <xf numFmtId="49" fontId="5" fillId="0" borderId="28" xfId="0" applyNumberFormat="1" applyFont="1" applyBorder="1" applyAlignment="1" applyProtection="1">
      <alignment horizontal="center"/>
      <protection locked="0"/>
    </xf>
    <xf numFmtId="0" fontId="28" fillId="2" borderId="29" xfId="0" applyFont="1" applyFill="1" applyBorder="1"/>
    <xf numFmtId="49" fontId="5" fillId="0" borderId="14" xfId="0" applyNumberFormat="1" applyFont="1" applyBorder="1" applyAlignment="1" applyProtection="1">
      <alignment horizontal="center" wrapText="1"/>
      <protection locked="0"/>
    </xf>
    <xf numFmtId="49" fontId="14" fillId="0" borderId="7" xfId="0" applyNumberFormat="1" applyFont="1" applyBorder="1" applyAlignment="1">
      <alignment horizontal="center" vertical="center" wrapText="1"/>
    </xf>
    <xf numFmtId="0" fontId="14" fillId="0" borderId="16" xfId="0" applyFont="1" applyBorder="1" applyAlignment="1">
      <alignment horizontal="center" vertical="top" wrapText="1"/>
    </xf>
    <xf numFmtId="0" fontId="14" fillId="0" borderId="16" xfId="0" applyFont="1" applyBorder="1" applyAlignment="1">
      <alignment horizontal="center" wrapText="1"/>
    </xf>
    <xf numFmtId="0" fontId="31" fillId="0" borderId="7" xfId="0" applyFont="1" applyBorder="1" applyAlignment="1">
      <alignment horizontal="center" vertical="top" wrapText="1"/>
    </xf>
    <xf numFmtId="0" fontId="14" fillId="0" borderId="7" xfId="0" applyFont="1" applyBorder="1" applyAlignment="1">
      <alignment horizontal="center" vertical="top" wrapText="1"/>
    </xf>
    <xf numFmtId="0" fontId="32" fillId="0" borderId="7" xfId="0" applyFont="1" applyBorder="1" applyAlignment="1">
      <alignment horizontal="center" vertical="center" wrapText="1"/>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0" fillId="0" borderId="0" xfId="0" applyAlignment="1">
      <alignment horizontal="center" wrapText="1"/>
    </xf>
    <xf numFmtId="168" fontId="10" fillId="0" borderId="0" xfId="0" applyNumberFormat="1" applyFont="1" applyBorder="1" applyAlignment="1">
      <alignment horizontal="lef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0" fontId="5" fillId="0" borderId="0" xfId="0" applyFont="1" applyAlignment="1">
      <alignment horizontal="left" vertical="top"/>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0" fontId="9" fillId="0" borderId="0" xfId="0" applyFont="1" applyAlignment="1">
      <alignment horizontal="center"/>
    </xf>
    <xf numFmtId="167" fontId="12" fillId="0" borderId="20"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alignment horizontal="center"/>
    </xf>
  </cellXfs>
  <cellStyles count="3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577576</xdr:colOff>
      <xdr:row>1</xdr:row>
      <xdr:rowOff>224693</xdr:rowOff>
    </xdr:from>
    <xdr:to>
      <xdr:col>11</xdr:col>
      <xdr:colOff>323576</xdr:colOff>
      <xdr:row>4</xdr:row>
      <xdr:rowOff>331579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013663" y="486976"/>
          <a:ext cx="2009913" cy="1556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topLeftCell="D6" zoomScale="135" zoomScaleNormal="135" zoomScalePageLayoutView="135" workbookViewId="0">
      <selection activeCell="G16" sqref="G16"/>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2" width="17.33203125" hidden="1" customWidth="1"/>
    <col min="13" max="15" width="17.83203125" hidden="1" customWidth="1"/>
  </cols>
  <sheetData>
    <row r="1" spans="1:23" ht="18" x14ac:dyDescent="0.2">
      <c r="A1" s="13" t="s">
        <v>18</v>
      </c>
      <c r="B1" s="89">
        <v>200</v>
      </c>
      <c r="C1">
        <f>IF(Brevet_Length&gt;=1200,Brevet_Length,IF(Brevet_Length&gt;=1000,1000,IF(Brevet_Length&gt;=600,600,IF(Brevet_Length&gt;=400,400,IF(Brevet_Length&gt;=300,300,IF(Brevet_Length&gt;=200,200,100))))))</f>
        <v>200</v>
      </c>
      <c r="J1" s="119" t="s">
        <v>67</v>
      </c>
      <c r="K1" s="119"/>
      <c r="Q1" s="92" t="s">
        <v>68</v>
      </c>
      <c r="R1" s="92"/>
      <c r="S1" s="92"/>
      <c r="T1" s="92"/>
      <c r="U1" s="92"/>
      <c r="V1" s="92"/>
      <c r="W1" s="92"/>
    </row>
    <row r="2" spans="1:23" ht="14" thickBot="1" x14ac:dyDescent="0.2">
      <c r="A2" s="14" t="s">
        <v>19</v>
      </c>
      <c r="B2" s="15">
        <f>IF(brevet=1200,90,IF(brevet=1000,75,IF(brevet=600,40,IF(brevet=400,27,IF(brevet=300,20,IF(brevet=200,13.5,IF(brevet=100,7,0)))))))</f>
        <v>13.5</v>
      </c>
      <c r="Q2" t="s">
        <v>69</v>
      </c>
    </row>
    <row r="3" spans="1:23" ht="19" thickBot="1" x14ac:dyDescent="0.25">
      <c r="A3" s="14" t="s">
        <v>20</v>
      </c>
      <c r="B3" s="101" t="s">
        <v>88</v>
      </c>
      <c r="C3" s="90"/>
      <c r="D3" s="90"/>
      <c r="E3" s="90"/>
      <c r="F3" s="90"/>
      <c r="G3" s="90"/>
      <c r="H3" s="91"/>
      <c r="I3" s="35"/>
      <c r="J3" s="35"/>
      <c r="K3" s="35"/>
      <c r="O3" s="36"/>
      <c r="P3" s="36"/>
      <c r="Q3" s="92" t="s">
        <v>70</v>
      </c>
    </row>
    <row r="4" spans="1:23" ht="16" x14ac:dyDescent="0.2">
      <c r="A4" s="14" t="s">
        <v>21</v>
      </c>
      <c r="B4" s="100">
        <v>5103</v>
      </c>
      <c r="C4" s="32"/>
      <c r="F4" s="33"/>
      <c r="G4" s="33"/>
      <c r="H4" s="33"/>
      <c r="I4" s="33"/>
      <c r="J4" s="33"/>
      <c r="K4" s="33"/>
      <c r="Q4" s="92" t="s">
        <v>71</v>
      </c>
    </row>
    <row r="5" spans="1:23" ht="16" x14ac:dyDescent="0.2">
      <c r="A5" s="60" t="s">
        <v>49</v>
      </c>
      <c r="B5" s="99">
        <v>44450</v>
      </c>
      <c r="Q5" s="92" t="s">
        <v>72</v>
      </c>
    </row>
    <row r="6" spans="1:23" ht="6" customHeight="1" x14ac:dyDescent="0.15"/>
    <row r="7" spans="1:23" ht="17" thickBot="1" x14ac:dyDescent="0.25">
      <c r="A7" s="56" t="s">
        <v>22</v>
      </c>
      <c r="B7" s="102">
        <v>44450</v>
      </c>
      <c r="Q7" s="92" t="s">
        <v>73</v>
      </c>
    </row>
    <row r="8" spans="1:23" ht="17" thickBot="1" x14ac:dyDescent="0.25">
      <c r="A8" s="12" t="s">
        <v>23</v>
      </c>
      <c r="B8" s="103">
        <v>0.29166666666666669</v>
      </c>
      <c r="D8" s="120" t="s">
        <v>61</v>
      </c>
      <c r="E8" s="121"/>
      <c r="F8" s="121"/>
      <c r="G8" s="121"/>
      <c r="H8" s="121"/>
      <c r="I8" s="120" t="s">
        <v>78</v>
      </c>
      <c r="J8" s="121"/>
      <c r="K8" s="122"/>
      <c r="Q8" s="92" t="s">
        <v>74</v>
      </c>
    </row>
    <row r="9" spans="1:23" ht="14" thickBot="1" x14ac:dyDescent="0.2">
      <c r="D9" s="6" t="s">
        <v>24</v>
      </c>
      <c r="E9" s="7" t="s">
        <v>25</v>
      </c>
      <c r="F9" s="111" t="s">
        <v>26</v>
      </c>
      <c r="G9" s="83" t="s">
        <v>27</v>
      </c>
      <c r="H9" s="84" t="s">
        <v>28</v>
      </c>
      <c r="I9" s="7" t="s">
        <v>64</v>
      </c>
      <c r="J9" s="7" t="s">
        <v>65</v>
      </c>
      <c r="K9" s="8" t="s">
        <v>66</v>
      </c>
      <c r="L9" t="s">
        <v>3</v>
      </c>
      <c r="M9" t="s">
        <v>4</v>
      </c>
      <c r="N9" t="s">
        <v>5</v>
      </c>
      <c r="O9" t="s">
        <v>6</v>
      </c>
      <c r="Q9" s="92" t="s">
        <v>75</v>
      </c>
    </row>
    <row r="10" spans="1:23" ht="17" customHeight="1" x14ac:dyDescent="0.2">
      <c r="C10" s="3" t="s">
        <v>7</v>
      </c>
      <c r="D10" s="34">
        <v>0</v>
      </c>
      <c r="E10" s="95" t="s">
        <v>81</v>
      </c>
      <c r="F10" s="109"/>
      <c r="G10" s="96" t="s">
        <v>82</v>
      </c>
      <c r="H10" s="97"/>
      <c r="I10" s="104"/>
      <c r="J10" s="104"/>
      <c r="K10" s="105"/>
      <c r="L10" s="4">
        <f>Start_date+Start_time</f>
        <v>44450.291666666664</v>
      </c>
      <c r="M10" s="4">
        <f>L10+"1:00"</f>
        <v>44450.333333333328</v>
      </c>
      <c r="N10" s="5">
        <f>IF(ISBLANK(Distance),"",Open Control_1)</f>
        <v>44450.291666666664</v>
      </c>
      <c r="O10" s="5">
        <f>IF(ISBLANK(Distance),"",Close Control_1)</f>
        <v>44450.333333333328</v>
      </c>
      <c r="Q10" s="92" t="s">
        <v>76</v>
      </c>
    </row>
    <row r="11" spans="1:23" ht="17" customHeight="1" x14ac:dyDescent="0.2">
      <c r="C11" s="3" t="s">
        <v>8</v>
      </c>
      <c r="D11" s="34">
        <v>16.7</v>
      </c>
      <c r="E11" s="95" t="s">
        <v>87</v>
      </c>
      <c r="F11" s="110"/>
      <c r="G11" s="96" t="s">
        <v>99</v>
      </c>
      <c r="H11" s="97"/>
      <c r="I11" s="104" t="s">
        <v>90</v>
      </c>
      <c r="J11" s="104"/>
      <c r="K11" s="105"/>
      <c r="L11">
        <f>IF(ISBLANK(Distance),"",IF(Distance&gt;1000,(Distance-1000)/26+33.0847,(IF(Distance&gt;600,(Distance-600)/28+18.799,(IF(Distance&gt;400,(Distance-400)/30+12.1324,(IF(Distance&gt;200,(Distance-200)/32+5.8824,Distance/34))))))))</f>
        <v>0.49117647058823527</v>
      </c>
      <c r="M11">
        <f>IF(ISBLANK(Distance),"",IF(Distance&gt;=brevet,IF(brevet&gt;1200,(brevet-1200)*75/1000+90,Max_time),IF(Distance&gt;1200,(Distance-1200)*75/1000+90,IF(Distance&gt;1000,(Distance-1000)/(1000/75)+75,IF(Distance&gt;600,(Distance-600)/(400/35)+40,Distance/15)))))</f>
        <v>1.1133333333333333</v>
      </c>
      <c r="N11" s="5">
        <f>IF(ISBLANK(Distance),"",Open_time Control_1+(INT(Open)&amp;":"&amp;IF(ROUND(((Open-INT(Open))*60),0)&lt;10,0,"")&amp;ROUND(((Open-INT(Open))*60),0)))</f>
        <v>44450.311805555553</v>
      </c>
      <c r="O11" s="5">
        <f>IF(ISBLANK(Distance),"",Open_time Control_1+(INT(Close)&amp;":"&amp;IF(ROUND(((Close-INT(Close))*60),0)&lt;10,0,"")&amp;ROUND(((Close-INT(Close))*60),0)))</f>
        <v>44450.338194444441</v>
      </c>
      <c r="Q11" s="92" t="s">
        <v>77</v>
      </c>
    </row>
    <row r="12" spans="1:23" ht="17" customHeight="1" x14ac:dyDescent="0.2">
      <c r="C12" s="3" t="s">
        <v>9</v>
      </c>
      <c r="D12" s="34">
        <v>45</v>
      </c>
      <c r="E12" s="95" t="s">
        <v>83</v>
      </c>
      <c r="F12" s="110"/>
      <c r="G12" s="110" t="s">
        <v>96</v>
      </c>
      <c r="H12" s="97" t="s">
        <v>97</v>
      </c>
      <c r="I12" s="104"/>
      <c r="J12" s="104"/>
      <c r="K12" s="105"/>
      <c r="L12">
        <f>IF(ISBLANK(Distance),"",IF(Distance&gt;1000,(Distance-1000)/26+33.0847,(IF(Distance&gt;600,(Distance-600)/28+18.799,(IF(Distance&gt;400,(Distance-400)/30+12.1324,(IF(Distance&gt;200,(Distance-200)/32+5.8824,Distance/34))))))))</f>
        <v>1.3235294117647058</v>
      </c>
      <c r="M12">
        <f t="shared" ref="M12:M19" si="0">IF(ISBLANK(Distance),"",IF(Distance&gt;=brevet,IF(brevet&gt;1200,(brevet-1200)*75/1000+90,Max_time),IF(Distance&gt;1200,(Distance-1200)*75/1000+90,IF(Distance&gt;1000,(Distance-1000)/(1000/75)+75,IF(Distance&gt;600,(Distance-600)/(400/35)+40,Distance/15)))))</f>
        <v>3</v>
      </c>
      <c r="N12" s="5">
        <f>IF(ISBLANK(Distance),"",Open_time Control_1+(INT(Open)&amp;":"&amp;IF(ROUND(((Open-INT(Open))*60),0)&lt;10,0,"")&amp;ROUND(((Open-INT(Open))*60),0)))</f>
        <v>44450.346527777772</v>
      </c>
      <c r="O12" s="5">
        <f>IF(ISBLANK(Distance),"",Open_time Control_1+(INT(Close)&amp;":"&amp;IF(ROUND(((Close-INT(Close))*60),0)&lt;10,0,"")&amp;ROUND(((Close-INT(Close))*60),0)))</f>
        <v>44450.416666666664</v>
      </c>
    </row>
    <row r="13" spans="1:23" ht="17" customHeight="1" x14ac:dyDescent="0.2">
      <c r="C13" s="3" t="s">
        <v>10</v>
      </c>
      <c r="D13" s="34">
        <v>65.599999999999994</v>
      </c>
      <c r="E13" s="95" t="s">
        <v>84</v>
      </c>
      <c r="F13" s="96"/>
      <c r="G13" s="96" t="s">
        <v>92</v>
      </c>
      <c r="H13" s="97" t="s">
        <v>93</v>
      </c>
      <c r="I13" s="104"/>
      <c r="J13" s="104"/>
      <c r="K13" s="105"/>
      <c r="L13">
        <f t="shared" ref="L13:L19" si="1">IF(ISBLANK(Distance),"",IF(Distance&gt;1000,(Distance-1000)/26+33.0847,(IF(Distance&gt;600,(Distance-600)/28+18.799,(IF(Distance&gt;400,(Distance-400)/30+12.1324,(IF(Distance&gt;200,(Distance-200)/32+5.8824,Distance/34))))))))</f>
        <v>1.9294117647058822</v>
      </c>
      <c r="M13">
        <f t="shared" si="0"/>
        <v>4.3733333333333331</v>
      </c>
      <c r="N13" s="5">
        <f>IF(ISBLANK(Distance),"",Open_time Control_1+(INT(Open)&amp;":"&amp;IF(ROUND(((Open-INT(Open))*60),0)&lt;10,0,"")&amp;ROUND(((Open-INT(Open))*60),0)))</f>
        <v>44450.37222222222</v>
      </c>
      <c r="O13" s="5">
        <f>IF(ISBLANK(Distance),"",Open_time Control_1+(INT(Close)&amp;":"&amp;IF(ROUND(((Close-INT(Close))*60),0)&lt;10,0,"")&amp;ROUND(((Close-INT(Close))*60),0)))</f>
        <v>44450.473611111105</v>
      </c>
    </row>
    <row r="14" spans="1:23" ht="17" customHeight="1" x14ac:dyDescent="0.2">
      <c r="C14" s="3" t="s">
        <v>11</v>
      </c>
      <c r="D14" s="34">
        <v>104.2</v>
      </c>
      <c r="E14" s="95" t="s">
        <v>85</v>
      </c>
      <c r="F14" s="96"/>
      <c r="G14" s="96" t="s">
        <v>94</v>
      </c>
      <c r="H14" s="97" t="s">
        <v>91</v>
      </c>
      <c r="I14" s="104"/>
      <c r="J14" s="104"/>
      <c r="K14" s="105"/>
      <c r="L14">
        <f t="shared" si="1"/>
        <v>3.0647058823529414</v>
      </c>
      <c r="M14">
        <f t="shared" si="0"/>
        <v>6.9466666666666672</v>
      </c>
      <c r="N14" s="5">
        <f>IF(ISBLANK(Distance),"",Open_time Control_1+(INT(Open)&amp;":"&amp;IF(ROUND(((Open-INT(Open))*60),0)&lt;10,0,"")&amp;ROUND(((Open-INT(Open))*60),0)))</f>
        <v>44450.419444444444</v>
      </c>
      <c r="O14" s="5">
        <f>IF(ISBLANK(Distance),"",Open_time Control_1+(INT(Close)&amp;":"&amp;IF(ROUND(((Close-INT(Close))*60),0)&lt;10,0,"")&amp;ROUND(((Close-INT(Close))*60),0)))</f>
        <v>44450.581249999996</v>
      </c>
      <c r="Q14" s="93" t="s">
        <v>79</v>
      </c>
    </row>
    <row r="15" spans="1:23" ht="17" customHeight="1" x14ac:dyDescent="0.2">
      <c r="C15" s="3" t="s">
        <v>12</v>
      </c>
      <c r="D15" s="34">
        <v>140.80000000000001</v>
      </c>
      <c r="E15" s="95" t="s">
        <v>86</v>
      </c>
      <c r="F15" s="96"/>
      <c r="G15" s="112" t="s">
        <v>89</v>
      </c>
      <c r="H15" s="97" t="s">
        <v>95</v>
      </c>
      <c r="I15" s="104"/>
      <c r="J15" s="104"/>
      <c r="K15" s="105"/>
      <c r="L15">
        <f t="shared" si="1"/>
        <v>4.1411764705882357</v>
      </c>
      <c r="M15">
        <f t="shared" si="0"/>
        <v>9.3866666666666667</v>
      </c>
      <c r="N15" s="5">
        <f>IF(ISBLANK(Distance),"",Open_time Control_1+(INT(Open)&amp;":"&amp;IF(ROUND(((Open-INT(Open))*60),0)&lt;10,0,"")&amp;ROUND(((Open-INT(Open))*60),0)))</f>
        <v>44450.463888888888</v>
      </c>
      <c r="O15" s="5">
        <f>IF(ISBLANK(Distance),"",Open_time Control_1+(INT(Close)&amp;":"&amp;IF(ROUND(((Close-INT(Close))*60),0)&lt;10,0,"")&amp;ROUND(((Close-INT(Close))*60),0)))</f>
        <v>44450.682638888888</v>
      </c>
    </row>
    <row r="16" spans="1:23" ht="17" customHeight="1" x14ac:dyDescent="0.2">
      <c r="C16" s="3" t="s">
        <v>13</v>
      </c>
      <c r="D16" s="34">
        <v>203.8</v>
      </c>
      <c r="E16" s="95" t="s">
        <v>81</v>
      </c>
      <c r="F16" s="96"/>
      <c r="G16" s="96" t="s">
        <v>102</v>
      </c>
      <c r="H16" s="97"/>
      <c r="I16" s="104"/>
      <c r="J16" s="104"/>
      <c r="K16" s="105"/>
      <c r="L16">
        <f t="shared" si="1"/>
        <v>6.00115</v>
      </c>
      <c r="M16">
        <f t="shared" si="0"/>
        <v>13.5</v>
      </c>
      <c r="N16" s="5">
        <f>IF(ISBLANK(Distance),"",Open_time Control_1+(INT(Open)&amp;":"&amp;IF(ROUND(((Open-INT(Open))*60),0)&lt;10,0,"")&amp;ROUND(((Open-INT(Open))*60),0)))</f>
        <v>44450.541666666664</v>
      </c>
      <c r="O16" s="5">
        <f>IF(ISBLANK(Distance),"",Open_time Control_1+(INT(Close)&amp;":"&amp;IF(ROUND(((Close-INT(Close))*60),0)&lt;10,0,"")&amp;ROUND(((Close-INT(Close))*60),0)))</f>
        <v>44450.854166666664</v>
      </c>
    </row>
    <row r="17" spans="3:15" ht="17" customHeight="1" x14ac:dyDescent="0.2">
      <c r="C17" s="3" t="s">
        <v>14</v>
      </c>
      <c r="D17" s="34"/>
      <c r="E17" s="95"/>
      <c r="F17" s="96"/>
      <c r="G17" s="96"/>
      <c r="H17" s="97"/>
      <c r="I17" s="104"/>
      <c r="J17" s="104"/>
      <c r="K17" s="105"/>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7" customHeight="1" x14ac:dyDescent="0.2">
      <c r="C18" s="3" t="s">
        <v>15</v>
      </c>
      <c r="D18" s="34"/>
      <c r="E18" s="95"/>
      <c r="F18" s="96"/>
      <c r="G18" s="96"/>
      <c r="H18" s="97"/>
      <c r="I18" s="104"/>
      <c r="J18" s="104"/>
      <c r="K18" s="105"/>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7" customHeight="1" thickBot="1" x14ac:dyDescent="0.2">
      <c r="C19" s="3" t="s">
        <v>16</v>
      </c>
      <c r="D19" s="64"/>
      <c r="E19" s="106"/>
      <c r="F19" s="107"/>
      <c r="G19" s="107"/>
      <c r="H19" s="108"/>
      <c r="I19" s="107"/>
      <c r="J19" s="107"/>
      <c r="K19" s="108"/>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7" customHeight="1" thickBot="1" x14ac:dyDescent="0.25">
      <c r="D20" s="85"/>
      <c r="E20" s="86"/>
      <c r="F20" s="87"/>
      <c r="G20" s="87"/>
      <c r="H20" s="87"/>
      <c r="I20" s="87"/>
      <c r="J20" s="87"/>
      <c r="K20" s="88"/>
      <c r="N20" s="5"/>
      <c r="O20" s="5"/>
    </row>
    <row r="21" spans="3:15" ht="14" thickBot="1" x14ac:dyDescent="0.2">
      <c r="D21" s="120" t="s">
        <v>62</v>
      </c>
      <c r="E21" s="121"/>
      <c r="F21" s="121"/>
      <c r="G21" s="121"/>
      <c r="H21" s="121"/>
      <c r="I21" s="120" t="s">
        <v>80</v>
      </c>
      <c r="J21" s="121"/>
      <c r="K21" s="122"/>
    </row>
    <row r="22" spans="3:15" ht="14" thickBot="1" x14ac:dyDescent="0.2">
      <c r="D22" s="6" t="s">
        <v>24</v>
      </c>
      <c r="E22" s="7" t="s">
        <v>25</v>
      </c>
      <c r="F22" s="83" t="s">
        <v>26</v>
      </c>
      <c r="G22" s="83" t="s">
        <v>27</v>
      </c>
      <c r="H22" s="84" t="s">
        <v>28</v>
      </c>
      <c r="I22" s="7" t="s">
        <v>64</v>
      </c>
      <c r="J22" s="7" t="s">
        <v>65</v>
      </c>
      <c r="K22" s="8" t="s">
        <v>66</v>
      </c>
      <c r="L22" t="s">
        <v>3</v>
      </c>
      <c r="M22" t="s">
        <v>4</v>
      </c>
      <c r="N22" t="s">
        <v>5</v>
      </c>
      <c r="O22" t="s">
        <v>6</v>
      </c>
    </row>
    <row r="23" spans="3:15" ht="16" x14ac:dyDescent="0.2">
      <c r="D23" s="34"/>
      <c r="E23" s="95"/>
      <c r="F23" s="96"/>
      <c r="G23" s="96"/>
      <c r="H23" s="97"/>
      <c r="I23" s="104"/>
      <c r="J23" s="104"/>
      <c r="K23" s="10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 customHeight="1" x14ac:dyDescent="0.2">
      <c r="D24" s="34"/>
      <c r="E24" s="95"/>
      <c r="F24" s="96"/>
      <c r="G24" s="96"/>
      <c r="H24" s="97"/>
      <c r="I24" s="104"/>
      <c r="J24" s="104"/>
      <c r="K24" s="10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 customHeight="1" x14ac:dyDescent="0.2">
      <c r="D25" s="34"/>
      <c r="E25" s="95"/>
      <c r="F25" s="96"/>
      <c r="G25" s="96"/>
      <c r="H25" s="97"/>
      <c r="I25" s="104"/>
      <c r="J25" s="104"/>
      <c r="K25" s="10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 customHeight="1" x14ac:dyDescent="0.2">
      <c r="D26" s="34"/>
      <c r="E26" s="95"/>
      <c r="F26" s="96"/>
      <c r="G26" s="96"/>
      <c r="H26" s="97"/>
      <c r="I26" s="104"/>
      <c r="J26" s="104"/>
      <c r="K26" s="10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 customHeight="1" x14ac:dyDescent="0.2">
      <c r="D27" s="34"/>
      <c r="E27" s="95"/>
      <c r="F27" s="96"/>
      <c r="G27" s="96"/>
      <c r="H27" s="97"/>
      <c r="I27" s="104"/>
      <c r="J27" s="104"/>
      <c r="K27" s="10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 customHeight="1" x14ac:dyDescent="0.2">
      <c r="D28" s="34"/>
      <c r="E28" s="95"/>
      <c r="F28" s="96"/>
      <c r="G28" s="96"/>
      <c r="H28" s="97"/>
      <c r="I28" s="104"/>
      <c r="J28" s="104"/>
      <c r="K28" s="10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 customHeight="1" x14ac:dyDescent="0.2">
      <c r="D29" s="34"/>
      <c r="E29" s="95"/>
      <c r="F29" s="96"/>
      <c r="G29" s="96"/>
      <c r="H29" s="97"/>
      <c r="I29" s="104"/>
      <c r="J29" s="104"/>
      <c r="K29" s="10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 customHeight="1" x14ac:dyDescent="0.2">
      <c r="D30" s="34"/>
      <c r="E30" s="95"/>
      <c r="F30" s="96"/>
      <c r="G30" s="96"/>
      <c r="H30" s="97"/>
      <c r="I30" s="104"/>
      <c r="J30" s="104"/>
      <c r="K30" s="10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 customHeight="1" x14ac:dyDescent="0.2">
      <c r="D31" s="34"/>
      <c r="E31" s="95"/>
      <c r="F31" s="96"/>
      <c r="G31" s="96"/>
      <c r="H31" s="97"/>
      <c r="I31" s="104"/>
      <c r="J31" s="104"/>
      <c r="K31" s="10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 customHeight="1" thickBot="1" x14ac:dyDescent="0.2">
      <c r="D32" s="64"/>
      <c r="E32" s="106"/>
      <c r="F32" s="107"/>
      <c r="G32" s="107"/>
      <c r="H32" s="108"/>
      <c r="I32" s="107"/>
      <c r="J32" s="107"/>
      <c r="K32" s="10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landscape"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view="pageLayout" topLeftCell="A21" zoomScale="92" zoomScaleNormal="50"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2" t="s">
        <v>100</v>
      </c>
      <c r="B1" s="132"/>
      <c r="C1" s="132"/>
      <c r="D1" s="132"/>
      <c r="E1" s="132"/>
      <c r="F1" s="132"/>
      <c r="G1" s="132"/>
      <c r="H1" s="35" t="s">
        <v>29</v>
      </c>
    </row>
    <row r="2" spans="1:22" ht="42" customHeight="1" thickBot="1" x14ac:dyDescent="0.25">
      <c r="A2" s="94" t="s">
        <v>30</v>
      </c>
      <c r="B2" s="9" t="s">
        <v>3</v>
      </c>
      <c r="C2" s="9" t="s">
        <v>4</v>
      </c>
      <c r="D2" s="9" t="s">
        <v>25</v>
      </c>
      <c r="E2" s="9" t="s">
        <v>31</v>
      </c>
      <c r="F2" s="9" t="s">
        <v>101</v>
      </c>
      <c r="G2" s="94" t="s">
        <v>32</v>
      </c>
      <c r="H2" s="35" t="s">
        <v>29</v>
      </c>
      <c r="K2" s="129"/>
      <c r="L2" s="130"/>
      <c r="M2" s="130"/>
      <c r="N2" s="130"/>
      <c r="O2" s="130"/>
      <c r="P2" s="130"/>
      <c r="Q2" s="130"/>
      <c r="R2" s="130"/>
      <c r="S2" s="130"/>
      <c r="T2" s="130"/>
      <c r="U2" s="130"/>
    </row>
    <row r="3" spans="1:22" ht="36" customHeight="1" x14ac:dyDescent="0.45">
      <c r="A3" s="39"/>
      <c r="B3" s="40">
        <f>Control_1 Open_time</f>
        <v>44450.291666666664</v>
      </c>
      <c r="C3" s="40">
        <f>Control_1 Close_time</f>
        <v>44450.333333333328</v>
      </c>
      <c r="D3" s="41"/>
      <c r="E3" s="42" t="str">
        <f>IF(ISBLANK(Control_1 Establishment_1),"",Control_1 Establishment_1)</f>
        <v/>
      </c>
      <c r="F3" s="42" t="str">
        <f>IF(ISBLANK('Control Entry'!I10),"",'Control Entry'!I10)</f>
        <v/>
      </c>
      <c r="G3" s="10"/>
      <c r="H3" s="35" t="s">
        <v>29</v>
      </c>
      <c r="K3" s="16"/>
      <c r="O3" s="133" t="s">
        <v>33</v>
      </c>
      <c r="P3" s="133"/>
      <c r="Q3" s="133"/>
      <c r="R3" s="133"/>
      <c r="S3" s="82" t="str">
        <f>IF(ISBLANK('Control Entry'!D23),"","#1")</f>
        <v/>
      </c>
      <c r="U3" s="52"/>
    </row>
    <row r="4" spans="1:22" ht="36" customHeight="1" x14ac:dyDescent="0.2">
      <c r="A4" s="48">
        <f>IF(ISBLANK(Distance Control_1),"",Control_1 Distance)</f>
        <v>0</v>
      </c>
      <c r="B4" s="49">
        <f>Control_1 Open_time</f>
        <v>44450.291666666664</v>
      </c>
      <c r="C4" s="49">
        <f>Control_1 Close_time</f>
        <v>44450.333333333328</v>
      </c>
      <c r="D4" s="50" t="str">
        <f>IF(ISBLANK(Locale Control_1),"",Locale Control_1)</f>
        <v>Oak Bay</v>
      </c>
      <c r="E4" s="42" t="str">
        <f>IF(ISBLANK(Control_1 Establishment_2),"",Control_1 Establishment_2)</f>
        <v>Windsor Park Pavilion</v>
      </c>
      <c r="F4" s="42" t="str">
        <f>IF(ISBLANK('Control Entry'!J10),"",'Control Entry'!J10)</f>
        <v/>
      </c>
      <c r="G4" s="10"/>
      <c r="H4" s="35" t="s">
        <v>29</v>
      </c>
      <c r="K4" s="16"/>
      <c r="M4" s="136" t="str">
        <f>IF(ISBLANK(brevet),"",brevet&amp;" km Randonnée")</f>
        <v>200 km Randonnée</v>
      </c>
      <c r="N4" s="136"/>
      <c r="O4" s="136"/>
      <c r="P4" s="136"/>
      <c r="Q4" s="136"/>
      <c r="R4" s="136"/>
      <c r="S4" s="136"/>
      <c r="T4" s="136"/>
      <c r="U4" s="53"/>
    </row>
    <row r="5" spans="1:22" ht="40" customHeight="1" thickBot="1" x14ac:dyDescent="0.25">
      <c r="A5" s="43"/>
      <c r="B5" s="44">
        <f>Control_1 Open_time</f>
        <v>44450.291666666664</v>
      </c>
      <c r="C5" s="44">
        <f>Control_1 Close_time</f>
        <v>44450.333333333328</v>
      </c>
      <c r="D5" s="45"/>
      <c r="E5" s="46" t="str">
        <f>IF(ISBLANK(Control_1 Establishment_3),"",Control_1 Establishment_3)</f>
        <v/>
      </c>
      <c r="F5" s="98" t="str">
        <f>IF(ISBLANK('Control Entry'!K10),"",'Control Entry'!K10)</f>
        <v/>
      </c>
      <c r="G5" s="11"/>
      <c r="H5" s="35" t="s">
        <v>29</v>
      </c>
      <c r="K5" s="16"/>
      <c r="M5" s="17"/>
      <c r="N5" s="137" t="s">
        <v>48</v>
      </c>
      <c r="O5" s="137"/>
      <c r="P5" s="80">
        <f>IF(ISBLANK(Brevet_Number),"",Brevet_Number)</f>
        <v>5103</v>
      </c>
      <c r="Q5" s="81"/>
      <c r="R5" s="124">
        <f>IF(ISBLANK('Control Entry'!$B5),"",'Control Entry'!$B5)</f>
        <v>44450</v>
      </c>
      <c r="S5" s="124"/>
      <c r="T5" s="124"/>
      <c r="U5" s="124"/>
      <c r="V5" s="54"/>
    </row>
    <row r="6" spans="1:22" ht="40" customHeight="1" x14ac:dyDescent="0.2">
      <c r="A6" s="39"/>
      <c r="B6" s="40">
        <f>Control_2 Open_time</f>
        <v>44450.311805555553</v>
      </c>
      <c r="C6" s="40">
        <f>Control_2 Close_time</f>
        <v>44450.338194444441</v>
      </c>
      <c r="D6" s="47"/>
      <c r="E6" s="42" t="str">
        <f>IF(ISBLANK(Control_2 Establishment_1),"",Control_2 Establishment_1)</f>
        <v/>
      </c>
      <c r="F6" s="42" t="str">
        <f>IF(ISBLANK('Control Entry'!I11),"",'Control Entry'!I11)</f>
        <v>Number on fire hydrant next to gate?</v>
      </c>
      <c r="G6" s="10"/>
      <c r="H6" s="35" t="s">
        <v>29</v>
      </c>
      <c r="J6" s="123" t="s">
        <v>56</v>
      </c>
      <c r="K6" s="123"/>
      <c r="L6" s="141" t="str">
        <f>IF(ISBLANK(Brevet_Description),"",Brevet_Description)</f>
        <v>VI ACP Centennial 200: Explor-a-toria</v>
      </c>
      <c r="M6" s="141"/>
      <c r="N6" s="141"/>
      <c r="O6" s="141"/>
      <c r="P6" s="141"/>
      <c r="Q6" s="141"/>
      <c r="R6" s="141"/>
      <c r="S6" s="141"/>
      <c r="T6" s="141"/>
      <c r="U6" s="141"/>
    </row>
    <row r="7" spans="1:22" ht="36" customHeight="1" x14ac:dyDescent="0.2">
      <c r="A7" s="48">
        <f>IF(ISBLANK(Distance Control_2),"",Control_2 Distance)</f>
        <v>16.7</v>
      </c>
      <c r="B7" s="49">
        <f>Control_2 Open_time</f>
        <v>44450.311805555553</v>
      </c>
      <c r="C7" s="49">
        <f>Control_2 Close_time</f>
        <v>44450.338194444441</v>
      </c>
      <c r="D7" s="50" t="str">
        <f>IF(ISBLANK(Locale Control_2),"",Locale Control_2)</f>
        <v>Esquimalt</v>
      </c>
      <c r="E7" s="42" t="str">
        <f>IF(ISBLANK(Control_2 Establishment_2),"",Control_2 Establishment_2)</f>
        <v>McLoughlin Point Pumping Station</v>
      </c>
      <c r="F7" s="42" t="str">
        <f>IF(ISBLANK('Control Entry'!J11),"",'Control Entry'!J11)</f>
        <v/>
      </c>
      <c r="G7" s="10"/>
      <c r="H7" s="35" t="s">
        <v>29</v>
      </c>
    </row>
    <row r="8" spans="1:22" ht="36" customHeight="1" thickBot="1" x14ac:dyDescent="0.25">
      <c r="A8" s="43"/>
      <c r="B8" s="44">
        <f>Control_2 Open_time</f>
        <v>44450.311805555553</v>
      </c>
      <c r="C8" s="44">
        <f>Control_2 Close_time</f>
        <v>44450.338194444441</v>
      </c>
      <c r="D8" s="45"/>
      <c r="E8" s="46" t="str">
        <f>IF(ISBLANK(Control_2 Establishment_3),"",Control_2 Establishment_3)</f>
        <v/>
      </c>
      <c r="F8" s="46" t="str">
        <f>IF(ISBLANK('Control Entry'!K11),"",'Control Entry'!K11)</f>
        <v/>
      </c>
      <c r="G8" s="11"/>
      <c r="H8" s="35" t="s">
        <v>29</v>
      </c>
      <c r="J8" s="17" t="s">
        <v>34</v>
      </c>
      <c r="L8" s="131"/>
      <c r="M8" s="131"/>
      <c r="N8" s="131"/>
      <c r="O8" s="131"/>
      <c r="P8" s="131"/>
      <c r="Q8" s="131"/>
      <c r="R8" s="36"/>
      <c r="S8" s="55" t="s">
        <v>47</v>
      </c>
      <c r="T8" s="142"/>
      <c r="U8" s="142"/>
    </row>
    <row r="9" spans="1:22" ht="36" customHeight="1" thickBot="1" x14ac:dyDescent="0.3">
      <c r="A9" s="39"/>
      <c r="B9" s="40">
        <f>Control_3 Open_time</f>
        <v>44450.346527777772</v>
      </c>
      <c r="C9" s="40">
        <f>Control_3 Close_time</f>
        <v>44450.416666666664</v>
      </c>
      <c r="D9" s="47"/>
      <c r="E9" s="42" t="str">
        <f>IF(ISBLANK(Control_3 Establishment_1),"",Control_3 Establishment_1)</f>
        <v/>
      </c>
      <c r="F9" s="115" t="str">
        <f>IF(ISBLANK('Control Entry'!I12),"",'Control Entry'!I12)</f>
        <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45</v>
      </c>
      <c r="B10" s="49">
        <f>Control_3 Open_time</f>
        <v>44450.346527777772</v>
      </c>
      <c r="C10" s="49">
        <f>Control_3 Close_time</f>
        <v>44450.416666666664</v>
      </c>
      <c r="D10" s="50" t="str">
        <f>IF(ISBLANK(Locale Control_3),"",Locale Control_3)</f>
        <v>Metchosin</v>
      </c>
      <c r="E10" s="42" t="str">
        <f>IF(ISBLANK(Control_3 Establishment_2),"",Control_3 Establishment_2)</f>
        <v xml:space="preserve">Rocky Point Road </v>
      </c>
      <c r="F10" s="114"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44450.346527777772</v>
      </c>
      <c r="C11" s="44">
        <f>Control_3 Close_time</f>
        <v>44450.416666666664</v>
      </c>
      <c r="D11" s="45"/>
      <c r="E11" s="117" t="str">
        <f>IF(ISBLANK(Control_3 Establishment_3),"",Control_3 Establishment_3)</f>
        <v>(just past 30k sign on the Goose)</v>
      </c>
      <c r="F11" s="116"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44450.37222222222</v>
      </c>
      <c r="C12" s="40">
        <f>Control_4 Close_time</f>
        <v>44450.473611111105</v>
      </c>
      <c r="D12" s="47"/>
      <c r="E12" s="42" t="str">
        <f>IF(ISBLANK(Control_4 Establishment_1),"",Control_4 Establishment_1)</f>
        <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65.599999999999994</v>
      </c>
      <c r="B13" s="49">
        <f>Control_4 Open_time</f>
        <v>44450.37222222222</v>
      </c>
      <c r="C13" s="49">
        <f>Control_4 Close_time</f>
        <v>44450.473611111105</v>
      </c>
      <c r="D13" s="50" t="str">
        <f>IF(ISBLANK(Locale Control_4),"",Locale Control_4)</f>
        <v>Langford</v>
      </c>
      <c r="E13" s="42" t="str">
        <f>IF(ISBLANK(Control_4 Establishment_2),"",Control_4 Establishment_2)</f>
        <v>Goldstream Campground Entrance</v>
      </c>
      <c r="F13" s="42" t="str">
        <f>IF(ISBLANK('Control Entry'!J13),"",'Control Entry'!J13)</f>
        <v/>
      </c>
      <c r="G13" s="10"/>
      <c r="H13" s="35" t="s">
        <v>29</v>
      </c>
      <c r="J13" s="17" t="s">
        <v>40</v>
      </c>
      <c r="L13" s="78"/>
      <c r="M13" s="79"/>
      <c r="N13" s="79"/>
      <c r="O13" s="25"/>
      <c r="P13" s="24" t="s">
        <v>41</v>
      </c>
      <c r="Q13" s="24"/>
      <c r="R13" s="38"/>
      <c r="S13" s="26"/>
      <c r="T13" s="26"/>
      <c r="U13" s="22"/>
    </row>
    <row r="14" spans="1:22" ht="36" customHeight="1" thickBot="1" x14ac:dyDescent="0.25">
      <c r="A14" s="43"/>
      <c r="B14" s="44">
        <f>Control_4 Open_time</f>
        <v>44450.37222222222</v>
      </c>
      <c r="C14" s="44">
        <f>Control_4 Close_time</f>
        <v>44450.473611111105</v>
      </c>
      <c r="D14" s="45"/>
      <c r="E14" s="118" t="str">
        <f>IF(ISBLANK(Control_4 Establishment_3),"",Control_4 Establishment_3)</f>
        <v>(across from Ma Miller's)</v>
      </c>
      <c r="F14" s="98" t="str">
        <f>IF(ISBLANK('Control Entry'!K13),"",'Control Entry'!K13)</f>
        <v/>
      </c>
      <c r="G14" s="11"/>
      <c r="H14" s="35" t="s">
        <v>29</v>
      </c>
    </row>
    <row r="15" spans="1:22" ht="36" customHeight="1" x14ac:dyDescent="0.2">
      <c r="A15" s="39"/>
      <c r="B15" s="40">
        <f>Control_5 Open_time</f>
        <v>44450.419444444444</v>
      </c>
      <c r="C15" s="40">
        <f>Control_5 Close_time</f>
        <v>44450.581249999996</v>
      </c>
      <c r="D15" s="47"/>
      <c r="E15" s="42" t="str">
        <f>IF(ISBLANK(Control_5 Establishment_1),"",Control_5 Establishment_1)</f>
        <v/>
      </c>
      <c r="F15" s="42" t="str">
        <f>IF(ISBLANK('Control Entry'!I14),"",'Control Entry'!I14)</f>
        <v/>
      </c>
      <c r="G15" s="10"/>
      <c r="H15" s="35" t="s">
        <v>29</v>
      </c>
      <c r="J15" s="17"/>
      <c r="L15" s="140" t="s">
        <v>59</v>
      </c>
      <c r="M15" s="140"/>
      <c r="N15" s="140"/>
      <c r="O15" s="140"/>
      <c r="P15" s="140"/>
      <c r="Q15" s="140"/>
      <c r="R15" s="140"/>
      <c r="S15" s="140"/>
      <c r="T15" s="140"/>
      <c r="U15" s="140"/>
    </row>
    <row r="16" spans="1:22" ht="36" customHeight="1" thickBot="1" x14ac:dyDescent="0.25">
      <c r="A16" s="48">
        <f>IF(ISBLANK(Distance Control_5),"",Control_5 Distance)</f>
        <v>104.2</v>
      </c>
      <c r="B16" s="49">
        <f>Control_5 Open_time</f>
        <v>44450.419444444444</v>
      </c>
      <c r="C16" s="49">
        <f>Control_5 Close_time</f>
        <v>44450.581249999996</v>
      </c>
      <c r="D16" s="50" t="str">
        <f>IF(ISBLANK(Locale Control_5),"",Locale Control_5)</f>
        <v>Gordon Head</v>
      </c>
      <c r="E16" s="42" t="str">
        <f>IF(ISBLANK(Control_5 Establishment_2),"",Control_5 Establishment_2)</f>
        <v>Glencoe Cove Park</v>
      </c>
      <c r="F16" s="42" t="str">
        <f>IF(ISBLANK('Control Entry'!J14),"",'Control Entry'!J14)</f>
        <v/>
      </c>
      <c r="G16" s="10"/>
      <c r="H16" s="35" t="s">
        <v>29</v>
      </c>
      <c r="L16" s="73"/>
      <c r="M16" s="73"/>
      <c r="N16" s="73"/>
      <c r="O16" s="73"/>
      <c r="P16" s="73"/>
      <c r="Q16" s="74"/>
      <c r="R16" s="74"/>
      <c r="S16" s="74"/>
      <c r="T16" s="74"/>
      <c r="U16" s="74"/>
    </row>
    <row r="17" spans="1:22" ht="36" customHeight="1" thickBot="1" x14ac:dyDescent="0.25">
      <c r="A17" s="43"/>
      <c r="B17" s="44">
        <f>Control_5 Open_time</f>
        <v>44450.419444444444</v>
      </c>
      <c r="C17" s="44">
        <f>Control_5 Close_time</f>
        <v>44450.581249999996</v>
      </c>
      <c r="D17" s="45"/>
      <c r="E17" s="117" t="str">
        <f>IF(ISBLANK(Control_5 Establishment_3),"",Control_5 Establishment_3)</f>
        <v>(second entrance)</v>
      </c>
      <c r="F17" s="46" t="str">
        <f>IF(ISBLANK('Control Entry'!K14),"",'Control Entry'!K14)</f>
        <v/>
      </c>
      <c r="G17" s="11"/>
      <c r="H17" s="35" t="s">
        <v>29</v>
      </c>
    </row>
    <row r="18" spans="1:22" ht="36" customHeight="1" x14ac:dyDescent="0.2">
      <c r="A18" s="39"/>
      <c r="B18" s="40">
        <f>Control_6 Open_time</f>
        <v>44450.463888888888</v>
      </c>
      <c r="C18" s="40">
        <f>Control_6 Close_time</f>
        <v>44450.682638888888</v>
      </c>
      <c r="D18" s="47"/>
      <c r="E18" s="42" t="str">
        <f>IF(ISBLANK(Control_6 Establishment_1),"",Control_6 Establishment_1)</f>
        <v/>
      </c>
      <c r="F18" s="42" t="str">
        <f>IF(ISBLANK('Control Entry'!I15),"",'Control Entry'!I15)</f>
        <v/>
      </c>
      <c r="G18" s="10"/>
      <c r="H18" s="35" t="s">
        <v>29</v>
      </c>
    </row>
    <row r="19" spans="1:22" ht="36" customHeight="1" x14ac:dyDescent="0.2">
      <c r="A19" s="48">
        <f>IF(ISBLANK(Distance Control_6),"",Control_6 Distance)</f>
        <v>140.80000000000001</v>
      </c>
      <c r="B19" s="49">
        <f>Control_6 Open_time</f>
        <v>44450.463888888888</v>
      </c>
      <c r="C19" s="49">
        <f>Control_6 Close_time</f>
        <v>44450.682638888888</v>
      </c>
      <c r="D19" s="50" t="str">
        <f>IF(ISBLANK(Locale Control_6),"",Locale Control_6)</f>
        <v>North Saanich</v>
      </c>
      <c r="E19" s="42" t="str">
        <f>IF(ISBLANK(Control_6 Establishment_2),"",Control_6 Establishment_2)</f>
        <v>Deep Cove Winery 
11195 Chalet Road</v>
      </c>
      <c r="F19" s="42" t="str">
        <f>IF(ISBLANK('Control Entry'!J15),"",'Control Entry'!J15)</f>
        <v/>
      </c>
      <c r="G19" s="10"/>
      <c r="H19" s="35" t="s">
        <v>29</v>
      </c>
    </row>
    <row r="20" spans="1:22" ht="36" customHeight="1" thickBot="1" x14ac:dyDescent="0.25">
      <c r="A20" s="43"/>
      <c r="B20" s="44">
        <f>Control_6 Open_time</f>
        <v>44450.463888888888</v>
      </c>
      <c r="C20" s="44">
        <f>Control_6 Close_time</f>
        <v>44450.682638888888</v>
      </c>
      <c r="D20" s="45"/>
      <c r="E20" s="46" t="str">
        <f>IF(ISBLANK(Control_6 Establishment_3),"",Control_6 Establishment_3)</f>
        <v>(open Noon - 6pm)</v>
      </c>
      <c r="F20" s="46" t="str">
        <f>IF(ISBLANK('Control Entry'!K15),"",'Control Entry'!K15)</f>
        <v/>
      </c>
      <c r="G20" s="11"/>
      <c r="H20" s="35" t="s">
        <v>29</v>
      </c>
      <c r="J20" s="72" t="s">
        <v>45</v>
      </c>
      <c r="K20" s="72"/>
      <c r="L20" s="75"/>
      <c r="M20" s="75"/>
      <c r="N20" s="75"/>
      <c r="P20" s="24" t="s">
        <v>0</v>
      </c>
      <c r="Q20" s="24"/>
      <c r="S20" s="139">
        <f>'Control Entry'!B8</f>
        <v>0.29166666666666669</v>
      </c>
      <c r="T20" s="139"/>
      <c r="U20" s="139"/>
    </row>
    <row r="21" spans="1:22" ht="36" customHeight="1" x14ac:dyDescent="0.2">
      <c r="A21" s="39"/>
      <c r="B21" s="40">
        <f>Control_7 Open_time</f>
        <v>44450.541666666664</v>
      </c>
      <c r="C21" s="40">
        <f>Control_7 Close_time</f>
        <v>44450.854166666664</v>
      </c>
      <c r="D21" s="47"/>
      <c r="E21" s="42" t="str">
        <f>IF(ISBLANK(Control_7 Establishment_1),"",Control_7 Establishment_1)</f>
        <v/>
      </c>
      <c r="F21" s="42" t="str">
        <f>IF(ISBLANK('Control Entry'!I16),"",'Control Entry'!I16)</f>
        <v/>
      </c>
      <c r="G21" s="10"/>
      <c r="H21" s="35" t="s">
        <v>29</v>
      </c>
      <c r="J21" s="72"/>
      <c r="K21" s="72"/>
      <c r="L21" s="70"/>
      <c r="M21" s="70"/>
      <c r="N21" s="70"/>
      <c r="P21" s="24"/>
      <c r="Q21" s="24"/>
      <c r="R21" s="29"/>
      <c r="S21" s="76"/>
      <c r="T21" s="76"/>
      <c r="U21" s="76"/>
      <c r="V21" s="36"/>
    </row>
    <row r="22" spans="1:22" ht="36" customHeight="1" thickBot="1" x14ac:dyDescent="0.25">
      <c r="A22" s="48">
        <f>IF(ISBLANK(Distance Control_7),"",Control_7 Distance)</f>
        <v>203.8</v>
      </c>
      <c r="B22" s="49">
        <f>Control_7 Open_time</f>
        <v>44450.541666666664</v>
      </c>
      <c r="C22" s="49">
        <f>Control_7 Close_time</f>
        <v>44450.854166666664</v>
      </c>
      <c r="D22" s="50" t="str">
        <f>IF(ISBLANK(Locale Control_7),"",Locale Control_7)</f>
        <v>Oak Bay</v>
      </c>
      <c r="E22" s="42" t="str">
        <f>IF(ISBLANK(Control_7 Establishment_2),"",Control_7 Establishment_2)</f>
        <v>Penny Farthing Pub 2228 Oak Bay Avenue</v>
      </c>
      <c r="F22" s="42" t="str">
        <f>IF(ISBLANK('Control Entry'!J16),"",'Control Entry'!J16)</f>
        <v/>
      </c>
      <c r="G22" s="10"/>
      <c r="H22" s="35" t="s">
        <v>29</v>
      </c>
      <c r="J22" s="71" t="s">
        <v>46</v>
      </c>
      <c r="K22" s="71"/>
      <c r="L22" s="75"/>
      <c r="M22" s="75"/>
      <c r="N22" s="75"/>
      <c r="O22" s="25"/>
      <c r="P22" s="24" t="s">
        <v>1</v>
      </c>
      <c r="Q22" s="24"/>
      <c r="R22" s="25"/>
      <c r="S22" s="77"/>
      <c r="T22" s="77"/>
      <c r="U22" s="77"/>
    </row>
    <row r="23" spans="1:22" ht="36" customHeight="1" thickBot="1" x14ac:dyDescent="0.25">
      <c r="A23" s="43"/>
      <c r="B23" s="44">
        <f>Control_7 Open_time</f>
        <v>44450.541666666664</v>
      </c>
      <c r="C23" s="44">
        <f>Control_7 Close_time</f>
        <v>44450.854166666664</v>
      </c>
      <c r="D23" s="45"/>
      <c r="E23" s="113"/>
      <c r="F23" s="46" t="str">
        <f>IF(ISBLANK('Control Entry'!K16),"",'Control Entry'!K16)</f>
        <v/>
      </c>
      <c r="G23" s="11"/>
      <c r="H23" s="35" t="s">
        <v>29</v>
      </c>
      <c r="J23" s="71"/>
      <c r="K23" s="71"/>
      <c r="L23" s="70"/>
      <c r="M23" s="70"/>
      <c r="N23" s="70"/>
      <c r="O23" s="29"/>
      <c r="P23" s="69"/>
      <c r="Q23" s="69"/>
      <c r="R23" s="29"/>
      <c r="S23" s="29"/>
      <c r="T23" s="29"/>
      <c r="U23" s="29"/>
      <c r="V23" s="36"/>
    </row>
    <row r="24" spans="1:22" ht="36" customHeight="1" thickBot="1" x14ac:dyDescent="0.25">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2">
      <c r="A25" s="48" t="str">
        <f>IF(ISBLANK(Distance Control_8),"",Control_8 Distance)</f>
        <v/>
      </c>
      <c r="B25" s="49" t="str">
        <f>Control_8 Open_time</f>
        <v/>
      </c>
      <c r="C25" s="49" t="str">
        <f>Control_8 Close_time</f>
        <v/>
      </c>
      <c r="D25" s="50" t="str">
        <f>IF(ISBLANK(Locale Control_8),"",Locale Control_8)</f>
        <v/>
      </c>
      <c r="E25" s="42" t="str">
        <f>IF(ISBLANK(Control_8 Establishment_2),"",Control_8 Establishment_2)</f>
        <v/>
      </c>
      <c r="F25" s="42" t="str">
        <f>IF(ISBLANK('Control Entry'!J17),"",'Control Entry'!J17)</f>
        <v/>
      </c>
      <c r="G25" s="10"/>
      <c r="H25" s="35" t="s">
        <v>29</v>
      </c>
      <c r="J25" s="138" t="s">
        <v>17</v>
      </c>
      <c r="K25" s="138"/>
      <c r="L25" s="138"/>
      <c r="M25" s="138"/>
      <c r="N25" s="138"/>
      <c r="O25" s="63"/>
      <c r="P25" s="126"/>
      <c r="Q25" s="126"/>
      <c r="R25" s="63"/>
      <c r="S25" s="127"/>
      <c r="T25" s="127"/>
      <c r="U25" s="127"/>
      <c r="V25" s="127"/>
    </row>
    <row r="26" spans="1:22" ht="36" customHeight="1" thickBot="1" x14ac:dyDescent="0.25">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29</v>
      </c>
    </row>
    <row r="27" spans="1:22" ht="36" customHeight="1" x14ac:dyDescent="0.2">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29</v>
      </c>
      <c r="K27" s="136" t="s">
        <v>57</v>
      </c>
      <c r="L27" s="126"/>
      <c r="M27" s="62" t="s">
        <v>58</v>
      </c>
      <c r="N27" s="126" t="s">
        <v>50</v>
      </c>
      <c r="O27" s="126"/>
      <c r="P27" s="126" t="s">
        <v>51</v>
      </c>
      <c r="Q27" s="126"/>
      <c r="R27" s="63" t="s">
        <v>52</v>
      </c>
      <c r="S27" s="127" t="s">
        <v>53</v>
      </c>
      <c r="T27" s="127"/>
      <c r="U27" s="127" t="s">
        <v>54</v>
      </c>
      <c r="V27" s="127"/>
    </row>
    <row r="28" spans="1:22" ht="36" customHeight="1" x14ac:dyDescent="0.2">
      <c r="A28" s="48" t="str">
        <f>IF(ISBLANK(Distance Control_9),"",Control_9 Distance)</f>
        <v/>
      </c>
      <c r="B28" s="49" t="str">
        <f>Control_9 Open_time</f>
        <v/>
      </c>
      <c r="C28" s="49" t="str">
        <f>Control_9 Close_time</f>
        <v/>
      </c>
      <c r="D28" s="50" t="str">
        <f>IF(ISBLANK(Locale Control_9),"",Locale Control_9)</f>
        <v/>
      </c>
      <c r="E28" s="42" t="str">
        <f>IF(ISBLANK(Control_9 Establishment_2),"",Control_9 Establishment_2)</f>
        <v/>
      </c>
      <c r="F28" s="42" t="str">
        <f>IF(ISBLANK('Control Entry'!J18),"",'Control Entry'!J18)</f>
        <v/>
      </c>
      <c r="G28" s="10"/>
      <c r="H28" s="35" t="s">
        <v>29</v>
      </c>
    </row>
    <row r="29" spans="1:22" ht="36" customHeight="1" thickBot="1" x14ac:dyDescent="0.25">
      <c r="A29" s="43"/>
      <c r="B29" s="44" t="str">
        <f>Control_9 Open_time</f>
        <v/>
      </c>
      <c r="C29" s="44" t="str">
        <f>Control_9 Close_time</f>
        <v/>
      </c>
      <c r="D29" s="45"/>
      <c r="E29" s="46" t="str">
        <f>IF(ISBLANK(Control_9 Establishment_3),"",Control_9 Establishment_3)</f>
        <v/>
      </c>
      <c r="F29" s="46" t="str">
        <f>IF(ISBLANK('Control Entry'!K18),"",'Control Entry'!K18)</f>
        <v/>
      </c>
      <c r="G29" s="11"/>
      <c r="H29" s="35" t="s">
        <v>29</v>
      </c>
      <c r="M29" s="125" t="s">
        <v>42</v>
      </c>
      <c r="N29" s="125"/>
      <c r="O29" s="125"/>
      <c r="P29" s="125"/>
      <c r="Q29" s="125"/>
      <c r="R29" s="125"/>
      <c r="S29" s="125"/>
      <c r="T29" s="125"/>
      <c r="U29" s="67"/>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51" customHeight="1" x14ac:dyDescent="0.2">
      <c r="A33" s="134" t="s">
        <v>98</v>
      </c>
      <c r="B33" s="135"/>
      <c r="C33" s="135"/>
      <c r="D33" s="135"/>
      <c r="E33" s="135"/>
      <c r="F33" s="135"/>
      <c r="G33" s="135"/>
      <c r="H33" s="51"/>
      <c r="I33" s="51"/>
      <c r="N33" s="128"/>
      <c r="O33" s="128"/>
      <c r="P33" s="128"/>
      <c r="Q33" s="128"/>
      <c r="R33" s="128"/>
      <c r="S33" s="128"/>
      <c r="T33" s="128"/>
      <c r="U33" s="128"/>
      <c r="V33" s="61"/>
    </row>
    <row r="34" spans="1:22" ht="36" customHeight="1" x14ac:dyDescent="0.2">
      <c r="A34"/>
      <c r="O34" s="59"/>
      <c r="P34" s="59"/>
      <c r="Q34" s="59"/>
      <c r="R34" s="58"/>
    </row>
    <row r="35" spans="1:22" ht="36" customHeight="1" x14ac:dyDescent="0.2">
      <c r="A35"/>
      <c r="N35" s="125"/>
      <c r="O35" s="125"/>
      <c r="P35" s="125"/>
      <c r="Q35" s="125"/>
      <c r="R35" s="125"/>
      <c r="S35" s="125"/>
      <c r="T35" s="125"/>
      <c r="U35" s="125"/>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8"/>
      <c r="O38" s="29"/>
      <c r="P38" s="29"/>
      <c r="Q38" s="29"/>
      <c r="R38" s="29"/>
      <c r="S38" s="29"/>
      <c r="T38" s="29"/>
      <c r="U38" s="29"/>
    </row>
    <row r="39" spans="1:22" ht="36" customHeight="1" x14ac:dyDescent="0.15">
      <c r="A39"/>
    </row>
    <row r="40" spans="1:22" ht="36" customHeight="1" x14ac:dyDescent="0.15">
      <c r="A40"/>
    </row>
  </sheetData>
  <mergeCells count="25">
    <mergeCell ref="K2:U2"/>
    <mergeCell ref="L8:Q8"/>
    <mergeCell ref="A1:G1"/>
    <mergeCell ref="O3:R3"/>
    <mergeCell ref="A33:G33"/>
    <mergeCell ref="M4:T4"/>
    <mergeCell ref="P25:Q25"/>
    <mergeCell ref="S25:T25"/>
    <mergeCell ref="U25:V25"/>
    <mergeCell ref="N5:O5"/>
    <mergeCell ref="K27:L27"/>
    <mergeCell ref="J25:N25"/>
    <mergeCell ref="S20:U20"/>
    <mergeCell ref="L15:U15"/>
    <mergeCell ref="L6:U6"/>
    <mergeCell ref="T8:U8"/>
    <mergeCell ref="J6:K6"/>
    <mergeCell ref="R5:U5"/>
    <mergeCell ref="N35:U35"/>
    <mergeCell ref="M29:T29"/>
    <mergeCell ref="N27:O27"/>
    <mergeCell ref="P27:Q27"/>
    <mergeCell ref="S27:T27"/>
    <mergeCell ref="U27:V27"/>
    <mergeCell ref="N33:U33"/>
  </mergeCells>
  <phoneticPr fontId="16" type="noConversion"/>
  <pageMargins left="0.74803149606299213" right="0.74803149606299213" top="0.98425196850393704" bottom="0.98425196850393704" header="0.51181102362204722" footer="0.51181102362204722"/>
  <pageSetup scale="37"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2" t="s">
        <v>44</v>
      </c>
      <c r="B1" s="132"/>
      <c r="C1" s="132"/>
      <c r="D1" s="132"/>
      <c r="E1" s="132"/>
      <c r="F1" s="132"/>
      <c r="G1" s="132"/>
      <c r="H1" s="35" t="s">
        <v>29</v>
      </c>
    </row>
    <row r="2" spans="1:22" ht="33.75" customHeight="1" thickBot="1" x14ac:dyDescent="0.25">
      <c r="A2" s="94" t="s">
        <v>30</v>
      </c>
      <c r="B2" s="9" t="s">
        <v>3</v>
      </c>
      <c r="C2" s="9" t="s">
        <v>4</v>
      </c>
      <c r="D2" s="9" t="s">
        <v>25</v>
      </c>
      <c r="E2" s="9" t="s">
        <v>31</v>
      </c>
      <c r="F2" s="9" t="s">
        <v>60</v>
      </c>
      <c r="G2" s="94" t="s">
        <v>32</v>
      </c>
      <c r="H2" s="35" t="s">
        <v>29</v>
      </c>
      <c r="K2" s="130" t="s">
        <v>56</v>
      </c>
      <c r="L2" s="130"/>
      <c r="M2" s="130"/>
      <c r="N2" s="130"/>
      <c r="O2" s="130"/>
      <c r="P2" s="130"/>
      <c r="Q2" s="130"/>
      <c r="R2" s="130"/>
      <c r="S2" s="130"/>
      <c r="T2" s="130"/>
      <c r="U2" s="130"/>
    </row>
    <row r="3" spans="1:22" ht="36" customHeight="1" x14ac:dyDescent="0.45">
      <c r="A3" s="39"/>
      <c r="B3" s="40" t="str">
        <f>'Control Entry'!N23</f>
        <v/>
      </c>
      <c r="C3" s="40" t="str">
        <f>'Control Entry'!O23</f>
        <v/>
      </c>
      <c r="D3" s="41"/>
      <c r="E3" s="42" t="str">
        <f>IF(ISBLANK('Control Entry'!F23),"",'Control Entry'!F23)</f>
        <v/>
      </c>
      <c r="F3" s="42" t="str">
        <f>IF(ISBLANK('Control Entry'!I23),"",'Control Entry'!I23)</f>
        <v/>
      </c>
      <c r="G3" s="10"/>
      <c r="H3" s="35" t="s">
        <v>29</v>
      </c>
      <c r="K3" s="16"/>
      <c r="N3" s="133" t="s">
        <v>62</v>
      </c>
      <c r="O3" s="133"/>
      <c r="P3" s="133"/>
      <c r="Q3" s="133"/>
      <c r="R3" s="133"/>
      <c r="S3" s="133"/>
      <c r="T3" s="52"/>
      <c r="U3" s="52"/>
    </row>
    <row r="4" spans="1:22" ht="36" customHeight="1" x14ac:dyDescent="0.2">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29</v>
      </c>
      <c r="K4" s="16"/>
      <c r="M4" s="136" t="str">
        <f>IF(ISBLANK(brevet),"",brevet&amp;" km Randonnée")</f>
        <v>200 km Randonnée</v>
      </c>
      <c r="N4" s="136"/>
      <c r="O4" s="136"/>
      <c r="P4" s="136"/>
      <c r="Q4" s="136"/>
      <c r="R4" s="136"/>
      <c r="S4" s="136"/>
      <c r="T4" s="136"/>
      <c r="U4" s="53"/>
    </row>
    <row r="5" spans="1:22" ht="36" customHeight="1" thickBot="1" x14ac:dyDescent="0.25">
      <c r="A5" s="43"/>
      <c r="B5" s="44" t="str">
        <f>'Control Entry'!N23</f>
        <v/>
      </c>
      <c r="C5" s="44" t="str">
        <f>'Control Entry'!O23</f>
        <v/>
      </c>
      <c r="D5" s="45"/>
      <c r="E5" s="46" t="str">
        <f>IF(ISBLANK('Control Entry'!H23),"",'Control Entry'!H23)</f>
        <v/>
      </c>
      <c r="F5" s="46" t="str">
        <f>IF(ISBLANK('Control Entry'!K23),"",'Control Entry'!K23)</f>
        <v/>
      </c>
      <c r="G5" s="11"/>
      <c r="H5" s="35" t="s">
        <v>29</v>
      </c>
      <c r="K5" s="16"/>
      <c r="M5" s="17"/>
      <c r="N5" s="137" t="s">
        <v>48</v>
      </c>
      <c r="O5" s="137"/>
      <c r="P5" s="80">
        <f>IF(ISBLANK(Brevet_Number),"",Brevet_Number)</f>
        <v>5103</v>
      </c>
      <c r="Q5" s="81"/>
      <c r="R5" s="124">
        <f>IF(ISBLANK('Control Entry'!$B5),"",'Control Entry'!$B5)</f>
        <v>44450</v>
      </c>
      <c r="S5" s="124"/>
      <c r="T5" s="124"/>
      <c r="U5" s="124"/>
      <c r="V5" s="54"/>
    </row>
    <row r="6" spans="1:22" ht="36" customHeight="1" x14ac:dyDescent="0.2">
      <c r="A6" s="39"/>
      <c r="B6" s="40" t="str">
        <f>'Control Entry'!N24</f>
        <v/>
      </c>
      <c r="C6" s="40" t="str">
        <f>'Control Entry'!O24</f>
        <v/>
      </c>
      <c r="D6" s="47"/>
      <c r="E6" s="42" t="str">
        <f>IF(ISBLANK('Control Entry'!F24),"",'Control Entry'!F24)</f>
        <v/>
      </c>
      <c r="F6" s="42" t="str">
        <f>IF(ISBLANK('Control Entry'!I24),"",'Control Entry'!I24)</f>
        <v/>
      </c>
      <c r="G6" s="10"/>
      <c r="H6" s="35" t="s">
        <v>29</v>
      </c>
      <c r="K6" s="16"/>
      <c r="L6" s="141" t="str">
        <f>IF(ISBLANK(Brevet_Description),"",Brevet_Description)</f>
        <v>VI ACP Centennial 200: Explor-a-toria</v>
      </c>
      <c r="M6" s="141"/>
      <c r="N6" s="141"/>
      <c r="O6" s="141"/>
      <c r="P6" s="141"/>
      <c r="Q6" s="141"/>
      <c r="R6" s="141"/>
      <c r="S6" s="141"/>
      <c r="T6" s="141"/>
      <c r="U6" s="141"/>
    </row>
    <row r="7" spans="1:22" ht="36" customHeight="1" x14ac:dyDescent="0.2">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29</v>
      </c>
    </row>
    <row r="8" spans="1:22" ht="36" customHeight="1" thickBot="1" x14ac:dyDescent="0.25">
      <c r="A8" s="43"/>
      <c r="B8" s="44" t="str">
        <f>'Control Entry'!N24</f>
        <v/>
      </c>
      <c r="C8" s="44" t="str">
        <f>'Control Entry'!O24</f>
        <v/>
      </c>
      <c r="D8" s="45"/>
      <c r="E8" s="46" t="str">
        <f>IF(ISBLANK('Control Entry'!H24),"",'Control Entry'!H24)</f>
        <v/>
      </c>
      <c r="F8" s="46" t="str">
        <f>IF(ISBLANK('Control Entry'!K24),"",'Control Entry'!K24)</f>
        <v/>
      </c>
      <c r="G8" s="11"/>
      <c r="H8" s="35" t="s">
        <v>29</v>
      </c>
      <c r="J8" s="17" t="s">
        <v>34</v>
      </c>
      <c r="L8" s="131" t="str">
        <f>IF(ISBLANK('Control Card #1'!L8:Q8),"",'Control Card #1'!L8:Q8)</f>
        <v/>
      </c>
      <c r="M8" s="131"/>
      <c r="N8" s="131"/>
      <c r="O8" s="131"/>
      <c r="P8" s="131"/>
      <c r="Q8" s="131"/>
      <c r="R8" s="36"/>
      <c r="S8" s="55" t="s">
        <v>47</v>
      </c>
      <c r="T8" s="145" t="str">
        <f>IF(ISBLANK('Control Card #1'!T8:U8),"",'Control Card #1'!T8:U8)</f>
        <v/>
      </c>
      <c r="U8" s="145"/>
    </row>
    <row r="9" spans="1:22" ht="36" customHeight="1" x14ac:dyDescent="0.2">
      <c r="A9" s="39"/>
      <c r="B9" s="40" t="str">
        <f>'Control Entry'!N25</f>
        <v/>
      </c>
      <c r="C9" s="40" t="str">
        <f>'Control Entry'!O25</f>
        <v/>
      </c>
      <c r="D9" s="47"/>
      <c r="E9" s="42" t="str">
        <f>IF(ISBLANK('Control Entry'!F25),"",'Control Entry'!F25)</f>
        <v/>
      </c>
      <c r="F9" s="42" t="str">
        <f>IF(ISBLANK('Control Entry'!I25),"",'Control Entry'!I25)</f>
        <v/>
      </c>
      <c r="G9" s="10"/>
      <c r="H9" s="35" t="s">
        <v>29</v>
      </c>
    </row>
    <row r="10" spans="1:22" ht="36" customHeight="1" x14ac:dyDescent="0.2">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29</v>
      </c>
    </row>
    <row r="11" spans="1:22" ht="36" customHeight="1" thickBot="1" x14ac:dyDescent="0.25">
      <c r="A11" s="43"/>
      <c r="B11" s="44" t="str">
        <f>'Control Entry'!N25</f>
        <v/>
      </c>
      <c r="C11" s="44" t="str">
        <f>'Control Entry'!O25</f>
        <v/>
      </c>
      <c r="D11" s="45"/>
      <c r="E11" s="46" t="str">
        <f>IF(ISBLANK('Control Entry'!H25),"",'Control Entry'!H25)</f>
        <v/>
      </c>
      <c r="F11" s="46" t="str">
        <f>IF(ISBLANK('Control Entry'!K25),"",'Control Entry'!K25)</f>
        <v/>
      </c>
      <c r="G11" s="11"/>
      <c r="H11" s="35" t="s">
        <v>29</v>
      </c>
    </row>
    <row r="12" spans="1:22" ht="36" customHeight="1" x14ac:dyDescent="0.2">
      <c r="A12" s="39"/>
      <c r="B12" s="40" t="str">
        <f>'Control Entry'!N26</f>
        <v/>
      </c>
      <c r="C12" s="40" t="str">
        <f>'Control Entry'!O26</f>
        <v/>
      </c>
      <c r="D12" s="47"/>
      <c r="E12" s="42" t="str">
        <f>IF(ISBLANK('Control Entry'!F26),"",'Control Entry'!F26)</f>
        <v/>
      </c>
      <c r="F12" s="42" t="str">
        <f>IF(ISBLANK('Control Entry'!I26),"",'Control Entry'!I26)</f>
        <v/>
      </c>
      <c r="G12" s="10"/>
      <c r="H12" s="35" t="s">
        <v>29</v>
      </c>
    </row>
    <row r="13" spans="1:22" ht="36" customHeight="1" x14ac:dyDescent="0.2">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29</v>
      </c>
    </row>
    <row r="14" spans="1:22" ht="36" customHeight="1" thickBot="1" x14ac:dyDescent="0.25">
      <c r="A14" s="43"/>
      <c r="B14" s="44" t="str">
        <f>'Control Entry'!N26</f>
        <v/>
      </c>
      <c r="C14" s="44" t="str">
        <f>'Control Entry'!O26</f>
        <v/>
      </c>
      <c r="D14" s="45"/>
      <c r="E14" s="46" t="str">
        <f>IF(ISBLANK('Control Entry'!H26),"",'Control Entry'!H26)</f>
        <v/>
      </c>
      <c r="F14" s="46" t="str">
        <f>IF(ISBLANK('Control Entry'!K26),"",'Control Entry'!K26)</f>
        <v/>
      </c>
      <c r="G14" s="11"/>
      <c r="H14" s="35" t="s">
        <v>29</v>
      </c>
    </row>
    <row r="15" spans="1:22" ht="36" customHeight="1" x14ac:dyDescent="0.2">
      <c r="A15" s="39"/>
      <c r="B15" s="40" t="str">
        <f>'Control Entry'!N27</f>
        <v/>
      </c>
      <c r="C15" s="40" t="str">
        <f>'Control Entry'!O27</f>
        <v/>
      </c>
      <c r="D15" s="47"/>
      <c r="E15" s="42" t="str">
        <f>IF(ISBLANK('Control Entry'!F27),"",'Control Entry'!F27)</f>
        <v/>
      </c>
      <c r="F15" s="42" t="str">
        <f>IF(ISBLANK('Control Entry'!I27),"",'Control Entry'!I27)</f>
        <v/>
      </c>
      <c r="G15" s="10"/>
      <c r="H15" s="35" t="s">
        <v>29</v>
      </c>
    </row>
    <row r="16" spans="1:22" ht="36" customHeight="1" x14ac:dyDescent="0.2">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29</v>
      </c>
    </row>
    <row r="17" spans="1:21" ht="36" customHeight="1" thickBot="1" x14ac:dyDescent="0.25">
      <c r="A17" s="43"/>
      <c r="B17" s="44" t="str">
        <f>'Control Entry'!N27</f>
        <v/>
      </c>
      <c r="C17" s="44" t="str">
        <f>'Control Entry'!O27</f>
        <v/>
      </c>
      <c r="D17" s="45"/>
      <c r="E17" s="46" t="str">
        <f>IF(ISBLANK('Control Entry'!H27),"",'Control Entry'!H27)</f>
        <v/>
      </c>
      <c r="F17" s="46" t="str">
        <f>IF(ISBLANK('Control Entry'!K27),"",'Control Entry'!K27)</f>
        <v/>
      </c>
      <c r="G17" s="11"/>
      <c r="H17" s="35" t="s">
        <v>29</v>
      </c>
    </row>
    <row r="18" spans="1:21" ht="36" customHeight="1" thickBot="1" x14ac:dyDescent="0.25">
      <c r="A18" s="39"/>
      <c r="B18" s="40" t="str">
        <f>'Control Entry'!N28</f>
        <v/>
      </c>
      <c r="C18" s="40" t="str">
        <f>'Control Entry'!O28</f>
        <v/>
      </c>
      <c r="D18" s="47"/>
      <c r="E18" s="42" t="str">
        <f>IF(ISBLANK('Control Entry'!F28),"",'Control Entry'!F28)</f>
        <v/>
      </c>
      <c r="F18" s="42" t="str">
        <f>IF(ISBLANK('Control Entry'!I28),"",'Control Entry'!I28)</f>
        <v/>
      </c>
      <c r="G18" s="10"/>
      <c r="H18" s="35" t="s">
        <v>29</v>
      </c>
      <c r="N18" s="144"/>
      <c r="O18" s="144"/>
      <c r="P18" s="144"/>
      <c r="Q18" s="144"/>
      <c r="R18" s="144"/>
      <c r="S18" s="144"/>
    </row>
    <row r="19" spans="1:21" ht="36" customHeight="1" x14ac:dyDescent="0.2">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29</v>
      </c>
      <c r="N19" s="138" t="s">
        <v>17</v>
      </c>
      <c r="O19" s="138"/>
      <c r="P19" s="138"/>
      <c r="Q19" s="138"/>
      <c r="R19" s="138"/>
      <c r="S19" s="138"/>
    </row>
    <row r="20" spans="1:21" ht="36" customHeight="1" thickBot="1" x14ac:dyDescent="0.25">
      <c r="A20" s="43"/>
      <c r="B20" s="44" t="str">
        <f>'Control Entry'!N28</f>
        <v/>
      </c>
      <c r="C20" s="44" t="str">
        <f>'Control Entry'!O28</f>
        <v/>
      </c>
      <c r="D20" s="45"/>
      <c r="E20" s="46" t="str">
        <f>IF(ISBLANK('Control Entry'!H28),"",'Control Entry'!H28)</f>
        <v/>
      </c>
      <c r="F20" s="46" t="str">
        <f>IF(ISBLANK('Control Entry'!K28),"",'Control Entry'!K28)</f>
        <v/>
      </c>
      <c r="G20" s="11"/>
      <c r="H20" s="35" t="s">
        <v>29</v>
      </c>
    </row>
    <row r="21" spans="1:21" ht="36" customHeight="1" x14ac:dyDescent="0.2">
      <c r="A21" s="39"/>
      <c r="B21" s="40" t="str">
        <f>'Control Entry'!N29</f>
        <v/>
      </c>
      <c r="C21" s="40" t="str">
        <f>'Control Entry'!O29</f>
        <v/>
      </c>
      <c r="D21" s="47"/>
      <c r="E21" s="42" t="str">
        <f>IF(ISBLANK('Control Entry'!F29),"",'Control Entry'!F29)</f>
        <v/>
      </c>
      <c r="F21" s="42" t="str">
        <f>IF(ISBLANK('Control Entry'!I29),"",'Control Entry'!I29)</f>
        <v/>
      </c>
      <c r="G21" s="10"/>
      <c r="H21" s="35" t="s">
        <v>29</v>
      </c>
      <c r="L21" s="143" t="s">
        <v>63</v>
      </c>
      <c r="M21" s="143"/>
      <c r="N21" s="143"/>
      <c r="O21" s="143"/>
      <c r="P21" s="143"/>
      <c r="Q21" s="143"/>
      <c r="R21" s="143"/>
      <c r="S21" s="143"/>
      <c r="T21" s="143"/>
      <c r="U21" s="143"/>
    </row>
    <row r="22" spans="1:21" ht="36" customHeight="1" x14ac:dyDescent="0.2">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29</v>
      </c>
    </row>
    <row r="23" spans="1:21" ht="36" customHeight="1" thickBot="1" x14ac:dyDescent="0.25">
      <c r="A23" s="43"/>
      <c r="B23" s="44" t="str">
        <f>'Control Entry'!N29</f>
        <v/>
      </c>
      <c r="C23" s="44" t="str">
        <f>'Control Entry'!O29</f>
        <v/>
      </c>
      <c r="D23" s="45"/>
      <c r="E23" s="46" t="str">
        <f>IF(ISBLANK('Control Entry'!H29),"",'Control Entry'!H29)</f>
        <v/>
      </c>
      <c r="F23" s="46" t="str">
        <f>IF(ISBLANK('Control Entry'!K29),"",'Control Entry'!K29)</f>
        <v/>
      </c>
      <c r="G23" s="11"/>
      <c r="H23" s="35" t="s">
        <v>29</v>
      </c>
    </row>
    <row r="24" spans="1:21" ht="36" customHeight="1" x14ac:dyDescent="0.2">
      <c r="A24" s="39"/>
      <c r="B24" s="40" t="str">
        <f>'Control Entry'!N30</f>
        <v/>
      </c>
      <c r="C24" s="40" t="str">
        <f>'Control Entry'!O30</f>
        <v/>
      </c>
      <c r="D24" s="47"/>
      <c r="E24" s="42" t="str">
        <f>IF(ISBLANK('Control Entry'!F30),"",'Control Entry'!F30)</f>
        <v/>
      </c>
      <c r="F24" s="42" t="str">
        <f>IF(ISBLANK('Control Entry'!I30),"",'Control Entry'!I30)</f>
        <v/>
      </c>
      <c r="G24" s="10"/>
      <c r="H24" s="35" t="s">
        <v>29</v>
      </c>
    </row>
    <row r="25" spans="1:21" ht="36" customHeight="1" x14ac:dyDescent="0.2">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29</v>
      </c>
    </row>
    <row r="26" spans="1:21" ht="36" customHeight="1" thickBot="1" x14ac:dyDescent="0.25">
      <c r="A26" s="43"/>
      <c r="B26" s="44" t="str">
        <f>'Control Entry'!N30</f>
        <v/>
      </c>
      <c r="C26" s="44" t="str">
        <f>'Control Entry'!O30</f>
        <v/>
      </c>
      <c r="D26" s="45"/>
      <c r="E26" s="46" t="str">
        <f>IF(ISBLANK('Control Entry'!H30),"",'Control Entry'!H30)</f>
        <v/>
      </c>
      <c r="F26" s="46" t="str">
        <f>IF(ISBLANK('Control Entry'!K30),"",'Control Entry'!K30)</f>
        <v/>
      </c>
      <c r="G26" s="11"/>
      <c r="H26" s="35" t="s">
        <v>29</v>
      </c>
    </row>
    <row r="27" spans="1:21" ht="36" customHeight="1" x14ac:dyDescent="0.2">
      <c r="A27" s="39"/>
      <c r="B27" s="40" t="str">
        <f>'Control Entry'!N31</f>
        <v/>
      </c>
      <c r="C27" s="40" t="str">
        <f>'Control Entry'!O31</f>
        <v/>
      </c>
      <c r="D27" s="47"/>
      <c r="E27" s="42" t="str">
        <f>IF(ISBLANK('Control Entry'!F31),"",'Control Entry'!F31)</f>
        <v/>
      </c>
      <c r="F27" s="42" t="str">
        <f>IF(ISBLANK('Control Entry'!I31),"",'Control Entry'!I31)</f>
        <v/>
      </c>
      <c r="G27" s="10"/>
      <c r="H27" s="35" t="s">
        <v>29</v>
      </c>
    </row>
    <row r="28" spans="1:21" ht="36" customHeight="1" x14ac:dyDescent="0.2">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1" ht="36" customHeight="1" thickBot="1" x14ac:dyDescent="0.25">
      <c r="A29" s="43"/>
      <c r="B29" s="44" t="str">
        <f>'Control Entry'!N31</f>
        <v/>
      </c>
      <c r="C29" s="44" t="str">
        <f>'Control Entry'!O31</f>
        <v/>
      </c>
      <c r="D29" s="45"/>
      <c r="E29" s="46" t="str">
        <f>IF(ISBLANK('Control Entry'!H31),"",'Control Entry'!H31)</f>
        <v/>
      </c>
      <c r="F29" s="46" t="str">
        <f>IF(ISBLANK('Control Entry'!K31),"",'Control Entry'!K31)</f>
        <v/>
      </c>
      <c r="G29" s="11"/>
      <c r="H29" s="35" t="s">
        <v>29</v>
      </c>
      <c r="M29" s="125" t="s">
        <v>42</v>
      </c>
      <c r="N29" s="125"/>
      <c r="O29" s="125"/>
      <c r="P29" s="125"/>
      <c r="Q29" s="125"/>
      <c r="R29" s="125"/>
      <c r="S29" s="125"/>
      <c r="T29" s="125"/>
      <c r="U29" s="67"/>
    </row>
    <row r="30" spans="1:21"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1"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1"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35" t="s">
        <v>43</v>
      </c>
      <c r="B33" s="135"/>
      <c r="C33" s="135"/>
      <c r="D33" s="135"/>
      <c r="E33" s="135"/>
      <c r="F33" s="135"/>
      <c r="G33" s="135"/>
      <c r="H33" s="51"/>
      <c r="I33" s="51"/>
      <c r="N33" s="128"/>
      <c r="O33" s="128"/>
      <c r="P33" s="128"/>
      <c r="Q33" s="128"/>
      <c r="R33" s="128"/>
      <c r="S33" s="128"/>
      <c r="T33" s="128"/>
      <c r="U33" s="128"/>
      <c r="V33" s="70"/>
    </row>
    <row r="34" spans="1:22" ht="36" customHeight="1" x14ac:dyDescent="0.2">
      <c r="A34"/>
      <c r="O34" s="59"/>
      <c r="P34" s="59"/>
      <c r="Q34" s="59"/>
      <c r="R34" s="58"/>
    </row>
    <row r="35" spans="1:22" ht="36" customHeight="1" x14ac:dyDescent="0.2">
      <c r="A35"/>
      <c r="N35" s="125"/>
      <c r="O35" s="125"/>
      <c r="P35" s="125"/>
      <c r="Q35" s="125"/>
      <c r="R35" s="125"/>
      <c r="S35" s="125"/>
      <c r="T35" s="125"/>
      <c r="U35" s="125"/>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8"/>
      <c r="O38" s="29"/>
      <c r="P38" s="29"/>
      <c r="Q38" s="29"/>
      <c r="R38" s="29"/>
      <c r="S38" s="29"/>
      <c r="T38" s="29"/>
      <c r="U38" s="29"/>
    </row>
    <row r="39" spans="1:22" ht="36" customHeight="1" x14ac:dyDescent="0.15">
      <c r="A39"/>
    </row>
    <row r="40" spans="1:22" ht="36" customHeight="1" x14ac:dyDescent="0.15">
      <c r="A40"/>
    </row>
  </sheetData>
  <mergeCells count="16">
    <mergeCell ref="L6:U6"/>
    <mergeCell ref="T8:U8"/>
    <mergeCell ref="A1:G1"/>
    <mergeCell ref="K2:U2"/>
    <mergeCell ref="N3:S3"/>
    <mergeCell ref="M4:T4"/>
    <mergeCell ref="N5:O5"/>
    <mergeCell ref="R5:U5"/>
    <mergeCell ref="A33:G33"/>
    <mergeCell ref="N33:U33"/>
    <mergeCell ref="N35:U35"/>
    <mergeCell ref="L21:U21"/>
    <mergeCell ref="L8:Q8"/>
    <mergeCell ref="M29:T29"/>
    <mergeCell ref="N18:S18"/>
    <mergeCell ref="N19:S19"/>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29</vt:i4>
      </vt:variant>
    </vt:vector>
  </HeadingPairs>
  <TitlesOfParts>
    <vt:vector size="32"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#1'!Print_Area</vt:lpstr>
      <vt:lpstr>'Control Card #1'!Print_Titles</vt:lpstr>
      <vt:lpstr>'Control Card #2'!Print_Titles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Holland Gidney</cp:lastModifiedBy>
  <cp:lastPrinted>2021-09-10T20:55:46Z</cp:lastPrinted>
  <dcterms:created xsi:type="dcterms:W3CDTF">1997-11-12T04:43:39Z</dcterms:created>
  <dcterms:modified xsi:type="dcterms:W3CDTF">2021-09-12T16:51:53Z</dcterms:modified>
</cp:coreProperties>
</file>