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08"/>
  <workbookPr showInkAnnotation="0" autoCompressPictures="0"/>
  <mc:AlternateContent xmlns:mc="http://schemas.openxmlformats.org/markup-compatibility/2006">
    <mc:Choice Requires="x15">
      <x15ac:absPath xmlns:x15ac="http://schemas.microsoft.com/office/spreadsheetml/2010/11/ac" url="/Users/ehossack/Sync/Cycling/Randonneur/Events/LM600-2 BAPAPAB/"/>
    </mc:Choice>
  </mc:AlternateContent>
  <xr:revisionPtr revIDLastSave="0" documentId="13_ncr:1_{A89A2DED-C11B-304A-A421-63B2C45FFA51}" xr6:coauthVersionLast="47" xr6:coauthVersionMax="47" xr10:uidLastSave="{00000000-0000-0000-0000-000000000000}"/>
  <bookViews>
    <workbookView xWindow="13420" yWindow="500" windowWidth="38680" windowHeight="25680" tabRatio="509" activeTab="1" xr2:uid="{00000000-000D-0000-FFFF-FFFF00000000}"/>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2" l="1"/>
  <c r="M23" i="1"/>
  <c r="E7" i="3"/>
  <c r="E8" i="3"/>
  <c r="E5" i="3"/>
  <c r="F5" i="2"/>
  <c r="T8" i="3"/>
  <c r="L8" i="3"/>
  <c r="S3"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c r="B3" i="2" s="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L24" i="1"/>
  <c r="M24" i="1"/>
  <c r="L25" i="1"/>
  <c r="M25" i="1"/>
  <c r="L26" i="1"/>
  <c r="M26" i="1"/>
  <c r="L27" i="1"/>
  <c r="M27" i="1"/>
  <c r="L28" i="1"/>
  <c r="M28" i="1"/>
  <c r="L29" i="1"/>
  <c r="M29" i="1"/>
  <c r="L30" i="1"/>
  <c r="M30" i="1"/>
  <c r="L31" i="1"/>
  <c r="M31" i="1"/>
  <c r="L32" i="1"/>
  <c r="M32" i="1"/>
  <c r="L23" i="1"/>
  <c r="C1" i="1"/>
  <c r="M4" i="3" s="1"/>
  <c r="E4" i="3"/>
  <c r="E3" i="3"/>
  <c r="D31" i="3"/>
  <c r="D28" i="3"/>
  <c r="D25" i="3"/>
  <c r="D22" i="3"/>
  <c r="D19" i="3"/>
  <c r="D16" i="3"/>
  <c r="D13" i="3"/>
  <c r="D10" i="3"/>
  <c r="D7" i="3"/>
  <c r="D4" i="3"/>
  <c r="A31" i="3"/>
  <c r="A28" i="3"/>
  <c r="A25" i="3"/>
  <c r="A22" i="3"/>
  <c r="A19" i="3"/>
  <c r="A16" i="3"/>
  <c r="A13" i="3"/>
  <c r="A10" i="3"/>
  <c r="A7" i="3"/>
  <c r="A4" i="3"/>
  <c r="M19" i="1"/>
  <c r="L19" i="1"/>
  <c r="M18" i="1"/>
  <c r="L18" i="1"/>
  <c r="M17" i="1"/>
  <c r="L17" i="1"/>
  <c r="M16" i="1"/>
  <c r="L16" i="1"/>
  <c r="M15" i="1"/>
  <c r="L15" i="1"/>
  <c r="M14" i="1"/>
  <c r="L14" i="1"/>
  <c r="M13" i="1"/>
  <c r="L13" i="1"/>
  <c r="M12" i="1"/>
  <c r="L12" i="1"/>
  <c r="M11" i="1"/>
  <c r="L11" i="1"/>
  <c r="L6" i="3"/>
  <c r="R5" i="3"/>
  <c r="P5"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8" i="2"/>
  <c r="E7" i="2"/>
  <c r="E6" i="2"/>
  <c r="E5" i="2"/>
  <c r="E4" i="2"/>
  <c r="E3" i="2"/>
  <c r="D25" i="2"/>
  <c r="D28" i="2"/>
  <c r="D31" i="2"/>
  <c r="A31" i="2"/>
  <c r="A4" i="2"/>
  <c r="D19" i="2"/>
  <c r="D16" i="2"/>
  <c r="D13" i="2"/>
  <c r="D10" i="2"/>
  <c r="D7" i="2"/>
  <c r="D4" i="2"/>
  <c r="D22" i="2"/>
  <c r="A28" i="2"/>
  <c r="A25" i="2"/>
  <c r="A22" i="2"/>
  <c r="A19" i="2"/>
  <c r="A10" i="2"/>
  <c r="A16" i="2"/>
  <c r="A13" i="2"/>
  <c r="O23" i="1"/>
  <c r="C3" i="3" s="1"/>
  <c r="N31" i="1"/>
  <c r="B29" i="3" s="1"/>
  <c r="N29" i="1"/>
  <c r="B23" i="3" s="1"/>
  <c r="N27" i="1"/>
  <c r="B17" i="3" s="1"/>
  <c r="N25" i="1"/>
  <c r="B9" i="3" s="1"/>
  <c r="O32" i="1"/>
  <c r="C30" i="3" s="1"/>
  <c r="O30" i="1"/>
  <c r="C24" i="3" s="1"/>
  <c r="O28" i="1"/>
  <c r="C19" i="3" s="1"/>
  <c r="O26" i="1"/>
  <c r="C13" i="3" s="1"/>
  <c r="O24" i="1"/>
  <c r="C6" i="3" s="1"/>
  <c r="N32" i="1"/>
  <c r="B30" i="3" s="1"/>
  <c r="N28" i="1"/>
  <c r="B20" i="3" s="1"/>
  <c r="N24" i="1"/>
  <c r="B8" i="3" s="1"/>
  <c r="N26" i="1"/>
  <c r="B14" i="3" s="1"/>
  <c r="N23" i="1"/>
  <c r="B5" i="3" s="1"/>
  <c r="O31" i="1"/>
  <c r="C27" i="3" s="1"/>
  <c r="O29" i="1"/>
  <c r="C21" i="3" s="1"/>
  <c r="O27" i="1"/>
  <c r="C15" i="3" s="1"/>
  <c r="O25" i="1"/>
  <c r="C9" i="3" s="1"/>
  <c r="N30" i="1"/>
  <c r="B25" i="3" s="1"/>
  <c r="O19" i="1"/>
  <c r="C32" i="2" s="1"/>
  <c r="N18" i="1"/>
  <c r="B27" i="2" s="1"/>
  <c r="M10" i="1"/>
  <c r="O10" i="1" s="1"/>
  <c r="M4" i="2"/>
  <c r="B2" i="1"/>
  <c r="C5" i="3" l="1"/>
  <c r="B4" i="3"/>
  <c r="C25" i="3"/>
  <c r="O11" i="1"/>
  <c r="C8" i="2" s="1"/>
  <c r="O15" i="1"/>
  <c r="C20" i="2" s="1"/>
  <c r="O12" i="1"/>
  <c r="C11" i="2" s="1"/>
  <c r="N16" i="1"/>
  <c r="B23" i="2" s="1"/>
  <c r="N15" i="1"/>
  <c r="B19" i="2" s="1"/>
  <c r="O16" i="1"/>
  <c r="C21" i="2" s="1"/>
  <c r="O17" i="1"/>
  <c r="C24" i="2" s="1"/>
  <c r="N17" i="1"/>
  <c r="B24" i="2" s="1"/>
  <c r="O13" i="1"/>
  <c r="C14" i="2" s="1"/>
  <c r="N13" i="1"/>
  <c r="B13" i="2" s="1"/>
  <c r="O18" i="1"/>
  <c r="C27" i="2" s="1"/>
  <c r="C32" i="3"/>
  <c r="N19" i="1"/>
  <c r="B31" i="2" s="1"/>
  <c r="C26" i="3"/>
  <c r="B10" i="3"/>
  <c r="B6" i="3"/>
  <c r="B7" i="3"/>
  <c r="O14" i="1"/>
  <c r="C15" i="2" s="1"/>
  <c r="C14" i="3"/>
  <c r="N14" i="1"/>
  <c r="B15" i="2" s="1"/>
  <c r="C4" i="3"/>
  <c r="N11" i="1"/>
  <c r="B8" i="2" s="1"/>
  <c r="N12" i="1"/>
  <c r="B9" i="2" s="1"/>
  <c r="B16" i="3"/>
  <c r="B15" i="3"/>
  <c r="B24" i="3"/>
  <c r="B18" i="3"/>
  <c r="C30" i="2"/>
  <c r="B19" i="3"/>
  <c r="C31" i="3"/>
  <c r="C12" i="3"/>
  <c r="B5" i="2"/>
  <c r="B4" i="2"/>
  <c r="C22" i="3"/>
  <c r="C7" i="3"/>
  <c r="B28" i="3"/>
  <c r="C23" i="3"/>
  <c r="C8" i="3"/>
  <c r="B12" i="3"/>
  <c r="B29" i="2"/>
  <c r="C31" i="2"/>
  <c r="C28" i="3"/>
  <c r="C29" i="3"/>
  <c r="B3" i="3"/>
  <c r="B28" i="2"/>
  <c r="B13" i="3"/>
  <c r="B22" i="3"/>
  <c r="C20" i="3"/>
  <c r="B32" i="3"/>
  <c r="B21" i="3"/>
  <c r="B11" i="3"/>
  <c r="C10" i="3"/>
  <c r="C17" i="3"/>
  <c r="C16" i="3"/>
  <c r="C11" i="3"/>
  <c r="B27" i="3"/>
  <c r="C3" i="2"/>
  <c r="C4" i="2"/>
  <c r="C5" i="2"/>
  <c r="B31" i="3"/>
  <c r="B26" i="3"/>
  <c r="C18" i="3"/>
  <c r="C6" i="2" l="1"/>
  <c r="C18" i="2"/>
  <c r="C28" i="2"/>
  <c r="C10" i="2"/>
  <c r="C29" i="2"/>
  <c r="C19" i="2"/>
  <c r="B20" i="2"/>
  <c r="B21" i="2"/>
  <c r="C9" i="2"/>
  <c r="C7" i="2"/>
  <c r="C23" i="2"/>
  <c r="C22" i="2"/>
  <c r="C26" i="2"/>
  <c r="C25" i="2"/>
  <c r="B22" i="2"/>
  <c r="B25" i="2"/>
  <c r="B14" i="2"/>
  <c r="B12" i="2"/>
  <c r="B18" i="2"/>
  <c r="B26" i="2"/>
  <c r="C12" i="2"/>
  <c r="C13" i="2"/>
  <c r="B32" i="2"/>
  <c r="B30" i="2"/>
  <c r="B10" i="2"/>
  <c r="C17" i="2"/>
  <c r="B11" i="2"/>
  <c r="B6" i="2"/>
  <c r="B17" i="2"/>
  <c r="B7" i="2"/>
  <c r="B16" i="2"/>
  <c r="C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<sst xmlns="http://schemas.openxmlformats.org/spreadsheetml/2006/main" count="215" uniqueCount="118">
  <si>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</si>
  <si>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</si>
  <si>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</si>
  <si>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</si>
  <si>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</si>
  <si>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</si>
  <si>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</si>
  <si>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</si>
  <si>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</si>
  <si>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</si>
  <si>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</si>
  <si>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</si>
  <si>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</si>
  <si>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</si>
  <si>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</si>
  <si>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</si>
  <si>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</si>
  <si>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</si>
  <si>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</si>
  <si>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</si>
  <si>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</si>
  <si>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</si>
  <si>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</si>
  <si>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</si>
  <si>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</si>
  <si>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</si>
  <si>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</si>
  <si>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</si>
  <si>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</si>
  <si>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</si>
  <si>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</si>
  <si>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</si>
  <si>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</si>
  <si>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</si>
  <si>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</si>
  <si>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</si>
  <si>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</si>
  <si>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</si>
  <si>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</si>
  <si>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</si>
  <si>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</si>
  <si>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</si>
  <si>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</si>
  <si>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</si>
  <si>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</si>
  <si>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</si>
  <si>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</si>
  <si>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</si>
  <si>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</si>
  <si>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</si>
  <si>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</si>
  <si>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</si>
  <si>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</si>
  <si>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</si>
  <si>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</si>
  <si>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</si>
  <si>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</si>
  <si>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</si>
  <si>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</si>
  <si>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</si>
  <si>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</si>
  <si>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Control Card #1</t>
  </si>
  <si>
    <t>Control Card #2</t>
  </si>
  <si>
    <t>Complete ride details on Card #1</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</si>
  <si>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</si>
  <si>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</si>
  <si>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</si>
  <si>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</si>
  <si>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</si>
  <si>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</si>
  <si>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</si>
  <si>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</si>
  <si>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</si>
  <si>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</si>
  <si>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</si>
  <si>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</si>
  <si>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</si>
  <si>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</si>
  <si>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</si>
  <si>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</si>
  <si>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</si>
  <si>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BAPAPAB</t>
  </si>
  <si>
    <t>Vancouver</t>
  </si>
  <si>
    <t>Squamish</t>
  </si>
  <si>
    <t>North Vancouver</t>
  </si>
  <si>
    <t>Harrison</t>
  </si>
  <si>
    <t>Hope</t>
  </si>
  <si>
    <t>Othello Peers Crk</t>
  </si>
  <si>
    <t>Breka Café</t>
  </si>
  <si>
    <t>Chilliwack</t>
  </si>
  <si>
    <t>Fort Langley</t>
  </si>
  <si>
    <t>Langley</t>
  </si>
  <si>
    <t>Campbell Valley Park</t>
  </si>
  <si>
    <t>Allard Cres</t>
  </si>
  <si>
    <t>Fire Hydrant</t>
  </si>
  <si>
    <t>Government Rd @ Depot Rd</t>
  </si>
  <si>
    <t>4.5 IN-175 ____ ?</t>
  </si>
  <si>
    <t>Lilooet @ Eagle St</t>
  </si>
  <si>
    <t>Words on the Fire Hydrant</t>
  </si>
  <si>
    <t>___ and _______ ?</t>
  </si>
  <si>
    <t>sticker on back of road hazard sign on right</t>
  </si>
  <si>
    <t>_____ ___ __</t>
  </si>
  <si>
    <t>Knight Rd @ Bike Rt</t>
  </si>
  <si>
    <t>How many zipties on back of the</t>
  </si>
  <si>
    <t>"no motorized vehicles" sign?</t>
  </si>
  <si>
    <t>272nd St @ River Rd</t>
  </si>
  <si>
    <t>Number on the POLE (not sign) on back of</t>
  </si>
  <si>
    <t>street signpost</t>
  </si>
  <si>
    <t>top sign on post to right of gate</t>
  </si>
  <si>
    <t>____ must be ____</t>
  </si>
  <si>
    <t>What animal is on the fort-to-fort</t>
  </si>
  <si>
    <t>trail sign?</t>
  </si>
  <si>
    <t>Signature (and also sign your control card!)</t>
  </si>
  <si>
    <t>&lt;ride window&gt;</t>
  </si>
  <si>
    <t>Arborlynn Dr @ Lynn Valley Link Route</t>
  </si>
  <si>
    <t>_________n ?</t>
  </si>
  <si>
    <t>Last word on bottom right of link route sign</t>
  </si>
  <si>
    <t>What is the right side window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</si>
</sst>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sz val="10"/>
      <color rgb="FF000000"/>
      <name val="Helvetica Neue"/>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4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5">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5" xfId="0" applyFont="1" applyBorder="1" applyAlignment="1"/>
    <xf numFmtId="0" fontId="13" fillId="0" borderId="10" xfId="0" applyFont="1" applyBorder="1" applyAlignment="1"/>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14" fillId="0" borderId="7" xfId="0" applyFont="1" applyBorder="1" applyAlignment="1">
      <alignment horizontal="center" wrapText="1"/>
    </xf>
    <xf numFmtId="15" fontId="30" fillId="0" borderId="4" xfId="0" applyNumberFormat="1" applyFont="1" applyBorder="1" applyProtection="1">
      <protection locked="0"/>
    </xf>
    <xf numFmtId="1" fontId="30" fillId="0" borderId="4" xfId="0" applyNumberFormat="1" applyFont="1" applyBorder="1" applyProtection="1">
      <protection locked="0"/>
    </xf>
    <xf numFmtId="0" fontId="30" fillId="0" borderId="9" xfId="0" applyFont="1" applyBorder="1" applyAlignment="1"/>
    <xf numFmtId="20" fontId="30" fillId="0" borderId="8" xfId="0" applyNumberFormat="1" applyFont="1" applyBorder="1" applyProtection="1">
      <protection locked="0"/>
    </xf>
    <xf numFmtId="49" fontId="30"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0" fontId="28" fillId="0" borderId="27" xfId="0" applyFont="1" applyBorder="1" applyProtection="1">
      <protection locked="0"/>
    </xf>
    <xf numFmtId="49" fontId="28" fillId="0" borderId="27" xfId="0" applyNumberFormat="1" applyFont="1" applyBorder="1" applyAlignment="1" applyProtection="1">
      <alignment horizontal="center"/>
      <protection locked="0"/>
    </xf>
    <xf numFmtId="49" fontId="28" fillId="0" borderId="24" xfId="0" applyNumberFormat="1" applyFont="1" applyBorder="1" applyAlignment="1" applyProtection="1">
      <alignment horizontal="center"/>
      <protection locked="0"/>
    </xf>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6" fillId="0" borderId="0" xfId="0" applyFont="1" applyBorder="1" applyAlignment="1" applyProtection="1">
      <alignment horizontal="center" vertical="top" wrapText="1"/>
    </xf>
    <xf numFmtId="0" fontId="10" fillId="0" borderId="18" xfId="0" applyFont="1" applyBorder="1" applyAlignment="1">
      <alignment horizontal="center"/>
    </xf>
    <xf numFmtId="0" fontId="10" fillId="0" borderId="0" xfId="0" applyFont="1" applyAlignment="1">
      <alignment horizontal="center"/>
    </xf>
    <xf numFmtId="0" fontId="0" fillId="0" borderId="18" xfId="0" applyBorder="1" applyAlignment="1">
      <alignment horizontal="center"/>
    </xf>
    <xf numFmtId="14" fontId="30" fillId="0" borderId="23" xfId="0" applyNumberFormat="1" applyFont="1" applyBorder="1" applyProtection="1">
      <protection locked="0"/>
    </xf>
    <xf numFmtId="0" fontId="31" fillId="0" borderId="0" xfId="0" applyFont="1"/>
  </cellXfs>
  <cellStyles count="34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Normal" xfId="0" builtinId="0"/>
    <cellStyle name="Normal 2" xfId="282" xr:uid="{00000000-0005-0000-0000-000050010000}"/>
    <cellStyle name="Normal 3" xfId="283" xr:uid="{00000000-0005-0000-0000-000051010000}"/>
    <cellStyle name="Normal 3 2" xfId="285" xr:uid="{00000000-0005-0000-0000-000052010000}"/>
    <cellStyle name="Normal 3 2 2" xfId="286" xr:uid="{00000000-0005-0000-0000-000053010000}"/>
    <cellStyle name="Normal 3 2 3" xfId="287" xr:uid="{00000000-0005-0000-0000-000054010000}"/>
    <cellStyle name="Normal 4" xfId="284" xr:uid="{00000000-0005-0000-0000-000055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zoomScale="135" zoomScaleNormal="135" zoomScalePageLayoutView="135" workbookViewId="0">
      <selection activeCell="G11" sqref="G11"/>
    </sheetView>
  </sheetViews>
  <sheetFormatPr baseColWidth="10" defaultColWidth="8.83203125" defaultRowHeight="13" x14ac:dyDescent="0.15"/>
  <cols>
    <col min="1" max="1" width="16.5" style="2" customWidth="1"/>
    <col min="2" max="2" width="9.83203125" bestFit="1" customWidth="1"/>
    <col min="3" max="3" width="0"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2" width="17.33203125" hidden="1" customWidth="1"/>
    <col min="13" max="15" width="17.83203125" hidden="1" customWidth="1"/>
  </cols>
  <sheetData>
    <row r="1" spans="1:23" ht="18" x14ac:dyDescent="0.2">
      <c r="A1" s="13" t="s">
        <v>18</v>
      </c>
      <c r="B1" s="90">
        <v>600</v>
      </c>
      <c r="C1">
        <f>IF(Brevet_Length&gt;=1200,Brevet_Length,IF(Brevet_Length&gt;=1000,1000,IF(Brevet_Length&gt;=600,600,IF(Brevet_Length&gt;=400,400,IF(Brevet_Length&gt;=300,300,IF(Brevet_Length&gt;=200,200,100))))))</f>
        <v>600</v>
      </c>
      <c r="J1" s="109" t="s">
        <v>67</v>
      </c>
      <c r="K1" s="109"/>
      <c r="Q1" s="93" t="s">
        <v>68</v>
      </c>
      <c r="R1" s="93"/>
      <c r="S1" s="93"/>
      <c r="T1" s="93"/>
      <c r="U1" s="93"/>
      <c r="V1" s="93"/>
      <c r="W1" s="93"/>
    </row>
    <row r="2" spans="1:23" ht="14" thickBot="1" x14ac:dyDescent="0.2">
      <c r="A2" s="14" t="s">
        <v>19</v>
      </c>
      <c r="B2" s="15">
        <f>IF(brevet=1200,90,IF(brevet=1000,75,IF(brevet=600,40,IF(brevet=400,27,IF(brevet=300,20,IF(brevet=200,13.5,IF(brevet=100,7,0)))))))</f>
        <v>40</v>
      </c>
      <c r="Q2" t="s">
        <v>69</v>
      </c>
    </row>
    <row r="3" spans="1:23" ht="19" thickBot="1" x14ac:dyDescent="0.25">
      <c r="A3" s="14" t="s">
        <v>20</v>
      </c>
      <c r="B3" s="102" t="s">
        <v>81</v>
      </c>
      <c r="C3" s="91"/>
      <c r="D3" s="91"/>
      <c r="E3" s="91"/>
      <c r="F3" s="91"/>
      <c r="G3" s="91"/>
      <c r="H3" s="92"/>
      <c r="I3" s="35"/>
      <c r="J3" s="35"/>
      <c r="K3" s="35"/>
      <c r="O3" s="36"/>
      <c r="P3" s="36"/>
      <c r="Q3" s="93" t="s">
        <v>70</v>
      </c>
    </row>
    <row r="4" spans="1:23" ht="16" x14ac:dyDescent="0.2">
      <c r="A4" s="14" t="s">
        <v>21</v>
      </c>
      <c r="B4" s="101">
        <v>5087</v>
      </c>
      <c r="C4" s="32"/>
      <c r="F4" s="33"/>
      <c r="G4" s="33"/>
      <c r="H4" s="33"/>
      <c r="I4" s="33"/>
      <c r="J4" s="33"/>
      <c r="K4" s="33"/>
      <c r="Q4" s="93" t="s">
        <v>71</v>
      </c>
    </row>
    <row r="5" spans="1:23" ht="16" x14ac:dyDescent="0.2">
      <c r="A5" s="60" t="s">
        <v>49</v>
      </c>
      <c r="B5" s="100" t="s">
        <v>113</v>
      </c>
      <c r="Q5" s="93" t="s">
        <v>72</v>
      </c>
    </row>
    <row r="6" spans="1:23" ht="6" customHeight="1" x14ac:dyDescent="0.15"/>
    <row r="7" spans="1:23" ht="17" thickBot="1" x14ac:dyDescent="0.25">
      <c r="A7" s="56" t="s">
        <v>22</v>
      </c>
      <c r="B7" s="133">
        <v>44437</v>
      </c>
      <c r="Q7" s="93" t="s">
        <v>73</v>
      </c>
    </row>
    <row r="8" spans="1:23" ht="17" thickBot="1" x14ac:dyDescent="0.25">
      <c r="A8" s="12" t="s">
        <v>23</v>
      </c>
      <c r="B8" s="103">
        <v>0.25</v>
      </c>
      <c r="D8" s="110" t="s">
        <v>61</v>
      </c>
      <c r="E8" s="111"/>
      <c r="F8" s="111"/>
      <c r="G8" s="111"/>
      <c r="H8" s="111"/>
      <c r="I8" s="110" t="s">
        <v>78</v>
      </c>
      <c r="J8" s="111"/>
      <c r="K8" s="112"/>
      <c r="Q8" s="93" t="s">
        <v>74</v>
      </c>
    </row>
    <row r="9" spans="1:23" ht="14" thickBot="1" x14ac:dyDescent="0.2">
      <c r="D9" s="6" t="s">
        <v>24</v>
      </c>
      <c r="E9" s="7" t="s">
        <v>25</v>
      </c>
      <c r="F9" s="84" t="s">
        <v>26</v>
      </c>
      <c r="G9" s="84" t="s">
        <v>27</v>
      </c>
      <c r="H9" s="85" t="s">
        <v>28</v>
      </c>
      <c r="I9" s="7" t="s">
        <v>64</v>
      </c>
      <c r="J9" s="7" t="s">
        <v>65</v>
      </c>
      <c r="K9" s="8" t="s">
        <v>66</v>
      </c>
      <c r="L9" t="s">
        <v>3</v>
      </c>
      <c r="M9" t="s">
        <v>4</v>
      </c>
      <c r="N9" t="s">
        <v>5</v>
      </c>
      <c r="O9" t="s">
        <v>6</v>
      </c>
      <c r="Q9" s="93" t="s">
        <v>75</v>
      </c>
    </row>
    <row r="10" spans="1:23" ht="17" customHeight="1" x14ac:dyDescent="0.2">
      <c r="C10" s="3" t="s">
        <v>7</v>
      </c>
      <c r="D10" s="34">
        <v>0</v>
      </c>
      <c r="E10" s="96" t="s">
        <v>82</v>
      </c>
      <c r="F10" s="97" t="s">
        <v>88</v>
      </c>
      <c r="G10" s="97"/>
      <c r="H10" s="98" t="s">
        <v>117</v>
      </c>
      <c r="I10" s="104"/>
      <c r="J10" s="104"/>
      <c r="K10" s="105"/>
      <c r="L10" s="4">
        <f>Start_date+Start_time</f>
        <v>44437.25</v>
      </c>
      <c r="M10" s="4">
        <f>L10+"1:00"</f>
        <v>44437.291666666664</v>
      </c>
      <c r="N10" s="5">
        <f>IF(ISBLANK(Distance),"",Open Control_1)</f>
        <v>44437.25</v>
      </c>
      <c r="O10" s="5">
        <f>IF(ISBLANK(Distance),"",Close Control_1)</f>
        <v>44437.291666666664</v>
      </c>
      <c r="Q10" s="93" t="s">
        <v>76</v>
      </c>
    </row>
    <row r="11" spans="1:23" ht="17" customHeight="1" x14ac:dyDescent="0.2">
      <c r="C11" s="3" t="s">
        <v>8</v>
      </c>
      <c r="D11" s="34">
        <v>79.2</v>
      </c>
      <c r="E11" s="96" t="s">
        <v>83</v>
      </c>
      <c r="F11" s="97" t="s">
        <v>95</v>
      </c>
      <c r="G11" s="97" t="s">
        <v>94</v>
      </c>
      <c r="H11" s="98" t="s">
        <v>96</v>
      </c>
      <c r="I11" s="104"/>
      <c r="J11" s="104"/>
      <c r="K11" s="105"/>
      <c r="L11">
        <f>IF(ISBLANK(Distance),"",IF(Distance&gt;1000,(Distance-1000)/26+33.0847,(IF(Distance&gt;600,(Distance-600)/28+18.799,(IF(Distance&gt;400,(Distance-400)/30+12.1324,(IF(Distance&gt;200,(Distance-200)/32+5.8824,Distance/34))))))))</f>
        <v>2.3294117647058825</v>
      </c>
      <c r="M11">
        <f>IF(ISBLANK(Distance),"",IF(Distance&gt;=brevet,IF(brevet&gt;1200,(brevet-1200)*75/1000+90,Max_time),IF(Distance&gt;1200,(Distance-1200)*75/1000+90,IF(Distance&gt;1000,(Distance-1000)/(1000/75)+75,IF(Distance&gt;600,(Distance-600)/(400/35)+40,Distance/15)))))</f>
        <v>5.28</v>
      </c>
      <c r="N11" s="5">
        <f>IF(ISBLANK(Distance),"",Open_time Control_1+(INT(Open)&amp;":"&amp;IF(ROUND(((Open-INT(Open))*60),0)&lt;10,0,"")&amp;ROUND(((Open-INT(Open))*60),0)))</f>
        <v>44437.347222222219</v>
      </c>
      <c r="O11" s="5">
        <f>IF(ISBLANK(Distance),"",Open_time Control_1+(INT(Close)&amp;":"&amp;IF(ROUND(((Close-INT(Close))*60),0)&lt;10,0,"")&amp;ROUND(((Close-INT(Close))*60),0)))</f>
        <v>44437.470138888886</v>
      </c>
      <c r="Q11" s="93" t="s">
        <v>77</v>
      </c>
    </row>
    <row r="12" spans="1:23" ht="17" customHeight="1" x14ac:dyDescent="0.2">
      <c r="C12" s="3" t="s">
        <v>9</v>
      </c>
      <c r="D12" s="34">
        <v>154.5</v>
      </c>
      <c r="E12" s="96" t="s">
        <v>84</v>
      </c>
      <c r="F12" s="97" t="s">
        <v>114</v>
      </c>
      <c r="G12" s="134" t="s">
        <v>116</v>
      </c>
      <c r="H12" s="98" t="s">
        <v>115</v>
      </c>
      <c r="I12" s="104"/>
      <c r="J12" s="104"/>
      <c r="K12" s="105"/>
      <c r="L12">
        <f>IF(ISBLANK(Distance),"",IF(Distance&gt;1000,(Distance-1000)/26+33.0847,(IF(Distance&gt;600,(Distance-600)/28+18.799,(IF(Distance&gt;400,(Distance-400)/30+12.1324,(IF(Distance&gt;200,(Distance-200)/32+5.8824,Distance/34))))))))</f>
        <v>4.5441176470588234</v>
      </c>
      <c r="M12">
        <f t="shared" ref="M12:M19" si="0">IF(ISBLANK(Distance),"",IF(Distance&gt;=brevet,IF(brevet&gt;1200,(brevet-1200)*75/1000+90,Max_time),IF(Distance&gt;1200,(Distance-1200)*75/1000+90,IF(Distance&gt;1000,(Distance-1000)/(1000/75)+75,IF(Distance&gt;600,(Distance-600)/(400/35)+40,Distance/15)))))</f>
        <v>10.3</v>
      </c>
      <c r="N12" s="5">
        <f>IF(ISBLANK(Distance),"",Open_time Control_1+(INT(Open)&amp;":"&amp;IF(ROUND(((Open-INT(Open))*60),0)&lt;10,0,"")&amp;ROUND(((Open-INT(Open))*60),0)))</f>
        <v>44437.439583333333</v>
      </c>
      <c r="O12" s="5">
        <f>IF(ISBLANK(Distance),"",Open_time Control_1+(INT(Close)&amp;":"&amp;IF(ROUND(((Close-INT(Close))*60),0)&lt;10,0,"")&amp;ROUND(((Close-INT(Close))*60),0)))</f>
        <v>44437.679166666669</v>
      </c>
    </row>
    <row r="13" spans="1:23" ht="17" customHeight="1" x14ac:dyDescent="0.2">
      <c r="C13" s="3" t="s">
        <v>10</v>
      </c>
      <c r="D13" s="34">
        <v>291.8</v>
      </c>
      <c r="E13" s="96" t="s">
        <v>85</v>
      </c>
      <c r="F13" s="97" t="s">
        <v>97</v>
      </c>
      <c r="G13" s="97" t="s">
        <v>98</v>
      </c>
      <c r="H13" s="98" t="s">
        <v>99</v>
      </c>
      <c r="I13" s="104"/>
      <c r="J13" s="104"/>
      <c r="K13" s="105"/>
      <c r="L13">
        <f t="shared" ref="L13:L19" si="1">IF(ISBLANK(Distance),"",IF(Distance&gt;1000,(Distance-1000)/26+33.0847,(IF(Distance&gt;600,(Distance-600)/28+18.799,(IF(Distance&gt;400,(Distance-400)/30+12.1324,(IF(Distance&gt;200,(Distance-200)/32+5.8824,Distance/34))))))))</f>
        <v>8.7511499999999991</v>
      </c>
      <c r="M13">
        <f t="shared" si="0"/>
        <v>19.453333333333333</v>
      </c>
      <c r="N13" s="5">
        <f>IF(ISBLANK(Distance),"",Open_time Control_1+(INT(Open)&amp;":"&amp;IF(ROUND(((Open-INT(Open))*60),0)&lt;10,0,"")&amp;ROUND(((Open-INT(Open))*60),0)))</f>
        <v>44437.614583333336</v>
      </c>
      <c r="O13" s="5">
        <f>IF(ISBLANK(Distance),"",Open_time Control_1+(INT(Close)&amp;":"&amp;IF(ROUND(((Close-INT(Close))*60),0)&lt;10,0,"")&amp;ROUND(((Close-INT(Close))*60),0)))</f>
        <v>44438.060416666667</v>
      </c>
    </row>
    <row r="14" spans="1:23" ht="17" customHeight="1" x14ac:dyDescent="0.2">
      <c r="C14" s="3" t="s">
        <v>11</v>
      </c>
      <c r="D14" s="34">
        <v>344</v>
      </c>
      <c r="E14" s="96" t="s">
        <v>86</v>
      </c>
      <c r="F14" s="97" t="s">
        <v>87</v>
      </c>
      <c r="G14" s="97" t="s">
        <v>100</v>
      </c>
      <c r="H14" s="98" t="s">
        <v>101</v>
      </c>
      <c r="I14" s="104"/>
      <c r="J14" s="104"/>
      <c r="K14" s="105"/>
      <c r="L14">
        <f t="shared" si="1"/>
        <v>10.382400000000001</v>
      </c>
      <c r="M14">
        <f t="shared" si="0"/>
        <v>22.933333333333334</v>
      </c>
      <c r="N14" s="5">
        <f>IF(ISBLANK(Distance),"",Open_time Control_1+(INT(Open)&amp;":"&amp;IF(ROUND(((Open-INT(Open))*60),0)&lt;10,0,"")&amp;ROUND(((Open-INT(Open))*60),0)))</f>
        <v>44437.682638888888</v>
      </c>
      <c r="O14" s="5">
        <f>IF(ISBLANK(Distance),"",Open_time Control_1+(INT(Close)&amp;":"&amp;IF(ROUND(((Close-INT(Close))*60),0)&lt;10,0,"")&amp;ROUND(((Close-INT(Close))*60),0)))</f>
        <v>44438.205555555556</v>
      </c>
      <c r="Q14" s="94" t="s">
        <v>79</v>
      </c>
    </row>
    <row r="15" spans="1:23" ht="17" customHeight="1" x14ac:dyDescent="0.2">
      <c r="C15" s="3" t="s">
        <v>12</v>
      </c>
      <c r="D15" s="34">
        <v>417.9</v>
      </c>
      <c r="E15" s="96" t="s">
        <v>89</v>
      </c>
      <c r="F15" s="97" t="s">
        <v>102</v>
      </c>
      <c r="G15" s="97" t="s">
        <v>103</v>
      </c>
      <c r="H15" s="98" t="s">
        <v>104</v>
      </c>
      <c r="I15" s="104"/>
      <c r="J15" s="104"/>
      <c r="K15" s="105"/>
      <c r="L15">
        <f t="shared" si="1"/>
        <v>12.729066666666666</v>
      </c>
      <c r="M15">
        <f t="shared" si="0"/>
        <v>27.86</v>
      </c>
      <c r="N15" s="5">
        <f>IF(ISBLANK(Distance),"",Open_time Control_1+(INT(Open)&amp;":"&amp;IF(ROUND(((Open-INT(Open))*60),0)&lt;10,0,"")&amp;ROUND(((Open-INT(Open))*60),0)))</f>
        <v>44437.780555555553</v>
      </c>
      <c r="O15" s="5">
        <f>IF(ISBLANK(Distance),"",Open_time Control_1+(INT(Close)&amp;":"&amp;IF(ROUND(((Close-INT(Close))*60),0)&lt;10,0,"")&amp;ROUND(((Close-INT(Close))*60),0)))</f>
        <v>44438.411111111112</v>
      </c>
    </row>
    <row r="16" spans="1:23" ht="17" customHeight="1" x14ac:dyDescent="0.2">
      <c r="C16" s="3" t="s">
        <v>13</v>
      </c>
      <c r="D16" s="34">
        <v>490.4</v>
      </c>
      <c r="E16" s="96" t="s">
        <v>90</v>
      </c>
      <c r="F16" s="97" t="s">
        <v>105</v>
      </c>
      <c r="G16" s="97" t="s">
        <v>106</v>
      </c>
      <c r="H16" s="98" t="s">
        <v>107</v>
      </c>
      <c r="I16" s="104"/>
      <c r="J16" s="104"/>
      <c r="K16" s="105"/>
      <c r="L16">
        <f t="shared" si="1"/>
        <v>15.145733333333332</v>
      </c>
      <c r="M16">
        <f t="shared" si="0"/>
        <v>32.693333333333335</v>
      </c>
      <c r="N16" s="5">
        <f>IF(ISBLANK(Distance),"",Open_time Control_1+(INT(Open)&amp;":"&amp;IF(ROUND(((Open-INT(Open))*60),0)&lt;10,0,"")&amp;ROUND(((Open-INT(Open))*60),0)))</f>
        <v>44437.881249999999</v>
      </c>
      <c r="O16" s="5">
        <f>IF(ISBLANK(Distance),"",Open_time Control_1+(INT(Close)&amp;":"&amp;IF(ROUND(((Close-INT(Close))*60),0)&lt;10,0,"")&amp;ROUND(((Close-INT(Close))*60),0)))</f>
        <v>44438.612500000003</v>
      </c>
    </row>
    <row r="17" spans="3:15" ht="17" customHeight="1" x14ac:dyDescent="0.2">
      <c r="C17" s="3" t="s">
        <v>14</v>
      </c>
      <c r="D17" s="34">
        <v>525.29999999999995</v>
      </c>
      <c r="E17" s="96" t="s">
        <v>91</v>
      </c>
      <c r="F17" s="97" t="s">
        <v>92</v>
      </c>
      <c r="G17" s="97" t="s">
        <v>108</v>
      </c>
      <c r="H17" s="98" t="s">
        <v>109</v>
      </c>
      <c r="I17" s="104"/>
      <c r="J17" s="104"/>
      <c r="K17" s="105"/>
      <c r="L17">
        <f t="shared" si="1"/>
        <v>16.309066666666666</v>
      </c>
      <c r="M17">
        <f t="shared" si="0"/>
        <v>35.019999999999996</v>
      </c>
      <c r="N17" s="5">
        <f>IF(ISBLANK(Distance),"",Open_time Control_1+(INT(Open)&amp;":"&amp;IF(ROUND(((Open-INT(Open))*60),0)&lt;10,0,"")&amp;ROUND(((Open-INT(Open))*60),0)))</f>
        <v>44437.929861111108</v>
      </c>
      <c r="O17" s="5">
        <f>IF(ISBLANK(Distance),"",Open_time Control_1+(INT(Close)&amp;":"&amp;IF(ROUND(((Close-INT(Close))*60),0)&lt;10,0,"")&amp;ROUND(((Close-INT(Close))*60),0)))</f>
        <v>44438.709027777775</v>
      </c>
    </row>
    <row r="18" spans="3:15" ht="17" customHeight="1" x14ac:dyDescent="0.2">
      <c r="C18" s="3" t="s">
        <v>15</v>
      </c>
      <c r="D18" s="34">
        <v>553.5</v>
      </c>
      <c r="E18" s="96" t="s">
        <v>90</v>
      </c>
      <c r="F18" s="97" t="s">
        <v>93</v>
      </c>
      <c r="G18" s="97" t="s">
        <v>110</v>
      </c>
      <c r="H18" s="98" t="s">
        <v>111</v>
      </c>
      <c r="I18" s="104"/>
      <c r="J18" s="104"/>
      <c r="K18" s="105"/>
      <c r="L18">
        <f t="shared" si="1"/>
        <v>17.249066666666668</v>
      </c>
      <c r="M18">
        <f t="shared" si="0"/>
        <v>36.9</v>
      </c>
      <c r="N18" s="5">
        <f>IF(ISBLANK(Distance),"",Open_time Control_1+(INT(Open)&amp;":"&amp;IF(ROUND(((Open-INT(Open))*60),0)&lt;10,0,"")&amp;ROUND(((Open-INT(Open))*60),0)))</f>
        <v>44437.96875</v>
      </c>
      <c r="O18" s="5">
        <f>IF(ISBLANK(Distance),"",Open_time Control_1+(INT(Close)&amp;":"&amp;IF(ROUND(((Close-INT(Close))*60),0)&lt;10,0,"")&amp;ROUND(((Close-INT(Close))*60),0)))</f>
        <v>44438.787499999999</v>
      </c>
    </row>
    <row r="19" spans="3:15" ht="17" customHeight="1" thickBot="1" x14ac:dyDescent="0.2">
      <c r="C19" s="3" t="s">
        <v>16</v>
      </c>
      <c r="D19" s="64">
        <v>602.6</v>
      </c>
      <c r="E19" s="106" t="s">
        <v>82</v>
      </c>
      <c r="F19" s="107" t="s">
        <v>88</v>
      </c>
      <c r="G19" s="107" t="s">
        <v>112</v>
      </c>
      <c r="H19" s="108"/>
      <c r="I19" s="107"/>
      <c r="J19" s="107"/>
      <c r="K19" s="108"/>
      <c r="L19">
        <f t="shared" si="1"/>
        <v>18.891857142857145</v>
      </c>
      <c r="M19">
        <f t="shared" si="0"/>
        <v>40</v>
      </c>
      <c r="N19" s="5">
        <f>IF(ISBLANK(Distance),"",Open_time Control_1+(INT(Open)&amp;":"&amp;IF(ROUND(((Open-INT(Open))*60),0)&lt;10,0,"")&amp;ROUND(((Open-INT(Open))*60),0)))</f>
        <v>44438.037499999999</v>
      </c>
      <c r="O19" s="5">
        <f>IF(ISBLANK(Distance),"",Open_time Control_1+(INT(Close)&amp;":"&amp;IF(ROUND(((Close-INT(Close))*60),0)&lt;10,0,"")&amp;ROUND(((Close-INT(Close))*60),0)))</f>
        <v>44438.916666666664</v>
      </c>
    </row>
    <row r="20" spans="3:15" ht="7" customHeight="1" thickBot="1" x14ac:dyDescent="0.25">
      <c r="D20" s="86"/>
      <c r="E20" s="87"/>
      <c r="F20" s="88"/>
      <c r="G20" s="88"/>
      <c r="H20" s="88"/>
      <c r="I20" s="88"/>
      <c r="J20" s="88"/>
      <c r="K20" s="89"/>
      <c r="N20" s="5"/>
      <c r="O20" s="5"/>
    </row>
    <row r="21" spans="3:15" ht="14" thickBot="1" x14ac:dyDescent="0.2">
      <c r="D21" s="110" t="s">
        <v>62</v>
      </c>
      <c r="E21" s="111"/>
      <c r="F21" s="111"/>
      <c r="G21" s="111"/>
      <c r="H21" s="111"/>
      <c r="I21" s="110" t="s">
        <v>80</v>
      </c>
      <c r="J21" s="111"/>
      <c r="K21" s="112"/>
    </row>
    <row r="22" spans="3:15" ht="14" thickBot="1" x14ac:dyDescent="0.2">
      <c r="D22" s="6" t="s">
        <v>24</v>
      </c>
      <c r="E22" s="7" t="s">
        <v>25</v>
      </c>
      <c r="F22" s="84" t="s">
        <v>26</v>
      </c>
      <c r="G22" s="84" t="s">
        <v>27</v>
      </c>
      <c r="H22" s="85" t="s">
        <v>28</v>
      </c>
      <c r="I22" s="7" t="s">
        <v>64</v>
      </c>
      <c r="J22" s="7" t="s">
        <v>65</v>
      </c>
      <c r="K22" s="8" t="s">
        <v>66</v>
      </c>
      <c r="L22" t="s">
        <v>3</v>
      </c>
      <c r="M22" t="s">
        <v>4</v>
      </c>
      <c r="N22" t="s">
        <v>5</v>
      </c>
      <c r="O22" t="s">
        <v>6</v>
      </c>
    </row>
    <row r="23" spans="3:15" ht="16" x14ac:dyDescent="0.2">
      <c r="D23" s="34"/>
      <c r="E23" s="96"/>
      <c r="F23" s="97"/>
      <c r="G23" s="97"/>
      <c r="H23" s="98"/>
      <c r="I23" s="104"/>
      <c r="J23" s="104"/>
      <c r="K23" s="105"/>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7" customHeight="1" x14ac:dyDescent="0.2">
      <c r="D24" s="34"/>
      <c r="E24" s="96"/>
      <c r="F24" s="97"/>
      <c r="G24" s="97"/>
      <c r="H24" s="98"/>
      <c r="I24" s="104"/>
      <c r="J24" s="104"/>
      <c r="K24" s="105"/>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7" customHeight="1" x14ac:dyDescent="0.2">
      <c r="D25" s="34"/>
      <c r="E25" s="96"/>
      <c r="F25" s="97"/>
      <c r="G25" s="97"/>
      <c r="H25" s="98"/>
      <c r="I25" s="104"/>
      <c r="J25" s="104"/>
      <c r="K25" s="105"/>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7" customHeight="1" x14ac:dyDescent="0.2">
      <c r="D26" s="34"/>
      <c r="E26" s="96"/>
      <c r="F26" s="97"/>
      <c r="G26" s="97"/>
      <c r="H26" s="98"/>
      <c r="I26" s="104"/>
      <c r="J26" s="104"/>
      <c r="K26" s="105"/>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7" customHeight="1" x14ac:dyDescent="0.2">
      <c r="D27" s="34"/>
      <c r="E27" s="96"/>
      <c r="F27" s="97"/>
      <c r="G27" s="97"/>
      <c r="H27" s="98"/>
      <c r="I27" s="104"/>
      <c r="J27" s="104"/>
      <c r="K27" s="105"/>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7" customHeight="1" x14ac:dyDescent="0.2">
      <c r="D28" s="34"/>
      <c r="E28" s="96"/>
      <c r="F28" s="97"/>
      <c r="G28" s="97"/>
      <c r="H28" s="98"/>
      <c r="I28" s="104"/>
      <c r="J28" s="104"/>
      <c r="K28" s="105"/>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7" customHeight="1" x14ac:dyDescent="0.2">
      <c r="D29" s="34"/>
      <c r="E29" s="96"/>
      <c r="F29" s="97"/>
      <c r="G29" s="97"/>
      <c r="H29" s="98"/>
      <c r="I29" s="104"/>
      <c r="J29" s="104"/>
      <c r="K29" s="105"/>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7" customHeight="1" x14ac:dyDescent="0.2">
      <c r="D30" s="34"/>
      <c r="E30" s="96"/>
      <c r="F30" s="97"/>
      <c r="G30" s="97"/>
      <c r="H30" s="98"/>
      <c r="I30" s="104"/>
      <c r="J30" s="104"/>
      <c r="K30" s="105"/>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7" customHeight="1" x14ac:dyDescent="0.2">
      <c r="D31" s="34"/>
      <c r="E31" s="96"/>
      <c r="F31" s="97"/>
      <c r="G31" s="97"/>
      <c r="H31" s="98"/>
      <c r="I31" s="104"/>
      <c r="J31" s="104"/>
      <c r="K31" s="105"/>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7" customHeight="1" thickBot="1" x14ac:dyDescent="0.2">
      <c r="D32" s="64"/>
      <c r="E32" s="106"/>
      <c r="F32" s="107"/>
      <c r="G32" s="107"/>
      <c r="H32" s="108"/>
      <c r="I32" s="107"/>
      <c r="J32" s="107"/>
      <c r="K32" s="108"/>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zoomScale="92" zoomScaleNormal="92" zoomScalePageLayoutView="92" workbookViewId="0">
      <selection activeCell="A8" sqref="A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16" t="s">
        <v>44</v>
      </c>
      <c r="B1" s="116"/>
      <c r="C1" s="116"/>
      <c r="D1" s="116"/>
      <c r="E1" s="116"/>
      <c r="F1" s="116"/>
      <c r="G1" s="116"/>
      <c r="H1" s="35" t="s">
        <v>29</v>
      </c>
    </row>
    <row r="2" spans="1:22" ht="33.75" customHeight="1" thickBot="1" x14ac:dyDescent="0.25">
      <c r="A2" s="95" t="s">
        <v>30</v>
      </c>
      <c r="B2" s="9" t="s">
        <v>3</v>
      </c>
      <c r="C2" s="9" t="s">
        <v>4</v>
      </c>
      <c r="D2" s="9" t="s">
        <v>25</v>
      </c>
      <c r="E2" s="9" t="s">
        <v>31</v>
      </c>
      <c r="F2" s="9" t="s">
        <v>60</v>
      </c>
      <c r="G2" s="95" t="s">
        <v>32</v>
      </c>
      <c r="H2" s="35" t="s">
        <v>29</v>
      </c>
      <c r="K2" s="114" t="s">
        <v>56</v>
      </c>
      <c r="L2" s="114"/>
      <c r="M2" s="114"/>
      <c r="N2" s="114"/>
      <c r="O2" s="114"/>
      <c r="P2" s="114"/>
      <c r="Q2" s="114"/>
      <c r="R2" s="114"/>
      <c r="S2" s="114"/>
      <c r="T2" s="114"/>
      <c r="U2" s="114"/>
    </row>
    <row r="3" spans="1:22" ht="36" customHeight="1" x14ac:dyDescent="0.45">
      <c r="A3" s="39"/>
      <c r="B3" s="40">
        <f>Control_1 Open_time</f>
        <v>44437.25</v>
      </c>
      <c r="C3" s="40">
        <f>Control_1 Close_time</f>
        <v>44437.291666666664</v>
      </c>
      <c r="D3" s="41"/>
      <c r="E3" s="42" t="str">
        <f>IF(ISBLANK(Control_1 Establishment_1),"",Control_1 Establishment_1)</f>
        <v>Breka Café</v>
      </c>
      <c r="F3" s="42" t="str">
        <f>IF(ISBLANK('Control Entry'!I10),"",'Control Entry'!I10)</f>
        <v/>
      </c>
      <c r="G3" s="10"/>
      <c r="H3" s="35" t="s">
        <v>29</v>
      </c>
      <c r="K3" s="16"/>
      <c r="O3" s="123" t="s">
        <v>33</v>
      </c>
      <c r="P3" s="123"/>
      <c r="Q3" s="123"/>
      <c r="R3" s="123"/>
      <c r="S3" s="83" t="str">
        <f>IF(ISBLANK('Control Entry'!D23),"","#1")</f>
        <v/>
      </c>
      <c r="U3" s="52"/>
    </row>
    <row r="4" spans="1:22" ht="36" customHeight="1" x14ac:dyDescent="0.2">
      <c r="A4" s="48">
        <f>IF(ISBLANK(Distance Control_1),"",Control_1 Distance)</f>
        <v>0</v>
      </c>
      <c r="B4" s="49">
        <f>Control_1 Open_time</f>
        <v>44437.25</v>
      </c>
      <c r="C4" s="49">
        <f>Control_1 Close_time</f>
        <v>44437.291666666664</v>
      </c>
      <c r="D4" s="50" t="str">
        <f>IF(ISBLANK(Locale Control_1),"",Locale Control_1)</f>
        <v>Vancouver</v>
      </c>
      <c r="E4" s="42" t="str">
        <f>IF(ISBLANK(Control_1 Establishment_2),"",Control_1 Establishment_2)</f>
        <v/>
      </c>
      <c r="F4" s="42" t="str">
        <f>IF(ISBLANK('Control Entry'!J10),"",'Control Entry'!J10)</f>
        <v/>
      </c>
      <c r="G4" s="10"/>
      <c r="H4" s="35" t="s">
        <v>29</v>
      </c>
      <c r="K4" s="16"/>
      <c r="M4" s="118" t="str">
        <f>IF(ISBLANK(brevet),"",brevet&amp;" km Randonnée")</f>
        <v>600 km Randonnée</v>
      </c>
      <c r="N4" s="118"/>
      <c r="O4" s="118"/>
      <c r="P4" s="118"/>
      <c r="Q4" s="118"/>
      <c r="R4" s="118"/>
      <c r="S4" s="118"/>
      <c r="T4" s="118"/>
      <c r="U4" s="53"/>
    </row>
    <row r="5" spans="1:22" ht="36" customHeight="1" thickBot="1" x14ac:dyDescent="0.25">
      <c r="A5" s="43"/>
      <c r="B5" s="44">
        <f>Control_1 Open_time</f>
        <v>44437.25</v>
      </c>
      <c r="C5" s="44">
        <f>Control_1 Close_time</f>
        <v>44437.291666666664</v>
      </c>
      <c r="D5" s="45"/>
      <c r="E5" s="46" t="str">
        <f>IF(ISBLANK(Control_1 Establishment_3),"",Control_1 Establishment_3)</f>
        <v>What is the right side window for?</v>
      </c>
      <c r="F5" s="99" t="str">
        <f>IF(ISBLANK('Control Entry'!K10),"",'Control Entry'!K10)</f>
        <v/>
      </c>
      <c r="G5" s="11"/>
      <c r="H5" s="35" t="s">
        <v>29</v>
      </c>
      <c r="K5" s="16"/>
      <c r="M5" s="17"/>
      <c r="N5" s="121" t="s">
        <v>48</v>
      </c>
      <c r="O5" s="121"/>
      <c r="P5" s="81">
        <f>IF(ISBLANK(Brevet_Number),"",Brevet_Number)</f>
        <v>5087</v>
      </c>
      <c r="Q5" s="82"/>
      <c r="R5" s="113" t="str">
        <f>IF(ISBLANK('Control Entry'!$B5),"",'Control Entry'!$B5)</f>
        <v>&lt;ride window&gt;</v>
      </c>
      <c r="S5" s="113"/>
      <c r="T5" s="113"/>
      <c r="U5" s="113"/>
      <c r="V5" s="54"/>
    </row>
    <row r="6" spans="1:22" ht="36" customHeight="1" x14ac:dyDescent="0.2">
      <c r="A6" s="39"/>
      <c r="B6" s="40">
        <f>Control_2 Open_time</f>
        <v>44437.347222222219</v>
      </c>
      <c r="C6" s="40">
        <f>Control_2 Close_time</f>
        <v>44437.470138888886</v>
      </c>
      <c r="D6" s="47"/>
      <c r="E6" s="42" t="str">
        <f>IF(ISBLANK(Control_2 Establishment_1),"",Control_2 Establishment_1)</f>
        <v>Government Rd @ Depot Rd</v>
      </c>
      <c r="F6" s="42" t="str">
        <f>IF(ISBLANK('Control Entry'!I11),"",'Control Entry'!I11)</f>
        <v/>
      </c>
      <c r="G6" s="10"/>
      <c r="H6" s="35" t="s">
        <v>29</v>
      </c>
      <c r="K6" s="16"/>
      <c r="L6" s="126" t="str">
        <f>IF(ISBLANK(Brevet_Description),"",Brevet_Description)</f>
        <v>BAPAPAB</v>
      </c>
      <c r="M6" s="126"/>
      <c r="N6" s="126"/>
      <c r="O6" s="126"/>
      <c r="P6" s="126"/>
      <c r="Q6" s="126"/>
      <c r="R6" s="126"/>
      <c r="S6" s="126"/>
      <c r="T6" s="126"/>
      <c r="U6" s="126"/>
    </row>
    <row r="7" spans="1:22" ht="36" customHeight="1" x14ac:dyDescent="0.2">
      <c r="A7" s="48">
        <f>IF(ISBLANK(Distance Control_2),"",Control_2 Distance)</f>
        <v>79.2</v>
      </c>
      <c r="B7" s="49">
        <f>Control_2 Open_time</f>
        <v>44437.347222222219</v>
      </c>
      <c r="C7" s="49">
        <f>Control_2 Close_time</f>
        <v>44437.470138888886</v>
      </c>
      <c r="D7" s="50" t="str">
        <f>IF(ISBLANK(Locale Control_2),"",Locale Control_2)</f>
        <v>Squamish</v>
      </c>
      <c r="E7" s="42" t="str">
        <f>IF(ISBLANK(Control_2 Establishment_2),"",Control_2 Establishment_2)</f>
        <v>Fire Hydrant</v>
      </c>
      <c r="F7" s="42" t="str">
        <f>IF(ISBLANK('Control Entry'!J11),"",'Control Entry'!J11)</f>
        <v/>
      </c>
      <c r="G7" s="10"/>
      <c r="H7" s="35" t="s">
        <v>29</v>
      </c>
    </row>
    <row r="8" spans="1:22" ht="36" customHeight="1" thickBot="1" x14ac:dyDescent="0.25">
      <c r="A8" s="43"/>
      <c r="B8" s="44">
        <f>Control_2 Open_time</f>
        <v>44437.347222222219</v>
      </c>
      <c r="C8" s="44">
        <f>Control_2 Close_time</f>
        <v>44437.470138888886</v>
      </c>
      <c r="D8" s="45"/>
      <c r="E8" s="46" t="str">
        <f>IF(ISBLANK(Control_2 Establishment_3),"",Control_2 Establishment_3)</f>
        <v>4.5 IN-175 ____ ?</v>
      </c>
      <c r="F8" s="46" t="str">
        <f>IF(ISBLANK('Control Entry'!K11),"",'Control Entry'!K11)</f>
        <v/>
      </c>
      <c r="G8" s="11"/>
      <c r="H8" s="35" t="s">
        <v>29</v>
      </c>
      <c r="J8" s="17" t="s">
        <v>34</v>
      </c>
      <c r="L8" s="115"/>
      <c r="M8" s="115"/>
      <c r="N8" s="115"/>
      <c r="O8" s="115"/>
      <c r="P8" s="115"/>
      <c r="Q8" s="115"/>
      <c r="R8" s="36"/>
      <c r="S8" s="55" t="s">
        <v>47</v>
      </c>
      <c r="T8" s="127"/>
      <c r="U8" s="127"/>
    </row>
    <row r="9" spans="1:22" ht="36" customHeight="1" thickBot="1" x14ac:dyDescent="0.3">
      <c r="A9" s="39"/>
      <c r="B9" s="40">
        <f>Control_3 Open_time</f>
        <v>44437.439583333333</v>
      </c>
      <c r="C9" s="40">
        <f>Control_3 Close_time</f>
        <v>44437.679166666669</v>
      </c>
      <c r="D9" s="47"/>
      <c r="E9" s="42" t="str">
        <f>IF(ISBLANK(Control_3 Establishment_1),"",Control_3 Establishment_1)</f>
        <v>Arborlynn Dr @ Lynn Valley Link Route</v>
      </c>
      <c r="F9" s="42" t="str">
        <f>IF(ISBLANK('Control Entry'!I12),"",'Control Entry'!I12)</f>
        <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154.5</v>
      </c>
      <c r="B10" s="49">
        <f>Control_3 Open_time</f>
        <v>44437.439583333333</v>
      </c>
      <c r="C10" s="49">
        <f>Control_3 Close_time</f>
        <v>44437.679166666669</v>
      </c>
      <c r="D10" s="50" t="str">
        <f>IF(ISBLANK(Locale Control_3),"",Locale Control_3)</f>
        <v>North Vancouver</v>
      </c>
      <c r="E10" s="42" t="str">
        <f>IF(ISBLANK(Control_3 Establishment_2),"",Control_3 Establishment_2)</f>
        <v>Last word on bottom right of link route sign</v>
      </c>
      <c r="F10" s="42" t="str">
        <f>IF(ISBLANK('Control Entry'!J12),"",'Control Entry'!J12)</f>
        <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44437.439583333333</v>
      </c>
      <c r="C11" s="44">
        <f>Control_3 Close_time</f>
        <v>44437.679166666669</v>
      </c>
      <c r="D11" s="45"/>
      <c r="E11" s="46" t="str">
        <f>IF(ISBLANK(Control_3 Establishment_3),"",Control_3 Establishment_3)</f>
        <v>_________n ?</v>
      </c>
      <c r="F11" s="46" t="str">
        <f>IF(ISBLANK('Control Entry'!K12),"",'Control Entry'!K12)</f>
        <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44437.614583333336</v>
      </c>
      <c r="C12" s="40">
        <f>Control_4 Close_time</f>
        <v>44438.060416666667</v>
      </c>
      <c r="D12" s="47"/>
      <c r="E12" s="42" t="str">
        <f>IF(ISBLANK(Control_4 Establishment_1),"",Control_4 Establishment_1)</f>
        <v>Lilooet @ Eagle St</v>
      </c>
      <c r="F12" s="42" t="str">
        <f>IF(ISBLANK('Control Entry'!I13),"",'Control Entry'!I13)</f>
        <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291.8</v>
      </c>
      <c r="B13" s="49">
        <f>Control_4 Open_time</f>
        <v>44437.614583333336</v>
      </c>
      <c r="C13" s="49">
        <f>Control_4 Close_time</f>
        <v>44438.060416666667</v>
      </c>
      <c r="D13" s="50" t="str">
        <f>IF(ISBLANK(Locale Control_4),"",Locale Control_4)</f>
        <v>Harrison</v>
      </c>
      <c r="E13" s="42" t="str">
        <f>IF(ISBLANK(Control_4 Establishment_2),"",Control_4 Establishment_2)</f>
        <v>Words on the Fire Hydrant</v>
      </c>
      <c r="F13" s="42" t="str">
        <f>IF(ISBLANK('Control Entry'!J13),"",'Control Entry'!J13)</f>
        <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44437.614583333336</v>
      </c>
      <c r="C14" s="44">
        <f>Control_4 Close_time</f>
        <v>44438.060416666667</v>
      </c>
      <c r="D14" s="45"/>
      <c r="E14" s="46" t="str">
        <f>IF(ISBLANK(Control_4 Establishment_3),"",Control_4 Establishment_3)</f>
        <v>___ and _______ ?</v>
      </c>
      <c r="F14" s="99" t="str">
        <f>IF(ISBLANK('Control Entry'!K13),"",'Control Entry'!K13)</f>
        <v/>
      </c>
      <c r="G14" s="11"/>
      <c r="H14" s="35" t="s">
        <v>29</v>
      </c>
    </row>
    <row r="15" spans="1:22" ht="36" customHeight="1" x14ac:dyDescent="0.2">
      <c r="A15" s="39"/>
      <c r="B15" s="40">
        <f>Control_5 Open_time</f>
        <v>44437.682638888888</v>
      </c>
      <c r="C15" s="40">
        <f>Control_5 Close_time</f>
        <v>44438.205555555556</v>
      </c>
      <c r="D15" s="47"/>
      <c r="E15" s="42" t="str">
        <f>IF(ISBLANK(Control_5 Establishment_1),"",Control_5 Establishment_1)</f>
        <v>Othello Peers Crk</v>
      </c>
      <c r="F15" s="42" t="str">
        <f>IF(ISBLANK('Control Entry'!I14),"",'Control Entry'!I14)</f>
        <v/>
      </c>
      <c r="G15" s="10"/>
      <c r="H15" s="35" t="s">
        <v>29</v>
      </c>
      <c r="J15" s="17"/>
      <c r="L15" s="125" t="s">
        <v>59</v>
      </c>
      <c r="M15" s="125"/>
      <c r="N15" s="125"/>
      <c r="O15" s="125"/>
      <c r="P15" s="125"/>
      <c r="Q15" s="125"/>
      <c r="R15" s="125"/>
      <c r="S15" s="125"/>
      <c r="T15" s="125"/>
      <c r="U15" s="125"/>
    </row>
    <row r="16" spans="1:22" ht="36" customHeight="1" thickBot="1" x14ac:dyDescent="0.25">
      <c r="A16" s="48">
        <f>IF(ISBLANK(Distance Control_5),"",Control_5 Distance)</f>
        <v>344</v>
      </c>
      <c r="B16" s="49">
        <f>Control_5 Open_time</f>
        <v>44437.682638888888</v>
      </c>
      <c r="C16" s="49">
        <f>Control_5 Close_time</f>
        <v>44438.205555555556</v>
      </c>
      <c r="D16" s="50" t="str">
        <f>IF(ISBLANK(Locale Control_5),"",Locale Control_5)</f>
        <v>Hope</v>
      </c>
      <c r="E16" s="42" t="str">
        <f>IF(ISBLANK(Control_5 Establishment_2),"",Control_5 Establishment_2)</f>
        <v>sticker on back of road hazard sign on right</v>
      </c>
      <c r="F16" s="42" t="str">
        <f>IF(ISBLANK('Control Entry'!J14),"",'Control Entry'!J14)</f>
        <v/>
      </c>
      <c r="G16" s="10"/>
      <c r="H16" s="35" t="s">
        <v>29</v>
      </c>
      <c r="L16" s="74"/>
      <c r="M16" s="74"/>
      <c r="N16" s="74"/>
      <c r="O16" s="74"/>
      <c r="P16" s="74"/>
      <c r="Q16" s="75"/>
      <c r="R16" s="75"/>
      <c r="S16" s="75"/>
      <c r="T16" s="75"/>
      <c r="U16" s="75"/>
    </row>
    <row r="17" spans="1:22" ht="36" customHeight="1" thickBot="1" x14ac:dyDescent="0.25">
      <c r="A17" s="43"/>
      <c r="B17" s="44">
        <f>Control_5 Open_time</f>
        <v>44437.682638888888</v>
      </c>
      <c r="C17" s="44">
        <f>Control_5 Close_time</f>
        <v>44438.205555555556</v>
      </c>
      <c r="D17" s="45"/>
      <c r="E17" s="46" t="str">
        <f>IF(ISBLANK(Control_5 Establishment_3),"",Control_5 Establishment_3)</f>
        <v>_____ ___ __</v>
      </c>
      <c r="F17" s="46" t="str">
        <f>IF(ISBLANK('Control Entry'!K14),"",'Control Entry'!K14)</f>
        <v/>
      </c>
      <c r="G17" s="11"/>
      <c r="H17" s="35" t="s">
        <v>29</v>
      </c>
    </row>
    <row r="18" spans="1:22" ht="36" customHeight="1" x14ac:dyDescent="0.2">
      <c r="A18" s="39"/>
      <c r="B18" s="40">
        <f>Control_6 Open_time</f>
        <v>44437.780555555553</v>
      </c>
      <c r="C18" s="40">
        <f>Control_6 Close_time</f>
        <v>44438.411111111112</v>
      </c>
      <c r="D18" s="47"/>
      <c r="E18" s="42" t="str">
        <f>IF(ISBLANK(Control_6 Establishment_1),"",Control_6 Establishment_1)</f>
        <v>Knight Rd @ Bike Rt</v>
      </c>
      <c r="F18" s="42" t="str">
        <f>IF(ISBLANK('Control Entry'!I15),"",'Control Entry'!I15)</f>
        <v/>
      </c>
      <c r="G18" s="10"/>
      <c r="H18" s="35" t="s">
        <v>29</v>
      </c>
    </row>
    <row r="19" spans="1:22" ht="36" customHeight="1" x14ac:dyDescent="0.2">
      <c r="A19" s="48">
        <f>IF(ISBLANK(Distance Control_6),"",Control_6 Distance)</f>
        <v>417.9</v>
      </c>
      <c r="B19" s="49">
        <f>Control_6 Open_time</f>
        <v>44437.780555555553</v>
      </c>
      <c r="C19" s="49">
        <f>Control_6 Close_time</f>
        <v>44438.411111111112</v>
      </c>
      <c r="D19" s="50" t="str">
        <f>IF(ISBLANK(Locale Control_6),"",Locale Control_6)</f>
        <v>Chilliwack</v>
      </c>
      <c r="E19" s="42" t="str">
        <f>IF(ISBLANK(Control_6 Establishment_2),"",Control_6 Establishment_2)</f>
        <v>How many zipties on back of the</v>
      </c>
      <c r="F19" s="42" t="str">
        <f>IF(ISBLANK('Control Entry'!J15),"",'Control Entry'!J15)</f>
        <v/>
      </c>
      <c r="G19" s="10"/>
      <c r="H19" s="35" t="s">
        <v>29</v>
      </c>
    </row>
    <row r="20" spans="1:22" ht="36" customHeight="1" thickBot="1" x14ac:dyDescent="0.25">
      <c r="A20" s="43"/>
      <c r="B20" s="44">
        <f>Control_6 Open_time</f>
        <v>44437.780555555553</v>
      </c>
      <c r="C20" s="44">
        <f>Control_6 Close_time</f>
        <v>44438.411111111112</v>
      </c>
      <c r="D20" s="45"/>
      <c r="E20" s="46" t="str">
        <f>IF(ISBLANK(Control_6 Establishment_3),"",Control_6 Establishment_3)</f>
        <v>"no motorized vehicles" sign?</v>
      </c>
      <c r="F20" s="46" t="str">
        <f>IF(ISBLANK('Control Entry'!K15),"",'Control Entry'!K15)</f>
        <v/>
      </c>
      <c r="G20" s="11"/>
      <c r="H20" s="35" t="s">
        <v>29</v>
      </c>
      <c r="J20" s="73" t="s">
        <v>45</v>
      </c>
      <c r="K20" s="73"/>
      <c r="L20" s="76"/>
      <c r="M20" s="76"/>
      <c r="N20" s="76"/>
      <c r="P20" s="24" t="s">
        <v>0</v>
      </c>
      <c r="Q20" s="24"/>
      <c r="S20" s="124">
        <f>'Control Entry'!B8</f>
        <v>0.25</v>
      </c>
      <c r="T20" s="124"/>
      <c r="U20" s="124"/>
    </row>
    <row r="21" spans="1:22" ht="36" customHeight="1" x14ac:dyDescent="0.2">
      <c r="A21" s="39"/>
      <c r="B21" s="40">
        <f>Control_7 Open_time</f>
        <v>44437.881249999999</v>
      </c>
      <c r="C21" s="40">
        <f>Control_7 Close_time</f>
        <v>44438.612500000003</v>
      </c>
      <c r="D21" s="47"/>
      <c r="E21" s="42" t="str">
        <f>IF(ISBLANK(Control_7 Establishment_1),"",Control_7 Establishment_1)</f>
        <v>272nd St @ River Rd</v>
      </c>
      <c r="F21" s="42" t="str">
        <f>IF(ISBLANK('Control Entry'!I16),"",'Control Entry'!I16)</f>
        <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490.4</v>
      </c>
      <c r="B22" s="49">
        <f>Control_7 Open_time</f>
        <v>44437.881249999999</v>
      </c>
      <c r="C22" s="49">
        <f>Control_7 Close_time</f>
        <v>44438.612500000003</v>
      </c>
      <c r="D22" s="50" t="str">
        <f>IF(ISBLANK(Locale Control_7),"",Locale Control_7)</f>
        <v>Fort Langley</v>
      </c>
      <c r="E22" s="42" t="str">
        <f>IF(ISBLANK(Control_7 Establishment_2),"",Control_7 Establishment_2)</f>
        <v>Number on the POLE (not sign) on back of</v>
      </c>
      <c r="F22" s="42" t="str">
        <f>IF(ISBLANK('Control Entry'!J16),"",'Control Entry'!J16)</f>
        <v/>
      </c>
      <c r="G22" s="10"/>
      <c r="H22" s="35" t="s">
        <v>29</v>
      </c>
      <c r="J22" s="72" t="s">
        <v>46</v>
      </c>
      <c r="K22" s="72"/>
      <c r="L22" s="76"/>
      <c r="M22" s="76"/>
      <c r="N22" s="76"/>
      <c r="O22" s="25"/>
      <c r="P22" s="24" t="s">
        <v>1</v>
      </c>
      <c r="Q22" s="24"/>
      <c r="R22" s="25"/>
      <c r="S22" s="78"/>
      <c r="T22" s="78"/>
      <c r="U22" s="78"/>
    </row>
    <row r="23" spans="1:22" ht="36" customHeight="1" thickBot="1" x14ac:dyDescent="0.25">
      <c r="A23" s="43"/>
      <c r="B23" s="44">
        <f>Control_7 Open_time</f>
        <v>44437.881249999999</v>
      </c>
      <c r="C23" s="44">
        <f>Control_7 Close_time</f>
        <v>44438.612500000003</v>
      </c>
      <c r="D23" s="45"/>
      <c r="E23" s="46" t="str">
        <f>IF(ISBLANK(Control_7 Establishment_3),"",Control_7 Establishment_3)</f>
        <v>street signpost</v>
      </c>
      <c r="F23" s="46" t="str">
        <f>IF(ISBLANK('Control Entry'!K16),"",'Control Entry'!K16)</f>
        <v/>
      </c>
      <c r="G23" s="11"/>
      <c r="H23" s="35" t="s">
        <v>29</v>
      </c>
      <c r="J23" s="72"/>
      <c r="K23" s="72"/>
      <c r="L23" s="71"/>
      <c r="M23" s="71"/>
      <c r="N23" s="71"/>
      <c r="O23" s="29"/>
      <c r="P23" s="70"/>
      <c r="Q23" s="70"/>
      <c r="R23" s="29"/>
      <c r="S23" s="29"/>
      <c r="T23" s="29"/>
      <c r="U23" s="29"/>
      <c r="V23" s="36"/>
    </row>
    <row r="24" spans="1:22" ht="36" customHeight="1" thickBot="1" x14ac:dyDescent="0.25">
      <c r="A24" s="39"/>
      <c r="B24" s="40">
        <f>Control_8 Open_time</f>
        <v>44437.929861111108</v>
      </c>
      <c r="C24" s="40">
        <f>Control_8 Close_time</f>
        <v>44438.709027777775</v>
      </c>
      <c r="D24" s="47"/>
      <c r="E24" s="42" t="str">
        <f>IF(ISBLANK(Control_8 Establishment_1),"",Control_8 Establishment_1)</f>
        <v>Campbell Valley Park</v>
      </c>
      <c r="F24" s="42" t="str">
        <f>IF(ISBLANK('Control Entry'!I17),"",'Control Entry'!I17)</f>
        <v/>
      </c>
      <c r="G24" s="10"/>
      <c r="H24" s="35" t="s">
        <v>29</v>
      </c>
      <c r="J24" s="18"/>
      <c r="K24" s="18"/>
      <c r="L24" s="18"/>
      <c r="M24" s="26"/>
      <c r="N24" s="26"/>
      <c r="O24" s="25"/>
      <c r="P24" s="24" t="s">
        <v>2</v>
      </c>
      <c r="Q24" s="24"/>
      <c r="R24" s="25"/>
      <c r="S24" s="26"/>
      <c r="T24" s="26"/>
      <c r="U24" s="26"/>
    </row>
    <row r="25" spans="1:22" ht="36" customHeight="1" x14ac:dyDescent="0.2">
      <c r="A25" s="48">
        <f>IF(ISBLANK(Distance Control_8),"",Control_8 Distance)</f>
        <v>525.29999999999995</v>
      </c>
      <c r="B25" s="49">
        <f>Control_8 Open_time</f>
        <v>44437.929861111108</v>
      </c>
      <c r="C25" s="49">
        <f>Control_8 Close_time</f>
        <v>44438.709027777775</v>
      </c>
      <c r="D25" s="50" t="str">
        <f>IF(ISBLANK(Locale Control_8),"",Locale Control_8)</f>
        <v>Langley</v>
      </c>
      <c r="E25" s="67" t="str">
        <f>IF(ISBLANK(Control_8 Establishment_2),"",Control_8 Establishment_2)</f>
        <v>top sign on post to right of gate</v>
      </c>
      <c r="F25" s="42" t="str">
        <f>IF(ISBLANK('Control Entry'!J17),"",'Control Entry'!J17)</f>
        <v/>
      </c>
      <c r="G25" s="10"/>
      <c r="H25" s="35" t="s">
        <v>29</v>
      </c>
      <c r="J25" s="122" t="s">
        <v>17</v>
      </c>
      <c r="K25" s="122"/>
      <c r="L25" s="122"/>
      <c r="M25" s="122"/>
      <c r="N25" s="122"/>
      <c r="O25" s="63"/>
      <c r="P25" s="119"/>
      <c r="Q25" s="119"/>
      <c r="R25" s="63"/>
      <c r="S25" s="120"/>
      <c r="T25" s="120"/>
      <c r="U25" s="120"/>
      <c r="V25" s="120"/>
    </row>
    <row r="26" spans="1:22" ht="36" customHeight="1" thickBot="1" x14ac:dyDescent="0.25">
      <c r="A26" s="43"/>
      <c r="B26" s="44">
        <f>Control_8 Open_time</f>
        <v>44437.929861111108</v>
      </c>
      <c r="C26" s="44">
        <f>Control_8 Close_time</f>
        <v>44438.709027777775</v>
      </c>
      <c r="D26" s="45"/>
      <c r="E26" s="46" t="str">
        <f>IF(ISBLANK(Control_8 Establishment_3),"",Control_8 Establishment_3)</f>
        <v>____ must be ____</v>
      </c>
      <c r="F26" s="46" t="str">
        <f>IF(ISBLANK('Control Entry'!K17),"",'Control Entry'!K17)</f>
        <v/>
      </c>
      <c r="G26" s="11"/>
      <c r="H26" s="35" t="s">
        <v>29</v>
      </c>
    </row>
    <row r="27" spans="1:22" ht="36" customHeight="1" x14ac:dyDescent="0.2">
      <c r="A27" s="39"/>
      <c r="B27" s="40">
        <f>Control_9 Open_time</f>
        <v>44437.96875</v>
      </c>
      <c r="C27" s="40">
        <f>Control_9 Close_time</f>
        <v>44438.787499999999</v>
      </c>
      <c r="D27" s="47"/>
      <c r="E27" s="42" t="str">
        <f>IF(ISBLANK(Control_9 Establishment_1),"",Control_9 Establishment_1)</f>
        <v>Allard Cres</v>
      </c>
      <c r="F27" s="42" t="str">
        <f>IF(ISBLANK('Control Entry'!I18),"",'Control Entry'!I18)</f>
        <v/>
      </c>
      <c r="G27" s="10"/>
      <c r="H27" s="35" t="s">
        <v>29</v>
      </c>
      <c r="K27" s="118" t="s">
        <v>57</v>
      </c>
      <c r="L27" s="119"/>
      <c r="M27" s="62" t="s">
        <v>58</v>
      </c>
      <c r="N27" s="119" t="s">
        <v>50</v>
      </c>
      <c r="O27" s="119"/>
      <c r="P27" s="119" t="s">
        <v>51</v>
      </c>
      <c r="Q27" s="119"/>
      <c r="R27" s="63" t="s">
        <v>52</v>
      </c>
      <c r="S27" s="120" t="s">
        <v>53</v>
      </c>
      <c r="T27" s="120"/>
      <c r="U27" s="120" t="s">
        <v>54</v>
      </c>
      <c r="V27" s="120"/>
    </row>
    <row r="28" spans="1:22" ht="36" customHeight="1" x14ac:dyDescent="0.2">
      <c r="A28" s="48">
        <f>IF(ISBLANK(Distance Control_9),"",Control_9 Distance)</f>
        <v>553.5</v>
      </c>
      <c r="B28" s="49">
        <f>Control_9 Open_time</f>
        <v>44437.96875</v>
      </c>
      <c r="C28" s="49">
        <f>Control_9 Close_time</f>
        <v>44438.787499999999</v>
      </c>
      <c r="D28" s="50" t="str">
        <f>IF(ISBLANK(Locale Control_9),"",Locale Control_9)</f>
        <v>Fort Langley</v>
      </c>
      <c r="E28" s="42" t="str">
        <f>IF(ISBLANK(Control_9 Establishment_2),"",Control_9 Establishment_2)</f>
        <v>What animal is on the fort-to-fort</v>
      </c>
      <c r="F28" s="42" t="str">
        <f>IF(ISBLANK('Control Entry'!J18),"",'Control Entry'!J18)</f>
        <v/>
      </c>
      <c r="G28" s="10"/>
      <c r="H28" s="35" t="s">
        <v>29</v>
      </c>
    </row>
    <row r="29" spans="1:22" ht="36" customHeight="1" thickBot="1" x14ac:dyDescent="0.25">
      <c r="A29" s="43"/>
      <c r="B29" s="44">
        <f>Control_9 Open_time</f>
        <v>44437.96875</v>
      </c>
      <c r="C29" s="44">
        <f>Control_9 Close_time</f>
        <v>44438.787499999999</v>
      </c>
      <c r="D29" s="45"/>
      <c r="E29" s="46" t="str">
        <f>IF(ISBLANK(Control_9 Establishment_3),"",Control_9 Establishment_3)</f>
        <v>trail sign?</v>
      </c>
      <c r="F29" s="46" t="str">
        <f>IF(ISBLANK('Control Entry'!K18),"",'Control Entry'!K18)</f>
        <v/>
      </c>
      <c r="G29" s="11"/>
      <c r="H29" s="35" t="s">
        <v>29</v>
      </c>
      <c r="M29" s="128" t="s">
        <v>42</v>
      </c>
      <c r="N29" s="128"/>
      <c r="O29" s="128"/>
      <c r="P29" s="128"/>
      <c r="Q29" s="128"/>
      <c r="R29" s="128"/>
      <c r="S29" s="128"/>
      <c r="T29" s="128"/>
      <c r="U29" s="68"/>
    </row>
    <row r="30" spans="1:22" ht="36" customHeight="1" x14ac:dyDescent="0.2">
      <c r="A30" s="39"/>
      <c r="B30" s="40">
        <f>Control_10 Open_time</f>
        <v>44438.037499999999</v>
      </c>
      <c r="C30" s="40">
        <f>Control_10 Close_time</f>
        <v>44438.916666666664</v>
      </c>
      <c r="D30" s="47"/>
      <c r="E30" s="42" t="str">
        <f>IF(ISBLANK(Control_10 Establishment_1),"",Control_10 Establishment_1)</f>
        <v>Breka Café</v>
      </c>
      <c r="F30" s="42" t="str">
        <f>IF(ISBLANK('Control Entry'!I19),"",'Control Entry'!I19)</f>
        <v/>
      </c>
      <c r="G30" s="10"/>
      <c r="H30" s="35" t="s">
        <v>29</v>
      </c>
      <c r="M30" s="19"/>
      <c r="N30" s="27"/>
      <c r="O30" s="27"/>
      <c r="P30" s="28"/>
      <c r="Q30" s="27"/>
      <c r="R30" s="27"/>
      <c r="S30" s="27"/>
      <c r="T30" s="28"/>
      <c r="U30" s="29"/>
    </row>
    <row r="31" spans="1:22" ht="36" customHeight="1" x14ac:dyDescent="0.2">
      <c r="A31" s="48">
        <f>IF(ISBLANK(Distance Control_10),"",Control_10 Distance)</f>
        <v>602.6</v>
      </c>
      <c r="B31" s="49">
        <f>Control_10 Open_time</f>
        <v>44438.037499999999</v>
      </c>
      <c r="C31" s="49">
        <f>Control_10 Close_time</f>
        <v>44438.916666666664</v>
      </c>
      <c r="D31" s="50" t="str">
        <f>IF(ISBLANK(Locale Control_10),"",Locale Control_10)</f>
        <v>Vancouver</v>
      </c>
      <c r="E31" s="42" t="str">
        <f>IF(ISBLANK(Control_10 Establishment_2),"",Control_10 Establishment_2)</f>
        <v>Signature (and also sign your control card!)</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f>Control_10 Open_time</f>
        <v>44438.037499999999</v>
      </c>
      <c r="C32" s="44">
        <f>Control_10 Close_time</f>
        <v>44438.916666666664</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36" customHeight="1" x14ac:dyDescent="0.2">
      <c r="A33" s="117" t="s">
        <v>43</v>
      </c>
      <c r="B33" s="117"/>
      <c r="C33" s="117"/>
      <c r="D33" s="117"/>
      <c r="E33" s="117"/>
      <c r="F33" s="117"/>
      <c r="G33" s="117"/>
      <c r="H33" s="51"/>
      <c r="I33" s="51"/>
      <c r="N33" s="129"/>
      <c r="O33" s="129"/>
      <c r="P33" s="129"/>
      <c r="Q33" s="129"/>
      <c r="R33" s="129"/>
      <c r="S33" s="129"/>
      <c r="T33" s="129"/>
      <c r="U33" s="129"/>
      <c r="V33" s="61"/>
    </row>
    <row r="34" spans="1:22" ht="36" customHeight="1" x14ac:dyDescent="0.2">
      <c r="A34"/>
      <c r="O34" s="59"/>
      <c r="P34" s="59"/>
      <c r="Q34" s="59"/>
      <c r="R34" s="58"/>
    </row>
    <row r="35" spans="1:22" ht="36" customHeight="1" x14ac:dyDescent="0.2">
      <c r="A35"/>
      <c r="N35" s="128"/>
      <c r="O35" s="128"/>
      <c r="P35" s="128"/>
      <c r="Q35" s="128"/>
      <c r="R35" s="128"/>
      <c r="S35" s="128"/>
      <c r="T35" s="128"/>
      <c r="U35" s="128"/>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T8:U8"/>
    <mergeCell ref="N35:U35"/>
    <mergeCell ref="M29:T29"/>
    <mergeCell ref="N27:O27"/>
    <mergeCell ref="P27:Q27"/>
    <mergeCell ref="S27:T27"/>
    <mergeCell ref="U27:V27"/>
    <mergeCell ref="N33:U3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16" t="s">
        <v>44</v>
      </c>
      <c r="B1" s="116"/>
      <c r="C1" s="116"/>
      <c r="D1" s="116"/>
      <c r="E1" s="116"/>
      <c r="F1" s="116"/>
      <c r="G1" s="116"/>
      <c r="H1" s="35" t="s">
        <v>29</v>
      </c>
    </row>
    <row r="2" spans="1:22" ht="33.75" customHeight="1" thickBot="1" x14ac:dyDescent="0.25">
      <c r="A2" s="95" t="s">
        <v>30</v>
      </c>
      <c r="B2" s="9" t="s">
        <v>3</v>
      </c>
      <c r="C2" s="9" t="s">
        <v>4</v>
      </c>
      <c r="D2" s="9" t="s">
        <v>25</v>
      </c>
      <c r="E2" s="9" t="s">
        <v>31</v>
      </c>
      <c r="F2" s="9" t="s">
        <v>60</v>
      </c>
      <c r="G2" s="95" t="s">
        <v>32</v>
      </c>
      <c r="H2" s="35" t="s">
        <v>29</v>
      </c>
      <c r="K2" s="114" t="s">
        <v>56</v>
      </c>
      <c r="L2" s="114"/>
      <c r="M2" s="114"/>
      <c r="N2" s="114"/>
      <c r="O2" s="114"/>
      <c r="P2" s="114"/>
      <c r="Q2" s="114"/>
      <c r="R2" s="114"/>
      <c r="S2" s="114"/>
      <c r="T2" s="114"/>
      <c r="U2" s="114"/>
    </row>
    <row r="3" spans="1:22" ht="36" customHeight="1" x14ac:dyDescent="0.45">
      <c r="A3" s="39"/>
      <c r="B3" s="40" t="str">
        <f>'Control Entry'!N23</f>
        <v/>
      </c>
      <c r="C3" s="40" t="str">
        <f>'Control Entry'!O23</f>
        <v/>
      </c>
      <c r="D3" s="41"/>
      <c r="E3" s="42" t="str">
        <f>IF(ISBLANK('Control Entry'!F23),"",'Control Entry'!F23)</f>
        <v/>
      </c>
      <c r="F3" s="42" t="str">
        <f>IF(ISBLANK('Control Entry'!I23),"",'Control Entry'!I23)</f>
        <v/>
      </c>
      <c r="G3" s="10"/>
      <c r="H3" s="35" t="s">
        <v>29</v>
      </c>
      <c r="K3" s="16"/>
      <c r="N3" s="123" t="s">
        <v>62</v>
      </c>
      <c r="O3" s="123"/>
      <c r="P3" s="123"/>
      <c r="Q3" s="123"/>
      <c r="R3" s="123"/>
      <c r="S3" s="123"/>
      <c r="T3" s="52"/>
      <c r="U3" s="52"/>
    </row>
    <row r="4" spans="1:22" ht="36" customHeight="1" x14ac:dyDescent="0.2">
      <c r="A4" s="48" t="str">
        <f>IF(ISBLANK('Control Entry'!D23),"",'Control Entry'!D23)</f>
        <v/>
      </c>
      <c r="B4" s="49" t="str">
        <f>'Control Entry'!N23</f>
        <v/>
      </c>
      <c r="C4" s="49" t="str">
        <f>'Control Entry'!O23</f>
        <v/>
      </c>
      <c r="D4" s="50" t="str">
        <f>IF(ISBLANK('Control Entry'!E23),"",'Control Entry'!E23)</f>
        <v/>
      </c>
      <c r="E4" s="42" t="str">
        <f>IF(ISBLANK('Control Entry'!G23),"",'Control Entry'!G23)</f>
        <v/>
      </c>
      <c r="F4" s="42" t="str">
        <f>IF(ISBLANK('Control Entry'!J23),"",'Control Entry'!J23)</f>
        <v/>
      </c>
      <c r="G4" s="10"/>
      <c r="H4" s="35" t="s">
        <v>29</v>
      </c>
      <c r="K4" s="16"/>
      <c r="M4" s="118" t="str">
        <f>IF(ISBLANK(brevet),"",brevet&amp;" km Randonnée")</f>
        <v>600 km Randonnée</v>
      </c>
      <c r="N4" s="118"/>
      <c r="O4" s="118"/>
      <c r="P4" s="118"/>
      <c r="Q4" s="118"/>
      <c r="R4" s="118"/>
      <c r="S4" s="118"/>
      <c r="T4" s="118"/>
      <c r="U4" s="53"/>
    </row>
    <row r="5" spans="1:22" ht="36" customHeight="1" thickBot="1" x14ac:dyDescent="0.25">
      <c r="A5" s="43"/>
      <c r="B5" s="44" t="str">
        <f>'Control Entry'!N23</f>
        <v/>
      </c>
      <c r="C5" s="44" t="str">
        <f>'Control Entry'!O23</f>
        <v/>
      </c>
      <c r="D5" s="45"/>
      <c r="E5" s="46" t="str">
        <f>IF(ISBLANK('Control Entry'!H23),"",'Control Entry'!H23)</f>
        <v/>
      </c>
      <c r="F5" s="46" t="str">
        <f>IF(ISBLANK('Control Entry'!K23),"",'Control Entry'!K23)</f>
        <v/>
      </c>
      <c r="G5" s="11"/>
      <c r="H5" s="35" t="s">
        <v>29</v>
      </c>
      <c r="K5" s="16"/>
      <c r="M5" s="17"/>
      <c r="N5" s="121" t="s">
        <v>48</v>
      </c>
      <c r="O5" s="121"/>
      <c r="P5" s="81">
        <f>IF(ISBLANK(Brevet_Number),"",Brevet_Number)</f>
        <v>5087</v>
      </c>
      <c r="Q5" s="82"/>
      <c r="R5" s="113" t="str">
        <f>IF(ISBLANK('Control Entry'!$B5),"",'Control Entry'!$B5)</f>
        <v>&lt;ride window&gt;</v>
      </c>
      <c r="S5" s="113"/>
      <c r="T5" s="113"/>
      <c r="U5" s="113"/>
      <c r="V5" s="54"/>
    </row>
    <row r="6" spans="1:22" ht="36" customHeight="1" x14ac:dyDescent="0.2">
      <c r="A6" s="39"/>
      <c r="B6" s="40" t="str">
        <f>'Control Entry'!N24</f>
        <v/>
      </c>
      <c r="C6" s="40" t="str">
        <f>'Control Entry'!O24</f>
        <v/>
      </c>
      <c r="D6" s="47"/>
      <c r="E6" s="42" t="str">
        <f>IF(ISBLANK('Control Entry'!F24),"",'Control Entry'!F24)</f>
        <v/>
      </c>
      <c r="F6" s="42" t="str">
        <f>IF(ISBLANK('Control Entry'!I24),"",'Control Entry'!I24)</f>
        <v/>
      </c>
      <c r="G6" s="10"/>
      <c r="H6" s="35" t="s">
        <v>29</v>
      </c>
      <c r="K6" s="16"/>
      <c r="L6" s="126" t="str">
        <f>IF(ISBLANK(Brevet_Description),"",Brevet_Description)</f>
        <v>BAPAPAB</v>
      </c>
      <c r="M6" s="126"/>
      <c r="N6" s="126"/>
      <c r="O6" s="126"/>
      <c r="P6" s="126"/>
      <c r="Q6" s="126"/>
      <c r="R6" s="126"/>
      <c r="S6" s="126"/>
      <c r="T6" s="126"/>
      <c r="U6" s="126"/>
    </row>
    <row r="7" spans="1:22" ht="36" customHeight="1" x14ac:dyDescent="0.2">
      <c r="A7" s="48" t="str">
        <f>IF(ISBLANK('Control Entry'!D24),"",'Control Entry'!D24)</f>
        <v/>
      </c>
      <c r="B7" s="49" t="str">
        <f>'Control Entry'!N24</f>
        <v/>
      </c>
      <c r="C7" s="49" t="str">
        <f>'Control Entry'!O24</f>
        <v/>
      </c>
      <c r="D7" s="50" t="str">
        <f>IF(ISBLANK('Control Entry'!E24),"",'Control Entry'!E24)</f>
        <v/>
      </c>
      <c r="E7" s="42" t="str">
        <f>IF(ISBLANK('Control Entry'!G24),"",'Control Entry'!G24)</f>
        <v/>
      </c>
      <c r="F7" s="42" t="str">
        <f>IF(ISBLANK('Control Entry'!J24),"",'Control Entry'!J24)</f>
        <v/>
      </c>
      <c r="G7" s="10"/>
      <c r="H7" s="35" t="s">
        <v>29</v>
      </c>
    </row>
    <row r="8" spans="1:22" ht="36" customHeight="1" thickBot="1" x14ac:dyDescent="0.25">
      <c r="A8" s="43"/>
      <c r="B8" s="44" t="str">
        <f>'Control Entry'!N24</f>
        <v/>
      </c>
      <c r="C8" s="44" t="str">
        <f>'Control Entry'!O24</f>
        <v/>
      </c>
      <c r="D8" s="45"/>
      <c r="E8" s="46" t="str">
        <f>IF(ISBLANK('Control Entry'!H24),"",'Control Entry'!H24)</f>
        <v/>
      </c>
      <c r="F8" s="46" t="str">
        <f>IF(ISBLANK('Control Entry'!K24),"",'Control Entry'!K24)</f>
        <v/>
      </c>
      <c r="G8" s="11"/>
      <c r="H8" s="35" t="s">
        <v>29</v>
      </c>
      <c r="J8" s="17" t="s">
        <v>34</v>
      </c>
      <c r="L8" s="115" t="str">
        <f>IF(ISBLANK('Control Card #1'!L8:Q8),"",'Control Card #1'!L8:Q8)</f>
        <v/>
      </c>
      <c r="M8" s="115"/>
      <c r="N8" s="115"/>
      <c r="O8" s="115"/>
      <c r="P8" s="115"/>
      <c r="Q8" s="115"/>
      <c r="R8" s="36"/>
      <c r="S8" s="55" t="s">
        <v>47</v>
      </c>
      <c r="T8" s="130" t="str">
        <f>IF(ISBLANK('Control Card #1'!T8:U8),"",'Control Card #1'!T8:U8)</f>
        <v/>
      </c>
      <c r="U8" s="130"/>
    </row>
    <row r="9" spans="1:22" ht="36" customHeight="1" x14ac:dyDescent="0.2">
      <c r="A9" s="39"/>
      <c r="B9" s="40" t="str">
        <f>'Control Entry'!N25</f>
        <v/>
      </c>
      <c r="C9" s="40" t="str">
        <f>'Control Entry'!O25</f>
        <v/>
      </c>
      <c r="D9" s="47"/>
      <c r="E9" s="42" t="str">
        <f>IF(ISBLANK('Control Entry'!F25),"",'Control Entry'!F25)</f>
        <v/>
      </c>
      <c r="F9" s="42" t="str">
        <f>IF(ISBLANK('Control Entry'!I25),"",'Control Entry'!I25)</f>
        <v/>
      </c>
      <c r="G9" s="10"/>
      <c r="H9" s="35" t="s">
        <v>29</v>
      </c>
    </row>
    <row r="10" spans="1:22" ht="36" customHeight="1" x14ac:dyDescent="0.2">
      <c r="A10" s="48" t="str">
        <f>IF(ISBLANK('Control Entry'!D25),"",'Control Entry'!D25)</f>
        <v/>
      </c>
      <c r="B10" s="49" t="str">
        <f>'Control Entry'!N25</f>
        <v/>
      </c>
      <c r="C10" s="49" t="str">
        <f>'Control Entry'!O25</f>
        <v/>
      </c>
      <c r="D10" s="50" t="str">
        <f>IF(ISBLANK('Control Entry'!E25),"",'Control Entry'!E25)</f>
        <v/>
      </c>
      <c r="E10" s="42" t="str">
        <f>IF(ISBLANK('Control Entry'!G25),"",'Control Entry'!G25)</f>
        <v/>
      </c>
      <c r="F10" s="42" t="str">
        <f>IF(ISBLANK('Control Entry'!J25),"",'Control Entry'!J25)</f>
        <v/>
      </c>
      <c r="G10" s="10"/>
      <c r="H10" s="35" t="s">
        <v>29</v>
      </c>
    </row>
    <row r="11" spans="1:22" ht="36" customHeight="1" thickBot="1" x14ac:dyDescent="0.25">
      <c r="A11" s="43"/>
      <c r="B11" s="44" t="str">
        <f>'Control Entry'!N25</f>
        <v/>
      </c>
      <c r="C11" s="44" t="str">
        <f>'Control Entry'!O25</f>
        <v/>
      </c>
      <c r="D11" s="45"/>
      <c r="E11" s="46" t="str">
        <f>IF(ISBLANK('Control Entry'!H25),"",'Control Entry'!H25)</f>
        <v/>
      </c>
      <c r="F11" s="46" t="str">
        <f>IF(ISBLANK('Control Entry'!K25),"",'Control Entry'!K25)</f>
        <v/>
      </c>
      <c r="G11" s="11"/>
      <c r="H11" s="35" t="s">
        <v>29</v>
      </c>
    </row>
    <row r="12" spans="1:22" ht="36" customHeight="1" x14ac:dyDescent="0.2">
      <c r="A12" s="39"/>
      <c r="B12" s="40" t="str">
        <f>'Control Entry'!N26</f>
        <v/>
      </c>
      <c r="C12" s="40" t="str">
        <f>'Control Entry'!O26</f>
        <v/>
      </c>
      <c r="D12" s="47"/>
      <c r="E12" s="42" t="str">
        <f>IF(ISBLANK('Control Entry'!F26),"",'Control Entry'!F26)</f>
        <v/>
      </c>
      <c r="F12" s="42" t="str">
        <f>IF(ISBLANK('Control Entry'!I26),"",'Control Entry'!I26)</f>
        <v/>
      </c>
      <c r="G12" s="10"/>
      <c r="H12" s="35" t="s">
        <v>29</v>
      </c>
    </row>
    <row r="13" spans="1:22" ht="36" customHeight="1" x14ac:dyDescent="0.2">
      <c r="A13" s="48" t="str">
        <f>IF(ISBLANK('Control Entry'!D26),"",'Control Entry'!D26)</f>
        <v/>
      </c>
      <c r="B13" s="49" t="str">
        <f>'Control Entry'!N26</f>
        <v/>
      </c>
      <c r="C13" s="49" t="str">
        <f>'Control Entry'!O26</f>
        <v/>
      </c>
      <c r="D13" s="50" t="str">
        <f>IF(ISBLANK('Control Entry'!E26),"",'Control Entry'!E26)</f>
        <v/>
      </c>
      <c r="E13" s="42" t="str">
        <f>IF(ISBLANK('Control Entry'!G26),"",'Control Entry'!G26)</f>
        <v/>
      </c>
      <c r="F13" s="42" t="str">
        <f>IF(ISBLANK('Control Entry'!J26),"",'Control Entry'!J26)</f>
        <v/>
      </c>
      <c r="G13" s="10"/>
      <c r="H13" s="35" t="s">
        <v>29</v>
      </c>
    </row>
    <row r="14" spans="1:22" ht="36" customHeight="1" thickBot="1" x14ac:dyDescent="0.25">
      <c r="A14" s="43"/>
      <c r="B14" s="44" t="str">
        <f>'Control Entry'!N26</f>
        <v/>
      </c>
      <c r="C14" s="44" t="str">
        <f>'Control Entry'!O26</f>
        <v/>
      </c>
      <c r="D14" s="45"/>
      <c r="E14" s="46" t="str">
        <f>IF(ISBLANK('Control Entry'!H26),"",'Control Entry'!H26)</f>
        <v/>
      </c>
      <c r="F14" s="46" t="str">
        <f>IF(ISBLANK('Control Entry'!K26),"",'Control Entry'!K26)</f>
        <v/>
      </c>
      <c r="G14" s="11"/>
      <c r="H14" s="35" t="s">
        <v>29</v>
      </c>
    </row>
    <row r="15" spans="1:22" ht="36" customHeight="1" x14ac:dyDescent="0.2">
      <c r="A15" s="39"/>
      <c r="B15" s="40" t="str">
        <f>'Control Entry'!N27</f>
        <v/>
      </c>
      <c r="C15" s="40" t="str">
        <f>'Control Entry'!O27</f>
        <v/>
      </c>
      <c r="D15" s="47"/>
      <c r="E15" s="42" t="str">
        <f>IF(ISBLANK('Control Entry'!F27),"",'Control Entry'!F27)</f>
        <v/>
      </c>
      <c r="F15" s="42" t="str">
        <f>IF(ISBLANK('Control Entry'!I27),"",'Control Entry'!I27)</f>
        <v/>
      </c>
      <c r="G15" s="10"/>
      <c r="H15" s="35" t="s">
        <v>29</v>
      </c>
    </row>
    <row r="16" spans="1:22" ht="36" customHeight="1" x14ac:dyDescent="0.2">
      <c r="A16" s="48" t="str">
        <f>IF(ISBLANK('Control Entry'!D27),"",'Control Entry'!D27)</f>
        <v/>
      </c>
      <c r="B16" s="49" t="str">
        <f>'Control Entry'!N27</f>
        <v/>
      </c>
      <c r="C16" s="49" t="str">
        <f>'Control Entry'!O27</f>
        <v/>
      </c>
      <c r="D16" s="50" t="str">
        <f>IF(ISBLANK('Control Entry'!E27),"",'Control Entry'!E27)</f>
        <v/>
      </c>
      <c r="E16" s="42" t="str">
        <f>IF(ISBLANK('Control Entry'!G27),"",'Control Entry'!G27)</f>
        <v/>
      </c>
      <c r="F16" s="42" t="str">
        <f>IF(ISBLANK('Control Entry'!J27),"",'Control Entry'!J27)</f>
        <v/>
      </c>
      <c r="G16" s="10"/>
      <c r="H16" s="35" t="s">
        <v>29</v>
      </c>
    </row>
    <row r="17" spans="1:21" ht="36" customHeight="1" thickBot="1" x14ac:dyDescent="0.25">
      <c r="A17" s="43"/>
      <c r="B17" s="44" t="str">
        <f>'Control Entry'!N27</f>
        <v/>
      </c>
      <c r="C17" s="44" t="str">
        <f>'Control Entry'!O27</f>
        <v/>
      </c>
      <c r="D17" s="45"/>
      <c r="E17" s="46" t="str">
        <f>IF(ISBLANK('Control Entry'!H27),"",'Control Entry'!H27)</f>
        <v/>
      </c>
      <c r="F17" s="46" t="str">
        <f>IF(ISBLANK('Control Entry'!K27),"",'Control Entry'!K27)</f>
        <v/>
      </c>
      <c r="G17" s="11"/>
      <c r="H17" s="35" t="s">
        <v>29</v>
      </c>
    </row>
    <row r="18" spans="1:21" ht="36" customHeight="1" thickBot="1" x14ac:dyDescent="0.25">
      <c r="A18" s="39"/>
      <c r="B18" s="40" t="str">
        <f>'Control Entry'!N28</f>
        <v/>
      </c>
      <c r="C18" s="40" t="str">
        <f>'Control Entry'!O28</f>
        <v/>
      </c>
      <c r="D18" s="47"/>
      <c r="E18" s="42" t="str">
        <f>IF(ISBLANK('Control Entry'!F28),"",'Control Entry'!F28)</f>
        <v/>
      </c>
      <c r="F18" s="42" t="str">
        <f>IF(ISBLANK('Control Entry'!I28),"",'Control Entry'!I28)</f>
        <v/>
      </c>
      <c r="G18" s="10"/>
      <c r="H18" s="35" t="s">
        <v>29</v>
      </c>
      <c r="N18" s="132"/>
      <c r="O18" s="132"/>
      <c r="P18" s="132"/>
      <c r="Q18" s="132"/>
      <c r="R18" s="132"/>
      <c r="S18" s="132"/>
    </row>
    <row r="19" spans="1:21" ht="36" customHeight="1" x14ac:dyDescent="0.2">
      <c r="A19" s="48" t="str">
        <f>IF(ISBLANK('Control Entry'!D28),"",'Control Entry'!D28)</f>
        <v/>
      </c>
      <c r="B19" s="49" t="str">
        <f>'Control Entry'!N28</f>
        <v/>
      </c>
      <c r="C19" s="49" t="str">
        <f>'Control Entry'!O28</f>
        <v/>
      </c>
      <c r="D19" s="50" t="str">
        <f>IF(ISBLANK('Control Entry'!E28),"",'Control Entry'!E28)</f>
        <v/>
      </c>
      <c r="E19" s="42" t="str">
        <f>IF(ISBLANK('Control Entry'!G28),"",'Control Entry'!G28)</f>
        <v/>
      </c>
      <c r="F19" s="42" t="str">
        <f>IF(ISBLANK('Control Entry'!J28),"",'Control Entry'!J28)</f>
        <v/>
      </c>
      <c r="G19" s="10"/>
      <c r="H19" s="35" t="s">
        <v>29</v>
      </c>
      <c r="N19" s="122" t="s">
        <v>17</v>
      </c>
      <c r="O19" s="122"/>
      <c r="P19" s="122"/>
      <c r="Q19" s="122"/>
      <c r="R19" s="122"/>
      <c r="S19" s="122"/>
    </row>
    <row r="20" spans="1:21" ht="36" customHeight="1" thickBot="1" x14ac:dyDescent="0.25">
      <c r="A20" s="43"/>
      <c r="B20" s="44" t="str">
        <f>'Control Entry'!N28</f>
        <v/>
      </c>
      <c r="C20" s="44" t="str">
        <f>'Control Entry'!O28</f>
        <v/>
      </c>
      <c r="D20" s="45"/>
      <c r="E20" s="46" t="str">
        <f>IF(ISBLANK('Control Entry'!H28),"",'Control Entry'!H28)</f>
        <v/>
      </c>
      <c r="F20" s="46" t="str">
        <f>IF(ISBLANK('Control Entry'!K28),"",'Control Entry'!K28)</f>
        <v/>
      </c>
      <c r="G20" s="11"/>
      <c r="H20" s="35" t="s">
        <v>29</v>
      </c>
    </row>
    <row r="21" spans="1:21" ht="36" customHeight="1" x14ac:dyDescent="0.2">
      <c r="A21" s="39"/>
      <c r="B21" s="40" t="str">
        <f>'Control Entry'!N29</f>
        <v/>
      </c>
      <c r="C21" s="40" t="str">
        <f>'Control Entry'!O29</f>
        <v/>
      </c>
      <c r="D21" s="47"/>
      <c r="E21" s="42" t="str">
        <f>IF(ISBLANK('Control Entry'!F29),"",'Control Entry'!F29)</f>
        <v/>
      </c>
      <c r="F21" s="42" t="str">
        <f>IF(ISBLANK('Control Entry'!I29),"",'Control Entry'!I29)</f>
        <v/>
      </c>
      <c r="G21" s="10"/>
      <c r="H21" s="35" t="s">
        <v>29</v>
      </c>
      <c r="L21" s="131" t="s">
        <v>63</v>
      </c>
      <c r="M21" s="131"/>
      <c r="N21" s="131"/>
      <c r="O21" s="131"/>
      <c r="P21" s="131"/>
      <c r="Q21" s="131"/>
      <c r="R21" s="131"/>
      <c r="S21" s="131"/>
      <c r="T21" s="131"/>
      <c r="U21" s="131"/>
    </row>
    <row r="22" spans="1:21" ht="36" customHeight="1" x14ac:dyDescent="0.2">
      <c r="A22" s="48" t="str">
        <f>IF(ISBLANK('Control Entry'!D29),"",'Control Entry'!D29)</f>
        <v/>
      </c>
      <c r="B22" s="49" t="str">
        <f>'Control Entry'!N29</f>
        <v/>
      </c>
      <c r="C22" s="49" t="str">
        <f>'Control Entry'!O29</f>
        <v/>
      </c>
      <c r="D22" s="50" t="str">
        <f>IF(ISBLANK('Control Entry'!E29),"",'Control Entry'!E29)</f>
        <v/>
      </c>
      <c r="E22" s="42" t="str">
        <f>IF(ISBLANK('Control Entry'!G29),"",'Control Entry'!G29)</f>
        <v/>
      </c>
      <c r="F22" s="42" t="str">
        <f>IF(ISBLANK('Control Entry'!J29),"",'Control Entry'!J29)</f>
        <v/>
      </c>
      <c r="G22" s="10"/>
      <c r="H22" s="35" t="s">
        <v>29</v>
      </c>
    </row>
    <row r="23" spans="1:21" ht="36" customHeight="1" thickBot="1" x14ac:dyDescent="0.25">
      <c r="A23" s="43"/>
      <c r="B23" s="44" t="str">
        <f>'Control Entry'!N29</f>
        <v/>
      </c>
      <c r="C23" s="44" t="str">
        <f>'Control Entry'!O29</f>
        <v/>
      </c>
      <c r="D23" s="45"/>
      <c r="E23" s="46" t="str">
        <f>IF(ISBLANK('Control Entry'!H29),"",'Control Entry'!H29)</f>
        <v/>
      </c>
      <c r="F23" s="46" t="str">
        <f>IF(ISBLANK('Control Entry'!K29),"",'Control Entry'!K29)</f>
        <v/>
      </c>
      <c r="G23" s="11"/>
      <c r="H23" s="35" t="s">
        <v>29</v>
      </c>
    </row>
    <row r="24" spans="1:21" ht="36" customHeight="1" x14ac:dyDescent="0.2">
      <c r="A24" s="39"/>
      <c r="B24" s="40" t="str">
        <f>'Control Entry'!N30</f>
        <v/>
      </c>
      <c r="C24" s="40" t="str">
        <f>'Control Entry'!O30</f>
        <v/>
      </c>
      <c r="D24" s="47"/>
      <c r="E24" s="42" t="str">
        <f>IF(ISBLANK('Control Entry'!F30),"",'Control Entry'!F30)</f>
        <v/>
      </c>
      <c r="F24" s="42" t="str">
        <f>IF(ISBLANK('Control Entry'!I30),"",'Control Entry'!I30)</f>
        <v/>
      </c>
      <c r="G24" s="10"/>
      <c r="H24" s="35" t="s">
        <v>29</v>
      </c>
    </row>
    <row r="25" spans="1:21" ht="36" customHeight="1" x14ac:dyDescent="0.2">
      <c r="A25" s="48" t="str">
        <f>IF(ISBLANK('Control Entry'!D30),"",'Control Entry'!D30)</f>
        <v/>
      </c>
      <c r="B25" s="49" t="str">
        <f>'Control Entry'!N30</f>
        <v/>
      </c>
      <c r="C25" s="49" t="str">
        <f>'Control Entry'!O30</f>
        <v/>
      </c>
      <c r="D25" s="50" t="str">
        <f>IF(ISBLANK('Control Entry'!E30),"",'Control Entry'!E30)</f>
        <v/>
      </c>
      <c r="E25" s="42" t="str">
        <f>IF(ISBLANK('Control Entry'!G30),"",'Control Entry'!G30)</f>
        <v/>
      </c>
      <c r="F25" s="42" t="str">
        <f>IF(ISBLANK('Control Entry'!J30),"",'Control Entry'!J30)</f>
        <v/>
      </c>
      <c r="G25" s="10"/>
      <c r="H25" s="35" t="s">
        <v>29</v>
      </c>
    </row>
    <row r="26" spans="1:21" ht="36" customHeight="1" thickBot="1" x14ac:dyDescent="0.25">
      <c r="A26" s="43"/>
      <c r="B26" s="44" t="str">
        <f>'Control Entry'!N30</f>
        <v/>
      </c>
      <c r="C26" s="44" t="str">
        <f>'Control Entry'!O30</f>
        <v/>
      </c>
      <c r="D26" s="45"/>
      <c r="E26" s="46" t="str">
        <f>IF(ISBLANK('Control Entry'!H30),"",'Control Entry'!H30)</f>
        <v/>
      </c>
      <c r="F26" s="46" t="str">
        <f>IF(ISBLANK('Control Entry'!K30),"",'Control Entry'!K30)</f>
        <v/>
      </c>
      <c r="G26" s="11"/>
      <c r="H26" s="35" t="s">
        <v>29</v>
      </c>
    </row>
    <row r="27" spans="1:21" ht="36" customHeight="1" x14ac:dyDescent="0.2">
      <c r="A27" s="39"/>
      <c r="B27" s="40" t="str">
        <f>'Control Entry'!N31</f>
        <v/>
      </c>
      <c r="C27" s="40" t="str">
        <f>'Control Entry'!O31</f>
        <v/>
      </c>
      <c r="D27" s="47"/>
      <c r="E27" s="42" t="str">
        <f>IF(ISBLANK('Control Entry'!F31),"",'Control Entry'!F31)</f>
        <v/>
      </c>
      <c r="F27" s="42" t="str">
        <f>IF(ISBLANK('Control Entry'!I31),"",'Control Entry'!I31)</f>
        <v/>
      </c>
      <c r="G27" s="10"/>
      <c r="H27" s="35" t="s">
        <v>29</v>
      </c>
    </row>
    <row r="28" spans="1:21" ht="36" customHeight="1" x14ac:dyDescent="0.2">
      <c r="A28" s="48" t="str">
        <f>IF(ISBLANK('Control Entry'!D31),"",'Control Entry'!D31)</f>
        <v/>
      </c>
      <c r="B28" s="49" t="str">
        <f>'Control Entry'!N31</f>
        <v/>
      </c>
      <c r="C28" s="49" t="str">
        <f>'Control Entry'!O31</f>
        <v/>
      </c>
      <c r="D28" s="50" t="str">
        <f>IF(ISBLANK('Control Entry'!E31),"",'Control Entry'!E31)</f>
        <v/>
      </c>
      <c r="E28" s="42" t="str">
        <f>IF(ISBLANK('Control Entry'!G31),"",'Control Entry'!G31)</f>
        <v/>
      </c>
      <c r="F28" s="42" t="str">
        <f>IF(ISBLANK('Control Entry'!J31),"",'Control Entry'!J31)</f>
        <v/>
      </c>
      <c r="G28" s="10"/>
      <c r="H28" s="35" t="s">
        <v>29</v>
      </c>
    </row>
    <row r="29" spans="1:21" ht="36" customHeight="1" thickBot="1" x14ac:dyDescent="0.25">
      <c r="A29" s="43"/>
      <c r="B29" s="44" t="str">
        <f>'Control Entry'!N31</f>
        <v/>
      </c>
      <c r="C29" s="44" t="str">
        <f>'Control Entry'!O31</f>
        <v/>
      </c>
      <c r="D29" s="45"/>
      <c r="E29" s="46" t="str">
        <f>IF(ISBLANK('Control Entry'!H31),"",'Control Entry'!H31)</f>
        <v/>
      </c>
      <c r="F29" s="46" t="str">
        <f>IF(ISBLANK('Control Entry'!K31),"",'Control Entry'!K31)</f>
        <v/>
      </c>
      <c r="G29" s="11"/>
      <c r="H29" s="35" t="s">
        <v>29</v>
      </c>
      <c r="M29" s="128" t="s">
        <v>42</v>
      </c>
      <c r="N29" s="128"/>
      <c r="O29" s="128"/>
      <c r="P29" s="128"/>
      <c r="Q29" s="128"/>
      <c r="R29" s="128"/>
      <c r="S29" s="128"/>
      <c r="T29" s="128"/>
      <c r="U29" s="68"/>
    </row>
    <row r="30" spans="1:21" ht="36" customHeight="1" x14ac:dyDescent="0.2">
      <c r="A30" s="39"/>
      <c r="B30" s="40" t="str">
        <f>'Control Entry'!N32</f>
        <v/>
      </c>
      <c r="C30" s="40" t="str">
        <f>'Control Entry'!O32</f>
        <v/>
      </c>
      <c r="D30" s="47"/>
      <c r="E30" s="42" t="str">
        <f>IF(ISBLANK('Control Entry'!F32),"",'Control Entry'!F32)</f>
        <v/>
      </c>
      <c r="F30" s="42" t="str">
        <f>IF(ISBLANK('Control Entry'!I32),"",'Control Entry'!I32)</f>
        <v/>
      </c>
      <c r="G30" s="10"/>
      <c r="H30" s="35" t="s">
        <v>29</v>
      </c>
      <c r="M30" s="19"/>
      <c r="N30" s="27"/>
      <c r="O30" s="27"/>
      <c r="P30" s="28"/>
      <c r="Q30" s="27"/>
      <c r="R30" s="27"/>
      <c r="S30" s="27"/>
      <c r="T30" s="28"/>
      <c r="U30" s="29"/>
    </row>
    <row r="31" spans="1:21" ht="36" customHeight="1" x14ac:dyDescent="0.2">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1" ht="36" customHeight="1" thickBot="1" x14ac:dyDescent="0.25">
      <c r="A32" s="43"/>
      <c r="B32" s="44" t="str">
        <f>'Control Entry'!N32</f>
        <v/>
      </c>
      <c r="C32" s="44" t="str">
        <f>'Control Entry'!O32</f>
        <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x14ac:dyDescent="0.2">
      <c r="A33" s="117" t="s">
        <v>43</v>
      </c>
      <c r="B33" s="117"/>
      <c r="C33" s="117"/>
      <c r="D33" s="117"/>
      <c r="E33" s="117"/>
      <c r="F33" s="117"/>
      <c r="G33" s="117"/>
      <c r="H33" s="51"/>
      <c r="I33" s="51"/>
      <c r="N33" s="129"/>
      <c r="O33" s="129"/>
      <c r="P33" s="129"/>
      <c r="Q33" s="129"/>
      <c r="R33" s="129"/>
      <c r="S33" s="129"/>
      <c r="T33" s="129"/>
      <c r="U33" s="129"/>
      <c r="V33" s="71"/>
    </row>
    <row r="34" spans="1:22" ht="36" customHeight="1" x14ac:dyDescent="0.2">
      <c r="A34"/>
      <c r="O34" s="59"/>
      <c r="P34" s="59"/>
      <c r="Q34" s="59"/>
      <c r="R34" s="58"/>
    </row>
    <row r="35" spans="1:22" ht="36" customHeight="1" x14ac:dyDescent="0.2">
      <c r="A35"/>
      <c r="N35" s="128"/>
      <c r="O35" s="128"/>
      <c r="P35" s="128"/>
      <c r="Q35" s="128"/>
      <c r="R35" s="128"/>
      <c r="S35" s="128"/>
      <c r="T35" s="128"/>
      <c r="U35" s="128"/>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16">
    <mergeCell ref="A33:G33"/>
    <mergeCell ref="N33:U33"/>
    <mergeCell ref="N35:U35"/>
    <mergeCell ref="L21:U21"/>
    <mergeCell ref="L8:Q8"/>
    <mergeCell ref="M29:T29"/>
    <mergeCell ref="N18:S18"/>
    <mergeCell ref="N19:S19"/>
    <mergeCell ref="L6:U6"/>
    <mergeCell ref="T8:U8"/>
    <mergeCell ref="A1:G1"/>
    <mergeCell ref="K2:U2"/>
    <mergeCell ref="N3:S3"/>
    <mergeCell ref="M4:T4"/>
    <mergeCell ref="N5:O5"/>
    <mergeCell ref="R5:U5"/>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#1</vt:lpstr>
      <vt:lpstr>Control 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Microsoft Office User</cp:lastModifiedBy>
  <cp:lastPrinted>2021-08-21T03:52:17Z</cp:lastPrinted>
  <dcterms:created xsi:type="dcterms:W3CDTF">1997-11-12T04:43:39Z</dcterms:created>
  <dcterms:modified xsi:type="dcterms:W3CDTF">2021-08-27T05:12:47Z</dcterms:modified>
</cp:coreProperties>
</file>