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showInkAnnotation="0" autoCompressPictures="0"/>
  <mc:AlternateContent xmlns:mc="http://schemas.openxmlformats.org/markup-compatibility/2006">
    <mc:Choice Requires="x15">
      <x15ac:absPath xmlns:x15ac="http://schemas.microsoft.com/office/spreadsheetml/2010/11/ac" url="/Users/stephencarol/Documents/BCR/2021/5099/"/>
    </mc:Choice>
  </mc:AlternateContent>
  <xr:revisionPtr revIDLastSave="0" documentId="13_ncr:1_{094915CC-3A7C-014B-A433-CB88639D6589}" xr6:coauthVersionLast="36" xr6:coauthVersionMax="36" xr10:uidLastSave="{00000000-0000-0000-0000-000000000000}"/>
  <bookViews>
    <workbookView xWindow="0" yWindow="460" windowWidth="25600" windowHeight="15540" tabRatio="509" xr2:uid="{00000000-000D-0000-FFFF-FFFF00000000}"/>
  </bookViews>
  <sheets>
    <sheet name="Control Entry" sheetId="1" r:id="rId1"/>
    <sheet name="Control Card Sidney Start" sheetId="2" r:id="rId2"/>
    <sheet name="Control Card Atkins Start" sheetId="3" r:id="rId3"/>
  </sheets>
  <definedNames>
    <definedName name="Address_1" localSheetId="2">#REF!</definedName>
    <definedName name="Address_1">#REF!</definedName>
    <definedName name="Address_2" localSheetId="2">#REF!</definedName>
    <definedName name="Address_2">#REF!</definedName>
    <definedName name="brevet">'Control Entry'!$C$1</definedName>
    <definedName name="Brevet_Description">'Control Entry'!$B$3</definedName>
    <definedName name="Brevet_Length">'Control Entry'!$B$1</definedName>
    <definedName name="Brevet_Number">'Control Entry'!$B$4</definedName>
    <definedName name="City" localSheetId="2">#REF!</definedName>
    <definedName name="City">#REF!</definedName>
    <definedName name="Close">'Control Entry'!$M$10:$M$19</definedName>
    <definedName name="Close_time">'Control Entry'!$O$10:$O$19</definedName>
    <definedName name="Control_1">'Control Entry'!$D$10:$O$10</definedName>
    <definedName name="Control_10">'Control Entry'!$D$19:$O$19</definedName>
    <definedName name="Control_11" localSheetId="2">'Control Entry'!#REF!</definedName>
    <definedName name="Control_11">'Control Entry'!#REF!</definedName>
    <definedName name="Control_12" localSheetId="2">'Control Entry'!#REF!</definedName>
    <definedName name="Control_12">'Control Entry'!#REF!</definedName>
    <definedName name="Control_13" localSheetId="2">'Control Entry'!#REF!</definedName>
    <definedName name="Control_13">'Control Entry'!#REF!</definedName>
    <definedName name="Control_14" localSheetId="2">'Control Entry'!#REF!</definedName>
    <definedName name="Control_14">'Control Entry'!#REF!</definedName>
    <definedName name="Control_15" localSheetId="2">'Control Entry'!#REF!</definedName>
    <definedName name="Control_15">'Control Entry'!#REF!</definedName>
    <definedName name="Control_16" localSheetId="2">'Control Entry'!#REF!</definedName>
    <definedName name="Control_16">'Control Entry'!#REF!</definedName>
    <definedName name="Control_17" localSheetId="2">'Control Entry'!#REF!</definedName>
    <definedName name="Control_17">'Control Entry'!#REF!</definedName>
    <definedName name="Control_18" localSheetId="2">'Control Entry'!#REF!</definedName>
    <definedName name="Control_18">'Control Entry'!#REF!</definedName>
    <definedName name="Control_19" localSheetId="2">'Control Entry'!#REF!</definedName>
    <definedName name="Control_19">'Control Entry'!#REF!</definedName>
    <definedName name="Control_2">'Control Entry'!$D$11:$O$11</definedName>
    <definedName name="Control_20" localSheetId="2">'Control Entry'!#REF!</definedName>
    <definedName name="Control_20">'Control Entry'!#REF!</definedName>
    <definedName name="Control_3">'Control Entry'!$D$12:$O$12</definedName>
    <definedName name="Control_4">'Control Entry'!$D$13:$O$13</definedName>
    <definedName name="Control_5">'Control Entry'!$D$14:$O$14</definedName>
    <definedName name="Control_6">'Control Entry'!$D$15:$O$15</definedName>
    <definedName name="Control_7">'Control Entry'!$D$16:$O$16</definedName>
    <definedName name="Control_8">'Control Entry'!$D$17:$O$17</definedName>
    <definedName name="Control_9">'Control Entry'!$D$18:$O$18</definedName>
    <definedName name="Country" localSheetId="2">#REF!</definedName>
    <definedName name="Country">#REF!</definedName>
    <definedName name="Distance">'Control Entry'!$D$10:$D$19</definedName>
    <definedName name="email" localSheetId="2">#REF!</definedName>
    <definedName name="email">#REF!</definedName>
    <definedName name="Establishment_1">'Control Entry'!$F$10:$F$19</definedName>
    <definedName name="Establishment_2">'Control Entry'!$G$10:$G$19</definedName>
    <definedName name="Establishment_3">'Control Entry'!$H$10:$H$19</definedName>
    <definedName name="Fax" localSheetId="2">#REF!</definedName>
    <definedName name="Fax">#REF!</definedName>
    <definedName name="First_Name" localSheetId="2">#REF!</definedName>
    <definedName name="First_Name">#REF!</definedName>
    <definedName name="Home_telephone" localSheetId="2">#REF!</definedName>
    <definedName name="Home_telephone">#REF!</definedName>
    <definedName name="HTML_CodePage" hidden="1">1252</definedName>
    <definedName name="HTML_Control" hidden="1">{"'Web sheet'!$A$1:$D$92"}</definedName>
    <definedName name="HTML_Description" hidden="1">""</definedName>
    <definedName name="HTML_Email" hidden="1">"randos@island.net"</definedName>
    <definedName name="HTML_Header" hidden="1">"Web sheet"</definedName>
    <definedName name="HTML_LastUpdate" hidden="1">"99-03-06"</definedName>
    <definedName name="HTML_LineAfter" hidden="1">TRUE</definedName>
    <definedName name="HTML_LineBefore" hidden="1">TRUE</definedName>
    <definedName name="HTML_Name" hidden="1">"Stephen Hinde"</definedName>
    <definedName name="HTML_OBDlg2" hidden="1">TRUE</definedName>
    <definedName name="HTML_OBDlg4" hidden="1">TRUE</definedName>
    <definedName name="HTML_OS" hidden="1">0</definedName>
    <definedName name="HTML_PathFile" hidden="1">"C:\My Documents\excel\MyHTML.htm"</definedName>
    <definedName name="HTML_Title" hidden="1">"VI0100B Nanaimo Populaire"</definedName>
    <definedName name="HTML1_1" hidden="1">"'[vi0100b.xls]VI0100B 970310'!$A$3:$D$22"</definedName>
    <definedName name="HTML1_10" hidden="1">"randos@island.net"</definedName>
    <definedName name="HTML1_11" hidden="1">1</definedName>
    <definedName name="HTML1_12" hidden="1">"C:\My Documents\Web Page\vi0100b.htm"</definedName>
    <definedName name="HTML1_2" hidden="1">1</definedName>
    <definedName name="HTML1_3" hidden="1">"100 km Populaire"</definedName>
    <definedName name="HTML1_4" hidden="1">"VI0100B 970310"</definedName>
    <definedName name="HTML1_5" hidden="1">"Nanaimo--Lantzville--Nanaimo--Yellow Point--Nanaimo"</definedName>
    <definedName name="HTML1_6" hidden="1">1</definedName>
    <definedName name="HTML1_7" hidden="1">1</definedName>
    <definedName name="HTML1_8" hidden="1">"26/10/97"</definedName>
    <definedName name="HTML1_9" hidden="1">"Stephen Hinde"</definedName>
    <definedName name="HTML2_1" hidden="1">"'[vi0100b.xls]VI0100B 970310'!$A$1:$D$22"</definedName>
    <definedName name="HTML2_10" hidden="1">"randos@island.net"</definedName>
    <definedName name="HTML2_11" hidden="1">1</definedName>
    <definedName name="HTML2_12" hidden="1">"C:\My Documents\Web Page\vi0100b.htm"</definedName>
    <definedName name="HTML2_2" hidden="1">1</definedName>
    <definedName name="HTML2_3" hidden="1">"100 km Populaire"</definedName>
    <definedName name="HTML2_4" hidden="1">"VI0100B 970310"</definedName>
    <definedName name="HTML2_5" hidden="1">"Nanaimo--Lantzville--Nanaimo--Yellow Point--Nanaimo"</definedName>
    <definedName name="HTML2_6" hidden="1">1</definedName>
    <definedName name="HTML2_7" hidden="1">1</definedName>
    <definedName name="HTML2_8" hidden="1">"26/10/97"</definedName>
    <definedName name="HTML2_9" hidden="1">"Stephen Hinde"</definedName>
    <definedName name="HTML3_1" hidden="1">"'[vi0100b.xls]VI0100B 970310'!$A$1:$D$24"</definedName>
    <definedName name="HTML3_10" hidden="1">"randos@island.net"</definedName>
    <definedName name="HTML3_11" hidden="1">1</definedName>
    <definedName name="HTML3_12" hidden="1">"C:\My Documents\excel\vi0100b.htm"</definedName>
    <definedName name="HTML3_2" hidden="1">1</definedName>
    <definedName name="HTML3_3" hidden="1">"Vancouver Island Populaire"</definedName>
    <definedName name="HTML3_4" hidden="1">"VI0100B 970310"</definedName>
    <definedName name="HTML3_5" hidden="1">"Nanaimo--Lantzville--Yellow Point--Nanaimo"</definedName>
    <definedName name="HTML3_6" hidden="1">1</definedName>
    <definedName name="HTML3_7" hidden="1">1</definedName>
    <definedName name="HTML3_8" hidden="1">"26/10/97"</definedName>
    <definedName name="HTML3_9" hidden="1">"Stephen Hinde"</definedName>
    <definedName name="HTML4_1" hidden="1">"'[VI0100B.xls]VI0100B 971026'!$A$1:$I$47"</definedName>
    <definedName name="HTML4_10" hidden="1">""</definedName>
    <definedName name="HTML4_11" hidden="1">1</definedName>
    <definedName name="HTML4_12" hidden="1">"C:\My Documents\Web Page\VI0100B.htm"</definedName>
    <definedName name="HTML4_2" hidden="1">1</definedName>
    <definedName name="HTML4_3" hidden="1">"VI0100B"</definedName>
    <definedName name="HTML4_4" hidden="1">"VI0100B 971026"</definedName>
    <definedName name="HTML4_5" hidden="1">""</definedName>
    <definedName name="HTML4_6" hidden="1">-4146</definedName>
    <definedName name="HTML4_7" hidden="1">-4146</definedName>
    <definedName name="HTML4_8" hidden="1">"26/10/97"</definedName>
    <definedName name="HTML4_9" hidden="1">"Stephen Hinde"</definedName>
    <definedName name="HTML5_1" hidden="1">"'[VI0100B.xls]VI0100B 971026'!$A$1:$I$23"</definedName>
    <definedName name="HTML5_10" hidden="1">""</definedName>
    <definedName name="HTML5_11" hidden="1">1</definedName>
    <definedName name="HTML5_12" hidden="1">"C:\My Documents\Web Page\VI0100B top.htm"</definedName>
    <definedName name="HTML5_2" hidden="1">1</definedName>
    <definedName name="HTML5_3" hidden="1">"VI0100B"</definedName>
    <definedName name="HTML5_4" hidden="1">"VI0100B 971026"</definedName>
    <definedName name="HTML5_5" hidden="1">""</definedName>
    <definedName name="HTML5_6" hidden="1">-4146</definedName>
    <definedName name="HTML5_7" hidden="1">-4146</definedName>
    <definedName name="HTML5_8" hidden="1">"97-10-26"</definedName>
    <definedName name="HTML5_9" hidden="1">"Stephen Hinde"</definedName>
    <definedName name="HTML6_1" hidden="1">"'[VI0100B.xls]VI0100B 971026'!$A$25:$I$47"</definedName>
    <definedName name="HTML6_10" hidden="1">""</definedName>
    <definedName name="HTML6_11" hidden="1">1</definedName>
    <definedName name="HTML6_12" hidden="1">"C:\My Documents\Web Page\VI0100B bottom"</definedName>
    <definedName name="HTML6_2" hidden="1">1</definedName>
    <definedName name="HTML6_3" hidden="1">"VI0100B"</definedName>
    <definedName name="HTML6_4" hidden="1">"VI0100B 971026"</definedName>
    <definedName name="HTML6_5" hidden="1">""</definedName>
    <definedName name="HTML6_6" hidden="1">-4146</definedName>
    <definedName name="HTML6_7" hidden="1">-4146</definedName>
    <definedName name="HTML6_8" hidden="1">"97-10-26"</definedName>
    <definedName name="HTML6_9" hidden="1">"Stephen Hinde"</definedName>
    <definedName name="HTML7_1" hidden="1">"'[VI0200A  Tour of Cowichan Valley.xls]Web sheet'!$A$1:$E$92"</definedName>
    <definedName name="HTML7_10" hidden="1">"randos@island.net"</definedName>
    <definedName name="HTML7_11" hidden="1">1</definedName>
    <definedName name="HTML7_12" hidden="1">"C:\My Documents\Web Page\200km_route_sheet.htm"</definedName>
    <definedName name="HTML7_2" hidden="1">1</definedName>
    <definedName name="HTML7_3" hidden="1">"VI0200A  Tour of Cowichan Valley"</definedName>
    <definedName name="HTML7_4" hidden="1">"Vancouver Island 200 km Brevet"</definedName>
    <definedName name="HTML7_5" hidden="1">""</definedName>
    <definedName name="HTML7_6" hidden="1">1</definedName>
    <definedName name="HTML7_7" hidden="1">1</definedName>
    <definedName name="HTML7_8" hidden="1">"97-11-23"</definedName>
    <definedName name="HTML7_9" hidden="1">"Stephen Hinde"</definedName>
    <definedName name="HTML8_1" hidden="1">"'[VI0300A  Duncan--Victoria.xls]Web sheet'!$A$1:$E$161"</definedName>
    <definedName name="HTML8_10" hidden="1">"randos@island.net"</definedName>
    <definedName name="HTML8_11" hidden="1">1</definedName>
    <definedName name="HTML8_12" hidden="1">"C:\My Documents\Web Page\300km_route_sheet_duncan.htm"</definedName>
    <definedName name="HTML8_2" hidden="1">1</definedName>
    <definedName name="HTML8_3" hidden="1">"VI0300A  Duncan--Victoria"</definedName>
    <definedName name="HTML8_4" hidden="1">"Web sheet"</definedName>
    <definedName name="HTML8_5" hidden="1">""</definedName>
    <definedName name="HTML8_6" hidden="1">1</definedName>
    <definedName name="HTML8_7" hidden="1">1</definedName>
    <definedName name="HTML8_8" hidden="1">"98-01-25"</definedName>
    <definedName name="HTML8_9" hidden="1">"Stephen Hinde"</definedName>
    <definedName name="HTMLCount" hidden="1">8</definedName>
    <definedName name="Initial" localSheetId="2">#REF!</definedName>
    <definedName name="Initial">#REF!</definedName>
    <definedName name="Locale">'Control Entry'!$E$10:$E$19</definedName>
    <definedName name="Max_time">'Control Entry'!$B$2</definedName>
    <definedName name="Open">'Control Entry'!$L$10:$L$19</definedName>
    <definedName name="Open_time">'Control Entry'!$N$10:$N$19</definedName>
    <definedName name="Postal_Code" localSheetId="2">#REF!</definedName>
    <definedName name="Postal_Code">#REF!</definedName>
    <definedName name="_xlnm.Print_Titles" localSheetId="2">'Control Card Atkins Start'!$1:$2</definedName>
    <definedName name="_xlnm.Print_Titles" localSheetId="1">'Control Card Sidney Start'!$1:$2</definedName>
    <definedName name="Province_State" localSheetId="2">#REF!</definedName>
    <definedName name="Province_State">#REF!</definedName>
    <definedName name="Start_date">'Control Entry'!$B$7</definedName>
    <definedName name="Start_time">'Control Entry'!$B$8</definedName>
    <definedName name="surname" localSheetId="2">#REF!</definedName>
    <definedName name="surname">#REF!</definedName>
    <definedName name="Work_telephone" localSheetId="2">#REF!</definedName>
    <definedName name="Work_telephone">#REF!</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B13" i="1" l="1"/>
  <c r="B14" i="1"/>
  <c r="B15" i="1"/>
  <c r="B16" i="1"/>
  <c r="B17" i="1"/>
  <c r="B18" i="1"/>
  <c r="B19" i="1"/>
  <c r="B12" i="1"/>
  <c r="M23" i="1" l="1"/>
  <c r="E8" i="3" l="1"/>
  <c r="E7" i="3"/>
  <c r="E5" i="3"/>
  <c r="S20" i="3" l="1"/>
  <c r="F5" i="2"/>
  <c r="F32" i="2"/>
  <c r="F31" i="2"/>
  <c r="F30" i="2"/>
  <c r="F29" i="2"/>
  <c r="F28" i="2"/>
  <c r="F27" i="2"/>
  <c r="F26" i="2"/>
  <c r="F25" i="2"/>
  <c r="F24" i="2"/>
  <c r="F23" i="2"/>
  <c r="F22" i="2"/>
  <c r="F21" i="2"/>
  <c r="F20" i="2"/>
  <c r="F19" i="2"/>
  <c r="F18" i="2"/>
  <c r="F17" i="2"/>
  <c r="F16" i="2"/>
  <c r="F15" i="2"/>
  <c r="F14" i="2"/>
  <c r="F13" i="2"/>
  <c r="F12" i="2"/>
  <c r="F11" i="2"/>
  <c r="F10" i="2"/>
  <c r="F9" i="2"/>
  <c r="F8" i="2"/>
  <c r="F7" i="2"/>
  <c r="F6" i="2"/>
  <c r="F4" i="2"/>
  <c r="F3" i="2"/>
  <c r="L10" i="1"/>
  <c r="N10" i="1" s="1"/>
  <c r="L32" i="1"/>
  <c r="L31" i="1"/>
  <c r="L30" i="1"/>
  <c r="L29" i="1"/>
  <c r="L28" i="1"/>
  <c r="L27" i="1"/>
  <c r="L26" i="1"/>
  <c r="L25" i="1"/>
  <c r="L24" i="1"/>
  <c r="L23" i="1"/>
  <c r="F32" i="3"/>
  <c r="F31" i="3"/>
  <c r="F30" i="3"/>
  <c r="F29" i="3"/>
  <c r="F28" i="3"/>
  <c r="F27" i="3"/>
  <c r="F26" i="3"/>
  <c r="F25" i="3"/>
  <c r="F24" i="3"/>
  <c r="F23" i="3"/>
  <c r="F22" i="3"/>
  <c r="F21" i="3"/>
  <c r="F20" i="3"/>
  <c r="F19" i="3"/>
  <c r="F18" i="3"/>
  <c r="F17" i="3"/>
  <c r="F16" i="3"/>
  <c r="F15" i="3"/>
  <c r="F14" i="3"/>
  <c r="F13" i="3"/>
  <c r="F12" i="3"/>
  <c r="F11" i="3"/>
  <c r="F10" i="3"/>
  <c r="F9" i="3"/>
  <c r="F7" i="3"/>
  <c r="F8" i="3"/>
  <c r="F5" i="3"/>
  <c r="F6" i="3"/>
  <c r="F4" i="3"/>
  <c r="F3" i="3"/>
  <c r="E32" i="3"/>
  <c r="E31" i="3"/>
  <c r="E30" i="3"/>
  <c r="E29" i="3"/>
  <c r="E28" i="3"/>
  <c r="E27" i="3"/>
  <c r="E26" i="3"/>
  <c r="E25" i="3"/>
  <c r="E24" i="3"/>
  <c r="E23" i="3"/>
  <c r="E22" i="3"/>
  <c r="E21" i="3"/>
  <c r="E20" i="3"/>
  <c r="E19" i="3"/>
  <c r="E18" i="3"/>
  <c r="E17" i="3"/>
  <c r="E16" i="3"/>
  <c r="E15" i="3"/>
  <c r="E14" i="3"/>
  <c r="E13" i="3"/>
  <c r="E12" i="3"/>
  <c r="E11" i="3"/>
  <c r="E10" i="3"/>
  <c r="E9" i="3"/>
  <c r="E6" i="3"/>
  <c r="C1" i="1"/>
  <c r="M25" i="1" s="1"/>
  <c r="E4" i="3"/>
  <c r="E3" i="3"/>
  <c r="D31" i="3"/>
  <c r="D28" i="3"/>
  <c r="D25" i="3"/>
  <c r="D22" i="3"/>
  <c r="D19" i="3"/>
  <c r="D16" i="3"/>
  <c r="D13" i="3"/>
  <c r="D10" i="3"/>
  <c r="D7" i="3"/>
  <c r="D4" i="3"/>
  <c r="A31" i="3"/>
  <c r="A28" i="3"/>
  <c r="A25" i="3"/>
  <c r="A22" i="3"/>
  <c r="A19" i="3"/>
  <c r="A16" i="3"/>
  <c r="A13" i="3"/>
  <c r="A10" i="3"/>
  <c r="A7" i="3"/>
  <c r="A4" i="3"/>
  <c r="L19" i="1"/>
  <c r="L18" i="1"/>
  <c r="L17" i="1"/>
  <c r="L16" i="1"/>
  <c r="L15" i="1"/>
  <c r="L14" i="1"/>
  <c r="L13" i="1"/>
  <c r="L12" i="1"/>
  <c r="L11" i="1"/>
  <c r="L6" i="3"/>
  <c r="R5" i="3"/>
  <c r="P5" i="3"/>
  <c r="L6" i="2"/>
  <c r="S20" i="2"/>
  <c r="R5" i="2"/>
  <c r="P5" i="2"/>
  <c r="A7" i="2"/>
  <c r="E32" i="2"/>
  <c r="E31" i="2"/>
  <c r="E30" i="2"/>
  <c r="E29" i="2"/>
  <c r="E28" i="2"/>
  <c r="E27" i="2"/>
  <c r="E26" i="2"/>
  <c r="E25" i="2"/>
  <c r="E24" i="2"/>
  <c r="E23" i="2"/>
  <c r="E22" i="2"/>
  <c r="E21" i="2"/>
  <c r="E20" i="2"/>
  <c r="E19" i="2"/>
  <c r="E18" i="2"/>
  <c r="E17" i="2"/>
  <c r="E16" i="2"/>
  <c r="E15" i="2"/>
  <c r="E14" i="2"/>
  <c r="E13" i="2"/>
  <c r="E12" i="2"/>
  <c r="E11" i="2"/>
  <c r="E10" i="2"/>
  <c r="E9" i="2"/>
  <c r="E8" i="2"/>
  <c r="E7" i="2"/>
  <c r="E6" i="2"/>
  <c r="E5" i="2"/>
  <c r="E4" i="2"/>
  <c r="E3" i="2"/>
  <c r="D25" i="2"/>
  <c r="D28" i="2"/>
  <c r="D31" i="2"/>
  <c r="A31" i="2"/>
  <c r="A4" i="2"/>
  <c r="D19" i="2"/>
  <c r="D16" i="2"/>
  <c r="D13" i="2"/>
  <c r="D10" i="2"/>
  <c r="D7" i="2"/>
  <c r="D4" i="2"/>
  <c r="D22" i="2"/>
  <c r="A28" i="2"/>
  <c r="A25" i="2"/>
  <c r="A22" i="2"/>
  <c r="A19" i="2"/>
  <c r="A10" i="2"/>
  <c r="A16" i="2"/>
  <c r="A13" i="2"/>
  <c r="M10" i="1" l="1"/>
  <c r="O10" i="1" s="1"/>
  <c r="C4" i="2" s="1"/>
  <c r="M12" i="1"/>
  <c r="M4" i="3"/>
  <c r="B2" i="1"/>
  <c r="M19" i="1" s="1"/>
  <c r="O19" i="1" s="1"/>
  <c r="C31" i="2" s="1"/>
  <c r="M16" i="1"/>
  <c r="M14" i="1"/>
  <c r="O14" i="1" s="1"/>
  <c r="N26" i="1"/>
  <c r="B14" i="3" s="1"/>
  <c r="B4" i="2"/>
  <c r="N13" i="1"/>
  <c r="B14" i="2" s="1"/>
  <c r="N23" i="1"/>
  <c r="B5" i="3" s="1"/>
  <c r="N29" i="1"/>
  <c r="B21" i="3" s="1"/>
  <c r="M32" i="1"/>
  <c r="O32" i="1" s="1"/>
  <c r="C31" i="3" s="1"/>
  <c r="M11" i="1"/>
  <c r="M13" i="1"/>
  <c r="O13" i="1" s="1"/>
  <c r="N17" i="1"/>
  <c r="B25" i="2" s="1"/>
  <c r="M29" i="1"/>
  <c r="B3" i="2"/>
  <c r="M15" i="1"/>
  <c r="O15" i="1" s="1"/>
  <c r="M17" i="1"/>
  <c r="O17" i="1" s="1"/>
  <c r="M28" i="1"/>
  <c r="B5" i="2"/>
  <c r="N12" i="1"/>
  <c r="B11" i="2" s="1"/>
  <c r="N16" i="1"/>
  <c r="B22" i="2" s="1"/>
  <c r="N19" i="1"/>
  <c r="B31" i="2" s="1"/>
  <c r="N30" i="1"/>
  <c r="B26" i="3" s="1"/>
  <c r="N32" i="1"/>
  <c r="B32" i="3" s="1"/>
  <c r="N11" i="1"/>
  <c r="B6" i="2" s="1"/>
  <c r="O12" i="1"/>
  <c r="N15" i="1"/>
  <c r="B19" i="2" s="1"/>
  <c r="O16" i="1"/>
  <c r="C23" i="2" s="1"/>
  <c r="N24" i="1"/>
  <c r="B6" i="3" s="1"/>
  <c r="N27" i="1"/>
  <c r="B16" i="3" s="1"/>
  <c r="O29" i="1"/>
  <c r="C23" i="3" s="1"/>
  <c r="O11" i="1"/>
  <c r="N14" i="1"/>
  <c r="B17" i="2" s="1"/>
  <c r="N18" i="1"/>
  <c r="B27" i="2" s="1"/>
  <c r="N25" i="1"/>
  <c r="B11" i="3" s="1"/>
  <c r="N28" i="1"/>
  <c r="B19" i="3" s="1"/>
  <c r="N31" i="1"/>
  <c r="B29" i="3" s="1"/>
  <c r="O28" i="1"/>
  <c r="C19" i="3" s="1"/>
  <c r="C3" i="2"/>
  <c r="C5" i="2"/>
  <c r="O25" i="1"/>
  <c r="M24" i="1"/>
  <c r="O24" i="1" s="1"/>
  <c r="M4" i="2"/>
  <c r="M31" i="1"/>
  <c r="O31" i="1" s="1"/>
  <c r="M27" i="1"/>
  <c r="O27" i="1" s="1"/>
  <c r="O23" i="1"/>
  <c r="M30" i="1"/>
  <c r="O30" i="1" s="1"/>
  <c r="M26" i="1"/>
  <c r="O26" i="1" s="1"/>
  <c r="B3" i="3" l="1"/>
  <c r="B13" i="3"/>
  <c r="B12" i="3"/>
  <c r="B25" i="3"/>
  <c r="B12" i="2"/>
  <c r="C30" i="3"/>
  <c r="B21" i="2"/>
  <c r="B26" i="2"/>
  <c r="C26" i="2"/>
  <c r="C25" i="2"/>
  <c r="C17" i="2"/>
  <c r="C15" i="2"/>
  <c r="C16" i="2"/>
  <c r="M18" i="1"/>
  <c r="O18" i="1" s="1"/>
  <c r="C27" i="2" s="1"/>
  <c r="B8" i="2"/>
  <c r="B13" i="2"/>
  <c r="B22" i="3"/>
  <c r="B30" i="3"/>
  <c r="B27" i="3"/>
  <c r="B8" i="3"/>
  <c r="B18" i="3"/>
  <c r="B29" i="2"/>
  <c r="B15" i="2"/>
  <c r="B31" i="3"/>
  <c r="B18" i="2"/>
  <c r="B10" i="3"/>
  <c r="B32" i="2"/>
  <c r="C24" i="2"/>
  <c r="C30" i="2"/>
  <c r="B20" i="2"/>
  <c r="C22" i="3"/>
  <c r="B24" i="3"/>
  <c r="B28" i="3"/>
  <c r="B7" i="3"/>
  <c r="B4" i="3"/>
  <c r="B16" i="2"/>
  <c r="B7" i="2"/>
  <c r="C19" i="2"/>
  <c r="C18" i="2"/>
  <c r="C20" i="2"/>
  <c r="C13" i="2"/>
  <c r="C12" i="2"/>
  <c r="C14" i="2"/>
  <c r="B23" i="3"/>
  <c r="B9" i="2"/>
  <c r="B30" i="2"/>
  <c r="C32" i="2"/>
  <c r="B10" i="2"/>
  <c r="B9" i="3"/>
  <c r="B24" i="2"/>
  <c r="C21" i="3"/>
  <c r="C18" i="3"/>
  <c r="B20" i="3"/>
  <c r="C9" i="2"/>
  <c r="C10" i="2"/>
  <c r="B28" i="2"/>
  <c r="B23" i="2"/>
  <c r="B17" i="3"/>
  <c r="C8" i="2"/>
  <c r="C7" i="2"/>
  <c r="C22" i="2"/>
  <c r="C21" i="2"/>
  <c r="C11" i="2"/>
  <c r="C20" i="3"/>
  <c r="B15" i="3"/>
  <c r="C32" i="3"/>
  <c r="C6" i="2"/>
  <c r="C6" i="3"/>
  <c r="C7" i="3"/>
  <c r="C8" i="3"/>
  <c r="C11" i="3"/>
  <c r="C9" i="3"/>
  <c r="C10" i="3"/>
  <c r="C13" i="3"/>
  <c r="C14" i="3"/>
  <c r="C12" i="3"/>
  <c r="C4" i="3"/>
  <c r="C5" i="3"/>
  <c r="C3" i="3"/>
  <c r="C25" i="3"/>
  <c r="C26" i="3"/>
  <c r="C24" i="3"/>
  <c r="C15" i="3"/>
  <c r="C16" i="3"/>
  <c r="C17" i="3"/>
  <c r="C27" i="3"/>
  <c r="C28" i="3"/>
  <c r="C29" i="3"/>
  <c r="C28" i="2" l="1"/>
  <c r="C2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Hinde</author>
    <author>A satisfied Microsoft Office user</author>
  </authors>
  <commentList>
    <comment ref="B1" authorId="0" shapeId="0" xr:uid="{00000000-0006-0000-0000-000001000000}">
      <text>
        <r>
          <rPr>
            <b/>
            <sz val="10"/>
            <color rgb="FF000000"/>
            <rFont val="Tahoma"/>
            <family val="2"/>
          </rPr>
          <t>Stephen Hinde:</t>
        </r>
        <r>
          <rPr>
            <sz val="10"/>
            <color rgb="FF000000"/>
            <rFont val="Tahoma"/>
            <family val="2"/>
          </rPr>
          <t xml:space="preserve">
</t>
        </r>
        <r>
          <rPr>
            <sz val="10"/>
            <color rgb="FF000000"/>
            <rFont val="Tahoma"/>
            <family val="2"/>
          </rPr>
          <t xml:space="preserve">Nominal ACP distance
</t>
        </r>
        <r>
          <rPr>
            <sz val="10"/>
            <color rgb="FF000000"/>
            <rFont val="Tahoma"/>
            <family val="2"/>
          </rPr>
          <t xml:space="preserve">
</t>
        </r>
        <r>
          <rPr>
            <sz val="10"/>
            <color rgb="FF000000"/>
            <rFont val="Tahoma"/>
            <family val="2"/>
          </rPr>
          <t>eg 200, 300, 400, 600</t>
        </r>
      </text>
    </comment>
    <comment ref="B2" authorId="1" shapeId="0" xr:uid="{00000000-0006-0000-0000-000002000000}">
      <text>
        <r>
          <rPr>
            <sz val="8"/>
            <color rgb="FF000000"/>
            <rFont val="Tahoma"/>
            <family val="2"/>
          </rPr>
          <t>Partial result of closing time calculation to avoid limitation of only 7 nested functions</t>
        </r>
      </text>
    </comment>
    <comment ref="B4" authorId="0" shapeId="0" xr:uid="{00000000-0006-0000-0000-000003000000}">
      <text>
        <r>
          <rPr>
            <b/>
            <sz val="10"/>
            <color rgb="FF000000"/>
            <rFont val="Tahoma"/>
            <family val="2"/>
          </rPr>
          <t>Stephen Hinde:</t>
        </r>
        <r>
          <rPr>
            <sz val="10"/>
            <color rgb="FF000000"/>
            <rFont val="Tahoma"/>
            <family val="2"/>
          </rPr>
          <t xml:space="preserve">
</t>
        </r>
        <r>
          <rPr>
            <sz val="10"/>
            <color rgb="FF000000"/>
            <rFont val="Tahoma"/>
            <family val="2"/>
          </rPr>
          <t>On event page</t>
        </r>
      </text>
    </comment>
    <comment ref="B5" authorId="0" shapeId="0" xr:uid="{00000000-0006-0000-0000-000004000000}">
      <text>
        <r>
          <rPr>
            <b/>
            <sz val="10"/>
            <color rgb="FF000000"/>
            <rFont val="Tahoma"/>
            <family val="2"/>
          </rPr>
          <t>Stephen Hinde:</t>
        </r>
        <r>
          <rPr>
            <sz val="10"/>
            <color rgb="FF000000"/>
            <rFont val="Tahoma"/>
            <family val="2"/>
          </rPr>
          <t xml:space="preserve">
</t>
        </r>
        <r>
          <rPr>
            <sz val="10"/>
            <color rgb="FF000000"/>
            <rFont val="Tahoma"/>
            <family val="2"/>
          </rPr>
          <t>Official ACP date</t>
        </r>
      </text>
    </comment>
    <comment ref="B7" authorId="0" shapeId="0" xr:uid="{00000000-0006-0000-0000-000005000000}">
      <text>
        <r>
          <rPr>
            <b/>
            <sz val="10"/>
            <color rgb="FF000000"/>
            <rFont val="Tahoma"/>
            <family val="2"/>
          </rPr>
          <t>Stephen Hinde:</t>
        </r>
        <r>
          <rPr>
            <sz val="10"/>
            <color rgb="FF000000"/>
            <rFont val="Tahoma"/>
            <family val="2"/>
          </rPr>
          <t xml:space="preserve">
</t>
        </r>
        <r>
          <rPr>
            <sz val="10"/>
            <color rgb="FF000000"/>
            <rFont val="Tahoma"/>
            <family val="2"/>
          </rPr>
          <t xml:space="preserve">Actual date
</t>
        </r>
        <r>
          <rPr>
            <sz val="10"/>
            <color rgb="FF000000"/>
            <rFont val="Tahoma"/>
            <family val="2"/>
          </rPr>
          <t xml:space="preserve">
</t>
        </r>
        <r>
          <rPr>
            <sz val="10"/>
            <color rgb="FF000000"/>
            <rFont val="Tahoma"/>
            <family val="2"/>
          </rPr>
          <t>Recommend using Schedule date</t>
        </r>
      </text>
    </comment>
  </commentList>
</comments>
</file>

<file path=xl/sharedStrings.xml><?xml version="1.0" encoding="utf-8"?>
<sst xmlns="http://schemas.openxmlformats.org/spreadsheetml/2006/main" count="307" uniqueCount="126">
  <si>
    <t>Start time</t>
  </si>
  <si>
    <t>Finish time</t>
  </si>
  <si>
    <t>Elapsed time</t>
  </si>
  <si>
    <t>Open</t>
  </si>
  <si>
    <t>Close</t>
  </si>
  <si>
    <t>Open time</t>
  </si>
  <si>
    <t>Close time</t>
  </si>
  <si>
    <t>Control 1</t>
  </si>
  <si>
    <t>Control 2</t>
  </si>
  <si>
    <t>Control 3</t>
  </si>
  <si>
    <t>Control 4</t>
  </si>
  <si>
    <t>Control 5</t>
  </si>
  <si>
    <t>Control 6</t>
  </si>
  <si>
    <t>Control 7</t>
  </si>
  <si>
    <t>Control 8</t>
  </si>
  <si>
    <t>Control 9</t>
  </si>
  <si>
    <t>Control 10</t>
  </si>
  <si>
    <t>Rider's signature at completion</t>
  </si>
  <si>
    <t>Brevet Length:</t>
  </si>
  <si>
    <t>Maximum Time:</t>
  </si>
  <si>
    <t>Brevet Description:</t>
  </si>
  <si>
    <t>Brevet Number:</t>
  </si>
  <si>
    <t>Start Date:</t>
  </si>
  <si>
    <t>Start Time:</t>
  </si>
  <si>
    <t>Distance</t>
  </si>
  <si>
    <t>Locale</t>
  </si>
  <si>
    <t>Establishment 1</t>
  </si>
  <si>
    <t>Establishment 2</t>
  </si>
  <si>
    <t>Establishment 3</t>
  </si>
  <si>
    <t>|</t>
  </si>
  <si>
    <t>DIST (km)</t>
  </si>
  <si>
    <t>Establishment</t>
  </si>
  <si>
    <t>Time of Passage</t>
  </si>
  <si>
    <t>Control Card</t>
  </si>
  <si>
    <t>Name</t>
  </si>
  <si>
    <t>Address</t>
  </si>
  <si>
    <t>City</t>
  </si>
  <si>
    <t>Province/State</t>
  </si>
  <si>
    <t>Country</t>
  </si>
  <si>
    <t>Postal Code</t>
  </si>
  <si>
    <t>Telephone</t>
  </si>
  <si>
    <t>email</t>
  </si>
  <si>
    <t>Randonneur Committee Authorization</t>
  </si>
  <si>
    <t>Report results or abandonment through registration email link</t>
  </si>
  <si>
    <r>
      <t xml:space="preserve">Please </t>
    </r>
    <r>
      <rPr>
        <b/>
        <i/>
        <sz val="16"/>
        <rFont val="Arial"/>
        <family val="2"/>
      </rPr>
      <t>answer questions</t>
    </r>
    <r>
      <rPr>
        <i/>
        <sz val="16"/>
        <rFont val="Arial"/>
        <family val="2"/>
      </rPr>
      <t xml:space="preserve"> and</t>
    </r>
    <r>
      <rPr>
        <b/>
        <i/>
        <sz val="16"/>
        <rFont val="Arial"/>
        <family val="2"/>
      </rPr>
      <t xml:space="preserve"> note time of day</t>
    </r>
  </si>
  <si>
    <t>Start Date</t>
  </si>
  <si>
    <t>Finish Date</t>
  </si>
  <si>
    <t>Member #</t>
  </si>
  <si>
    <t xml:space="preserve">Brevet No. </t>
  </si>
  <si>
    <t>Schedule date:</t>
  </si>
  <si>
    <t>Single</t>
  </si>
  <si>
    <t>Tandem</t>
  </si>
  <si>
    <t>Fixed</t>
  </si>
  <si>
    <t>Recumbent</t>
  </si>
  <si>
    <t>Velomobile</t>
  </si>
  <si>
    <t>(only add if change needed to database)</t>
  </si>
  <si>
    <t>Founding member of LES RANDONNEURS MONDIAUX (1983)</t>
  </si>
  <si>
    <t>Bicycle Type
Circle one</t>
  </si>
  <si>
    <t>-------&gt;</t>
  </si>
  <si>
    <t>Ride Day Emergency Contact</t>
  </si>
  <si>
    <t>Signature/Answer</t>
  </si>
  <si>
    <t>Signature/Answer 1</t>
  </si>
  <si>
    <t>Signature/Answer 2</t>
  </si>
  <si>
    <t>Signature/Answer 3</t>
  </si>
  <si>
    <t>Instructions</t>
  </si>
  <si>
    <t>Fill nominal brevet length.  This is the ACP distance eg 200, 300, 1000</t>
  </si>
  <si>
    <t>Maximum allowable time automatically calculated</t>
  </si>
  <si>
    <t>Enter the brevet name eg 'Remembrance Day Brevet'</t>
  </si>
  <si>
    <t>Enter the brevet number.  This is the BCR database number, and can be found on the event page in the database</t>
  </si>
  <si>
    <t>Enter the schedule date.  This is the official ACP listed date and can be found on the shcedule on the website</t>
  </si>
  <si>
    <t>Enter the start date.  This will always be the same as the schedule date, unless a ride window has been enabled.</t>
  </si>
  <si>
    <t>Enter the start time.  This will always be the official ACP listed start time found on the event page, unless a ride window has been enabled.</t>
  </si>
  <si>
    <t>Fill in the control distance.  The opening and closing times will be automatically calculated based on the start time and the brevet distance.  If you need more than 10 controls, use card #2, otherwise leave that section blank.</t>
  </si>
  <si>
    <t>Fill in the Locale (city) for each control.  Establishment 1, 2, and 3 can be used to describe the control itself eg Locale Hope  Est.1 Dairy Queen Est.2 817 Water Ave Est. 3 (leaft blank)</t>
  </si>
  <si>
    <t>When using information controls, you can put your question in the Signature/Answer section eg Sig/Ans.1 Sign on main door  Sig/Ans. 2  This week's special is?  Sig/Ans. 3 ________________</t>
  </si>
  <si>
    <t>Control Card #1 Information Control Question (optional)</t>
  </si>
  <si>
    <t>Note:  Control Card #1 will only show '#1' if a distance is entered into the first distance box for Control Card #2</t>
  </si>
  <si>
    <t>Control Card #2 Information Control Question (optional)</t>
  </si>
  <si>
    <t xml:space="preserve">Control Card </t>
  </si>
  <si>
    <t>Sidney Lento</t>
  </si>
  <si>
    <t>Control Card Sidney Start</t>
  </si>
  <si>
    <t>Control Card Atkins Start</t>
  </si>
  <si>
    <t>SIDNEY</t>
  </si>
  <si>
    <t>Information Control</t>
  </si>
  <si>
    <t>Tim Hortons</t>
  </si>
  <si>
    <t xml:space="preserve"> 2343 Beacon Ave</t>
  </si>
  <si>
    <t>VIEW ROYAL</t>
  </si>
  <si>
    <t>Galloping Goose @ Atkins</t>
  </si>
  <si>
    <t>NORTH SAANICH</t>
  </si>
  <si>
    <t>Lost Airmen Park</t>
  </si>
  <si>
    <t>The Flight Path</t>
  </si>
  <si>
    <t>Self sign</t>
  </si>
  <si>
    <t>SOOKE</t>
  </si>
  <si>
    <t xml:space="preserve">Red Gate </t>
  </si>
  <si>
    <t>End of Galloping Goose</t>
  </si>
  <si>
    <t>Soses Snanet Rd</t>
  </si>
  <si>
    <t>CADBORO BAY</t>
  </si>
  <si>
    <t xml:space="preserve">Ten Mile Point </t>
  </si>
  <si>
    <t>White Rock St</t>
  </si>
  <si>
    <t>OAK BAY</t>
  </si>
  <si>
    <t>Windsor Park</t>
  </si>
  <si>
    <t>Newport @ Windsor</t>
  </si>
  <si>
    <t>_________________________Garden?</t>
  </si>
  <si>
    <t>VICTORIA</t>
  </si>
  <si>
    <t>Fisherman's Wharf</t>
  </si>
  <si>
    <t>DEEP COVE</t>
  </si>
  <si>
    <t>On post facing trail</t>
  </si>
  <si>
    <t>Partners in parks sponsor?</t>
  </si>
  <si>
    <t>Park corner of intersection</t>
  </si>
  <si>
    <t>Trail info pagoda</t>
  </si>
  <si>
    <t>Petrocan</t>
  </si>
  <si>
    <t>Price of diesel?</t>
  </si>
  <si>
    <t>On white sign behind gate</t>
  </si>
  <si>
    <t>…water_________area?</t>
  </si>
  <si>
    <t>How many metal feathers on road side?</t>
  </si>
  <si>
    <t>Banner to right of door above windows</t>
  </si>
  <si>
    <t>...bagels________coffee...?</t>
  </si>
  <si>
    <t>Follow right side fence</t>
  </si>
  <si>
    <t>Green sign with maple leaf</t>
  </si>
  <si>
    <t>…natural  ____________of the ….</t>
  </si>
  <si>
    <t>Dock ramp 1 Dallas Rd</t>
  </si>
  <si>
    <t>Name of ice cream store (red building)?</t>
  </si>
  <si>
    <t>11260 Chalet Rd</t>
  </si>
  <si>
    <t>On big metal gate</t>
  </si>
  <si>
    <t>_________________________Gardens?</t>
  </si>
  <si>
    <t>(left side of cul-de-sac)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</si>
</sst>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m/yy\ hh:mm\ AM/PM"/>
    <numFmt numFmtId="165" formatCode="d/mmm/yy"/>
    <numFmt numFmtId="166" formatCode="dddd"/>
    <numFmt numFmtId="167" formatCode="0.0"/>
    <numFmt numFmtId="168" formatCode="mmmm\ d\,\ yyyy"/>
    <numFmt numFmtId="169" formatCode="[&lt;=9999999]###\-####;\(###\)\ ###\-####"/>
  </numFmts>
  <fonts count="32" x14ac:knownFonts="1">
    <font>
      <sz val="10"/>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2"/>
      <name val="Arial"/>
      <family val="2"/>
    </font>
    <font>
      <sz val="14"/>
      <name val="Arial"/>
      <family val="2"/>
    </font>
    <font>
      <sz val="20"/>
      <name val="Arial"/>
      <family val="2"/>
    </font>
    <font>
      <sz val="36"/>
      <name val="Arial"/>
      <family val="2"/>
    </font>
    <font>
      <sz val="16"/>
      <name val="Arial"/>
      <family val="2"/>
    </font>
    <font>
      <i/>
      <sz val="14"/>
      <name val="Arial"/>
      <family val="2"/>
    </font>
    <font>
      <sz val="18"/>
      <name val="Arial"/>
      <family val="2"/>
    </font>
    <font>
      <sz val="14"/>
      <name val="Arial Narrow"/>
      <family val="2"/>
    </font>
    <font>
      <b/>
      <sz val="14"/>
      <name val="Arial Narrow"/>
      <family val="2"/>
    </font>
    <font>
      <b/>
      <sz val="16"/>
      <name val="Arial Narrow"/>
      <family val="2"/>
    </font>
    <font>
      <sz val="8"/>
      <name val="Arial"/>
      <family val="2"/>
    </font>
    <font>
      <u/>
      <sz val="10"/>
      <color theme="10"/>
      <name val="Arial"/>
      <family val="2"/>
    </font>
    <font>
      <u/>
      <sz val="10"/>
      <color theme="11"/>
      <name val="Arial"/>
      <family val="2"/>
    </font>
    <font>
      <b/>
      <sz val="16"/>
      <name val="Arial"/>
      <family val="2"/>
    </font>
    <font>
      <sz val="8"/>
      <color rgb="FF000000"/>
      <name val="Tahoma"/>
      <family val="2"/>
    </font>
    <font>
      <i/>
      <sz val="16"/>
      <name val="Arial"/>
      <family val="2"/>
    </font>
    <font>
      <b/>
      <i/>
      <sz val="16"/>
      <name val="Arial"/>
      <family val="2"/>
    </font>
    <font>
      <sz val="16"/>
      <name val="Arial Narrow"/>
      <family val="2"/>
    </font>
    <font>
      <sz val="20"/>
      <color theme="0" tint="-0.14999847407452621"/>
      <name val="Impact"/>
      <family val="2"/>
    </font>
    <font>
      <sz val="11"/>
      <color theme="1"/>
      <name val="Calibri"/>
      <family val="2"/>
      <scheme val="minor"/>
    </font>
    <font>
      <sz val="10"/>
      <color rgb="FF000000"/>
      <name val="Tahoma"/>
      <family val="2"/>
    </font>
    <font>
      <b/>
      <sz val="10"/>
      <color rgb="FF000000"/>
      <name val="Tahoma"/>
      <family val="2"/>
    </font>
    <font>
      <sz val="10"/>
      <name val="Arial Narrow"/>
      <family val="2"/>
    </font>
    <font>
      <sz val="10"/>
      <color rgb="FFFF0000"/>
      <name val="Arial"/>
      <family val="2"/>
    </font>
    <font>
      <sz val="12"/>
      <name val="Arial Narrow"/>
      <family val="2"/>
    </font>
    <font>
      <b/>
      <sz val="12"/>
      <name val="Arial Narrow"/>
      <family val="2"/>
    </font>
  </fonts>
  <fills count="3">
    <fill>
      <patternFill patternType="none"/>
    </fill>
    <fill>
      <patternFill patternType="gray125"/>
    </fill>
    <fill>
      <patternFill patternType="solid">
        <fgColor indexed="22"/>
        <bgColor indexed="64"/>
      </patternFill>
    </fill>
  </fills>
  <borders count="28">
    <border>
      <left/>
      <right/>
      <top/>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s>
  <cellStyleXfs count="356">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5" fillId="0" borderId="0"/>
    <xf numFmtId="0" fontId="4" fillId="0" borderId="0"/>
    <xf numFmtId="0" fontId="5" fillId="0" borderId="0"/>
    <xf numFmtId="0" fontId="3" fillId="0" borderId="0"/>
    <xf numFmtId="0" fontId="2" fillId="0" borderId="0"/>
    <xf numFmtId="0" fontId="1"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140">
    <xf numFmtId="0" fontId="0" fillId="0" borderId="0" xfId="0"/>
    <xf numFmtId="0" fontId="0" fillId="0" borderId="16" xfId="0" applyBorder="1"/>
    <xf numFmtId="0" fontId="0" fillId="0" borderId="0" xfId="0" applyAlignment="1">
      <alignment horizontal="right"/>
    </xf>
    <xf numFmtId="0" fontId="0" fillId="0" borderId="0" xfId="0" applyProtection="1">
      <protection hidden="1"/>
    </xf>
    <xf numFmtId="164" fontId="0" fillId="0" borderId="0" xfId="0" applyNumberFormat="1" applyBorder="1"/>
    <xf numFmtId="164" fontId="0" fillId="0" borderId="0" xfId="0" applyNumberFormat="1" applyBorder="1" applyAlignment="1">
      <alignment horizontal="center" vertical="center" wrapText="1"/>
    </xf>
    <xf numFmtId="0" fontId="0" fillId="2" borderId="11" xfId="0" applyFill="1" applyBorder="1"/>
    <xf numFmtId="0" fontId="0" fillId="2" borderId="12" xfId="0" applyFill="1" applyBorder="1"/>
    <xf numFmtId="0" fontId="0" fillId="2" borderId="10" xfId="0" applyFill="1" applyBorder="1"/>
    <xf numFmtId="0" fontId="7" fillId="2" borderId="15" xfId="0" applyFont="1" applyFill="1" applyBorder="1" applyAlignment="1">
      <alignment horizontal="center"/>
    </xf>
    <xf numFmtId="0" fontId="7" fillId="0" borderId="16" xfId="0" applyFont="1" applyBorder="1" applyAlignment="1">
      <alignment horizontal="center" wrapText="1"/>
    </xf>
    <xf numFmtId="0" fontId="7" fillId="0" borderId="7" xfId="0" applyFont="1" applyBorder="1"/>
    <xf numFmtId="0" fontId="0" fillId="2" borderId="7" xfId="0" applyFill="1" applyBorder="1" applyAlignment="1">
      <alignment horizontal="right"/>
    </xf>
    <xf numFmtId="0" fontId="0" fillId="2" borderId="1" xfId="0" applyFill="1" applyBorder="1" applyAlignment="1">
      <alignment horizontal="right"/>
    </xf>
    <xf numFmtId="0" fontId="0" fillId="2" borderId="3" xfId="0" applyFill="1" applyBorder="1" applyAlignment="1">
      <alignment horizontal="right"/>
    </xf>
    <xf numFmtId="0" fontId="0" fillId="2" borderId="4" xfId="0" applyFill="1" applyBorder="1"/>
    <xf numFmtId="0" fontId="0" fillId="0" borderId="0" xfId="0" applyAlignment="1">
      <alignment vertical="top" textRotation="90"/>
    </xf>
    <xf numFmtId="0" fontId="10" fillId="0" borderId="0" xfId="0" applyFont="1"/>
    <xf numFmtId="0" fontId="0" fillId="0" borderId="18" xfId="0" applyBorder="1"/>
    <xf numFmtId="0" fontId="0" fillId="0" borderId="19" xfId="0" applyBorder="1"/>
    <xf numFmtId="0" fontId="0" fillId="0" borderId="6" xfId="0" applyBorder="1"/>
    <xf numFmtId="0" fontId="10" fillId="0" borderId="18" xfId="0" applyFont="1" applyBorder="1" applyProtection="1">
      <protection locked="0"/>
    </xf>
    <xf numFmtId="0" fontId="0" fillId="0" borderId="18" xfId="0" applyBorder="1" applyProtection="1">
      <protection locked="0"/>
    </xf>
    <xf numFmtId="0" fontId="10" fillId="0" borderId="18" xfId="0" applyFont="1" applyBorder="1" applyProtection="1"/>
    <xf numFmtId="0" fontId="10" fillId="0" borderId="0" xfId="0" applyFont="1" applyProtection="1"/>
    <xf numFmtId="0" fontId="0" fillId="0" borderId="0" xfId="0" applyProtection="1"/>
    <xf numFmtId="0" fontId="0" fillId="0" borderId="18" xfId="0" applyBorder="1" applyProtection="1"/>
    <xf numFmtId="0" fontId="0" fillId="0" borderId="20" xfId="0" applyBorder="1" applyProtection="1"/>
    <xf numFmtId="0" fontId="0" fillId="0" borderId="21" xfId="0" applyBorder="1" applyProtection="1"/>
    <xf numFmtId="0" fontId="0" fillId="0" borderId="0" xfId="0" applyBorder="1" applyProtection="1"/>
    <xf numFmtId="0" fontId="0" fillId="0" borderId="17" xfId="0" applyBorder="1" applyProtection="1"/>
    <xf numFmtId="0" fontId="0" fillId="0" borderId="8" xfId="0" applyBorder="1" applyProtection="1"/>
    <xf numFmtId="0" fontId="0" fillId="0" borderId="0" xfId="0" applyBorder="1" applyAlignment="1" applyProtection="1">
      <alignment horizontal="centerContinuous"/>
      <protection hidden="1"/>
    </xf>
    <xf numFmtId="0" fontId="0" fillId="0" borderId="0" xfId="0" applyBorder="1" applyAlignment="1">
      <alignment horizontal="centerContinuous"/>
    </xf>
    <xf numFmtId="167" fontId="0" fillId="0" borderId="13" xfId="0" applyNumberFormat="1" applyBorder="1" applyProtection="1">
      <protection locked="0"/>
    </xf>
    <xf numFmtId="0" fontId="0" fillId="0" borderId="0" xfId="0" applyBorder="1" applyAlignment="1">
      <alignment horizontal="center"/>
    </xf>
    <xf numFmtId="0" fontId="0" fillId="0" borderId="0" xfId="0" applyBorder="1"/>
    <xf numFmtId="0" fontId="8" fillId="0" borderId="18" xfId="0" applyFont="1" applyBorder="1" applyProtection="1"/>
    <xf numFmtId="0" fontId="12" fillId="0" borderId="18" xfId="0" applyFont="1" applyBorder="1" applyProtection="1"/>
    <xf numFmtId="167" fontId="13" fillId="0" borderId="16" xfId="0" applyNumberFormat="1" applyFont="1" applyBorder="1" applyAlignment="1">
      <alignment horizontal="center" wrapText="1"/>
    </xf>
    <xf numFmtId="166" fontId="13" fillId="0" borderId="16" xfId="0" applyNumberFormat="1" applyFont="1" applyBorder="1" applyAlignment="1">
      <alignment horizontal="center" vertical="center" wrapText="1"/>
    </xf>
    <xf numFmtId="0" fontId="13" fillId="0" borderId="17" xfId="0" applyFont="1" applyBorder="1" applyAlignment="1">
      <alignment horizontal="center" vertical="center"/>
    </xf>
    <xf numFmtId="0" fontId="14" fillId="0" borderId="16" xfId="0" applyFont="1" applyBorder="1" applyAlignment="1">
      <alignment horizontal="center" vertical="center" wrapText="1"/>
    </xf>
    <xf numFmtId="167" fontId="13" fillId="0" borderId="7" xfId="0" applyNumberFormat="1" applyFont="1" applyBorder="1"/>
    <xf numFmtId="165" fontId="13" fillId="0" borderId="7" xfId="0" applyNumberFormat="1" applyFont="1" applyBorder="1" applyAlignment="1">
      <alignment horizontal="center" vertical="center" wrapText="1"/>
    </xf>
    <xf numFmtId="0" fontId="13" fillId="0" borderId="18" xfId="0" applyFont="1" applyBorder="1" applyAlignment="1">
      <alignment horizontal="center" vertical="center"/>
    </xf>
    <xf numFmtId="0" fontId="14" fillId="0" borderId="7" xfId="0" applyFont="1" applyBorder="1" applyAlignment="1">
      <alignment horizontal="center" vertical="center" wrapText="1"/>
    </xf>
    <xf numFmtId="0" fontId="13" fillId="0" borderId="16" xfId="0" applyFont="1" applyBorder="1" applyAlignment="1">
      <alignment horizontal="center" vertical="center"/>
    </xf>
    <xf numFmtId="167" fontId="15" fillId="0" borderId="16" xfId="0" applyNumberFormat="1" applyFont="1" applyBorder="1" applyAlignment="1">
      <alignment horizontal="center" vertical="center"/>
    </xf>
    <xf numFmtId="18" fontId="15" fillId="0" borderId="16" xfId="0" applyNumberFormat="1" applyFont="1" applyBorder="1" applyAlignment="1">
      <alignment horizontal="center" vertical="center" wrapText="1"/>
    </xf>
    <xf numFmtId="0" fontId="15" fillId="0" borderId="16" xfId="0" applyFont="1" applyBorder="1" applyAlignment="1">
      <alignment horizontal="center" vertical="center" wrapText="1"/>
    </xf>
    <xf numFmtId="167" fontId="12" fillId="0" borderId="0" xfId="0" applyNumberFormat="1" applyFont="1" applyAlignment="1">
      <alignment vertical="top"/>
    </xf>
    <xf numFmtId="0" fontId="9" fillId="0" borderId="0" xfId="0" applyFont="1" applyAlignment="1">
      <alignment horizontal="left" vertical="center"/>
    </xf>
    <xf numFmtId="0" fontId="10" fillId="0" borderId="0" xfId="0" applyFont="1" applyAlignment="1">
      <alignment horizontal="left" vertical="center" wrapText="1"/>
    </xf>
    <xf numFmtId="0" fontId="11" fillId="0" borderId="0" xfId="0" applyFont="1" applyAlignment="1">
      <alignment horizontal="center" vertical="justify"/>
    </xf>
    <xf numFmtId="0" fontId="10" fillId="0" borderId="0" xfId="0" applyFont="1" applyBorder="1" applyAlignment="1" applyProtection="1">
      <alignment horizontal="right"/>
    </xf>
    <xf numFmtId="0" fontId="0" fillId="2" borderId="25" xfId="0" applyFill="1" applyBorder="1" applyAlignment="1">
      <alignment horizontal="right"/>
    </xf>
    <xf numFmtId="0" fontId="10" fillId="0" borderId="5" xfId="0" applyFont="1" applyBorder="1" applyProtection="1"/>
    <xf numFmtId="0" fontId="10" fillId="0" borderId="0" xfId="0" applyFont="1" applyBorder="1" applyAlignment="1" applyProtection="1">
      <alignment horizontal="left"/>
    </xf>
    <xf numFmtId="0" fontId="10" fillId="0" borderId="0" xfId="0" applyFont="1" applyAlignment="1" applyProtection="1"/>
    <xf numFmtId="0" fontId="5" fillId="2" borderId="3" xfId="0" applyFont="1" applyFill="1" applyBorder="1" applyAlignment="1">
      <alignment horizontal="right"/>
    </xf>
    <xf numFmtId="168" fontId="10" fillId="0" borderId="0" xfId="0" applyNumberFormat="1" applyFont="1" applyBorder="1" applyAlignment="1">
      <alignment horizontal="center"/>
    </xf>
    <xf numFmtId="0" fontId="10" fillId="0" borderId="0" xfId="0" quotePrefix="1" applyFont="1" applyAlignment="1">
      <alignment horizontal="right" vertical="center"/>
    </xf>
    <xf numFmtId="0" fontId="10" fillId="0" borderId="0" xfId="0" applyFont="1" applyAlignment="1">
      <alignment vertical="center"/>
    </xf>
    <xf numFmtId="167" fontId="0" fillId="0" borderId="26" xfId="0" applyNumberFormat="1" applyBorder="1" applyProtection="1">
      <protection locked="0"/>
    </xf>
    <xf numFmtId="0" fontId="24" fillId="0" borderId="18" xfId="0" applyFont="1" applyBorder="1" applyProtection="1"/>
    <xf numFmtId="0" fontId="10" fillId="0" borderId="22" xfId="0" applyFont="1" applyBorder="1"/>
    <xf numFmtId="0" fontId="14" fillId="0" borderId="16" xfId="0" applyFont="1" applyBorder="1" applyAlignment="1">
      <alignment horizontal="center" vertical="top" wrapText="1"/>
    </xf>
    <xf numFmtId="0" fontId="6" fillId="0" borderId="0" xfId="0" applyFont="1" applyBorder="1" applyAlignment="1" applyProtection="1">
      <alignment wrapText="1"/>
    </xf>
    <xf numFmtId="0" fontId="10" fillId="0" borderId="0" xfId="0" applyFont="1" applyBorder="1"/>
    <xf numFmtId="0" fontId="10" fillId="0" borderId="0" xfId="0" applyFont="1" applyBorder="1" applyProtection="1"/>
    <xf numFmtId="168" fontId="10" fillId="0" borderId="0" xfId="0" applyNumberFormat="1" applyFont="1" applyBorder="1" applyAlignment="1">
      <alignment horizontal="center"/>
    </xf>
    <xf numFmtId="0" fontId="10" fillId="0" borderId="0" xfId="0" applyFont="1" applyAlignment="1">
      <alignment horizontal="center"/>
    </xf>
    <xf numFmtId="0" fontId="10" fillId="0" borderId="0" xfId="0" applyFont="1" applyBorder="1" applyAlignment="1">
      <alignment horizontal="center"/>
    </xf>
    <xf numFmtId="0" fontId="7" fillId="0" borderId="18" xfId="0" applyFont="1" applyFill="1" applyBorder="1" applyAlignment="1">
      <alignment horizontal="center" wrapText="1"/>
    </xf>
    <xf numFmtId="169" fontId="7" fillId="0" borderId="18" xfId="0" applyNumberFormat="1" applyFont="1" applyFill="1" applyBorder="1" applyAlignment="1">
      <alignment horizontal="left" wrapText="1"/>
    </xf>
    <xf numFmtId="168" fontId="10" fillId="0" borderId="18" xfId="0" applyNumberFormat="1" applyFont="1" applyBorder="1" applyAlignment="1">
      <alignment horizontal="center"/>
    </xf>
    <xf numFmtId="18" fontId="23" fillId="0" borderId="0" xfId="0" applyNumberFormat="1" applyFont="1" applyBorder="1" applyAlignment="1">
      <alignment horizontal="center" wrapText="1"/>
    </xf>
    <xf numFmtId="0" fontId="0" fillId="0" borderId="18" xfId="0" applyBorder="1" applyAlignment="1" applyProtection="1">
      <alignment horizontal="left"/>
    </xf>
    <xf numFmtId="169" fontId="12" fillId="0" borderId="18" xfId="0" applyNumberFormat="1" applyFont="1" applyBorder="1" applyAlignment="1" applyProtection="1">
      <alignment horizontal="center"/>
    </xf>
    <xf numFmtId="169" fontId="10" fillId="0" borderId="18" xfId="0" applyNumberFormat="1" applyFont="1" applyBorder="1" applyAlignment="1" applyProtection="1">
      <alignment horizontal="center"/>
    </xf>
    <xf numFmtId="0" fontId="10" fillId="0" borderId="0" xfId="0" applyNumberFormat="1" applyFont="1" applyBorder="1" applyAlignment="1" applyProtection="1">
      <alignment horizontal="left" vertical="center"/>
    </xf>
    <xf numFmtId="169" fontId="10" fillId="0" borderId="0" xfId="0" applyNumberFormat="1" applyFont="1" applyBorder="1" applyAlignment="1" applyProtection="1">
      <alignment horizontal="left" vertical="center"/>
    </xf>
    <xf numFmtId="0" fontId="9" fillId="0" borderId="0" xfId="0" applyFont="1" applyBorder="1" applyAlignment="1">
      <alignment horizontal="center" wrapText="1"/>
    </xf>
    <xf numFmtId="0" fontId="28" fillId="2" borderId="12" xfId="0" applyFont="1" applyFill="1" applyBorder="1"/>
    <xf numFmtId="0" fontId="28" fillId="2" borderId="10" xfId="0" applyFont="1" applyFill="1" applyBorder="1"/>
    <xf numFmtId="167" fontId="0" fillId="0" borderId="22" xfId="0" applyNumberFormat="1" applyBorder="1" applyProtection="1">
      <protection locked="0"/>
    </xf>
    <xf numFmtId="0" fontId="13" fillId="0" borderId="18" xfId="0" applyFont="1" applyBorder="1" applyProtection="1">
      <protection locked="0"/>
    </xf>
    <xf numFmtId="49" fontId="13" fillId="0" borderId="18" xfId="0" applyNumberFormat="1" applyFont="1" applyBorder="1" applyAlignment="1" applyProtection="1">
      <alignment horizontal="center"/>
      <protection locked="0"/>
    </xf>
    <xf numFmtId="49" fontId="13" fillId="0" borderId="8" xfId="0" applyNumberFormat="1" applyFont="1" applyBorder="1" applyAlignment="1" applyProtection="1">
      <alignment horizontal="center"/>
      <protection locked="0"/>
    </xf>
    <xf numFmtId="0" fontId="13" fillId="0" borderId="2" xfId="0" applyFont="1" applyBorder="1" applyProtection="1">
      <protection locked="0"/>
    </xf>
    <xf numFmtId="0" fontId="13" fillId="0" borderId="9" xfId="0" applyFont="1" applyBorder="1" applyAlignment="1"/>
    <xf numFmtId="0" fontId="13" fillId="0" borderId="5" xfId="0" applyFont="1" applyBorder="1" applyAlignment="1"/>
    <xf numFmtId="0" fontId="13" fillId="0" borderId="10" xfId="0" applyFont="1" applyBorder="1" applyAlignment="1"/>
    <xf numFmtId="1" fontId="13" fillId="0" borderId="4" xfId="0" applyNumberFormat="1" applyFont="1" applyBorder="1" applyProtection="1">
      <protection locked="0"/>
    </xf>
    <xf numFmtId="20" fontId="13" fillId="0" borderId="8" xfId="0" applyNumberFormat="1" applyFont="1" applyBorder="1" applyProtection="1">
      <protection locked="0"/>
    </xf>
    <xf numFmtId="0" fontId="29" fillId="0" borderId="0" xfId="0" applyFont="1"/>
    <xf numFmtId="0" fontId="0" fillId="0" borderId="0" xfId="0" applyFont="1"/>
    <xf numFmtId="0" fontId="7" fillId="2" borderId="15" xfId="0" applyFont="1" applyFill="1" applyBorder="1" applyAlignment="1">
      <alignment horizontal="center" vertical="center" wrapText="1"/>
    </xf>
    <xf numFmtId="0" fontId="5" fillId="0" borderId="14" xfId="0" applyFont="1" applyBorder="1" applyProtection="1">
      <protection locked="0"/>
    </xf>
    <xf numFmtId="49" fontId="5" fillId="0" borderId="14" xfId="0" applyNumberFormat="1" applyFont="1" applyBorder="1" applyAlignment="1" applyProtection="1">
      <alignment horizontal="center"/>
      <protection locked="0"/>
    </xf>
    <xf numFmtId="49" fontId="5" fillId="0" borderId="4" xfId="0" applyNumberFormat="1" applyFont="1" applyBorder="1" applyAlignment="1" applyProtection="1">
      <alignment horizontal="center"/>
      <protection locked="0"/>
    </xf>
    <xf numFmtId="0" fontId="5" fillId="0" borderId="27" xfId="0" applyFont="1" applyBorder="1" applyProtection="1">
      <protection locked="0"/>
    </xf>
    <xf numFmtId="49" fontId="5" fillId="0" borderId="27" xfId="0" applyNumberFormat="1" applyFont="1" applyBorder="1" applyAlignment="1" applyProtection="1">
      <alignment horizontal="center"/>
      <protection locked="0"/>
    </xf>
    <xf numFmtId="49" fontId="5" fillId="0" borderId="24" xfId="0" applyNumberFormat="1" applyFont="1" applyBorder="1" applyAlignment="1" applyProtection="1">
      <alignment horizontal="center"/>
      <protection locked="0"/>
    </xf>
    <xf numFmtId="0" fontId="14" fillId="0" borderId="7" xfId="0" applyFont="1" applyBorder="1" applyAlignment="1">
      <alignment horizontal="center" wrapText="1"/>
    </xf>
    <xf numFmtId="49" fontId="0" fillId="0" borderId="4" xfId="0" applyNumberFormat="1" applyFont="1" applyBorder="1" applyAlignment="1" applyProtection="1">
      <alignment horizontal="center"/>
      <protection locked="0"/>
    </xf>
    <xf numFmtId="49" fontId="30" fillId="0" borderId="14" xfId="0" applyNumberFormat="1" applyFont="1" applyBorder="1" applyAlignment="1" applyProtection="1">
      <alignment horizontal="center"/>
      <protection locked="0"/>
    </xf>
    <xf numFmtId="49" fontId="31" fillId="0" borderId="4" xfId="0" applyNumberFormat="1" applyFont="1" applyBorder="1" applyAlignment="1" applyProtection="1">
      <alignment horizontal="center"/>
      <protection locked="0"/>
    </xf>
    <xf numFmtId="49" fontId="30" fillId="0" borderId="4" xfId="0" applyNumberFormat="1" applyFont="1" applyBorder="1" applyAlignment="1" applyProtection="1">
      <alignment horizontal="center"/>
      <protection locked="0"/>
    </xf>
    <xf numFmtId="49" fontId="30" fillId="0" borderId="27" xfId="0" applyNumberFormat="1" applyFont="1" applyBorder="1" applyAlignment="1" applyProtection="1">
      <alignment horizontal="center"/>
      <protection locked="0"/>
    </xf>
    <xf numFmtId="49" fontId="30" fillId="0" borderId="24" xfId="0" applyNumberFormat="1" applyFont="1" applyBorder="1" applyAlignment="1" applyProtection="1">
      <alignment horizontal="center"/>
      <protection locked="0"/>
    </xf>
    <xf numFmtId="0" fontId="0" fillId="0" borderId="14" xfId="0" applyFont="1" applyBorder="1" applyProtection="1">
      <protection locked="0"/>
    </xf>
    <xf numFmtId="0" fontId="10" fillId="0" borderId="0" xfId="0" applyFont="1" applyAlignment="1">
      <alignment horizontal="center"/>
    </xf>
    <xf numFmtId="167" fontId="0" fillId="0" borderId="0" xfId="0" applyNumberFormat="1"/>
    <xf numFmtId="15" fontId="30" fillId="0" borderId="4" xfId="0" applyNumberFormat="1" applyFont="1" applyBorder="1" applyProtection="1">
      <protection locked="0"/>
    </xf>
    <xf numFmtId="15" fontId="30" fillId="0" borderId="23" xfId="0" applyNumberFormat="1" applyFont="1" applyBorder="1" applyProtection="1">
      <protection locked="0"/>
    </xf>
    <xf numFmtId="0" fontId="14" fillId="0" borderId="16" xfId="0" applyFont="1" applyBorder="1" applyAlignment="1">
      <alignment horizontal="center" wrapText="1"/>
    </xf>
    <xf numFmtId="0" fontId="29" fillId="0" borderId="0" xfId="0" applyFont="1" applyAlignment="1">
      <alignment horizontal="right"/>
    </xf>
    <xf numFmtId="0" fontId="5" fillId="2" borderId="9" xfId="0" applyFont="1" applyFill="1" applyBorder="1" applyAlignment="1">
      <alignment horizontal="center"/>
    </xf>
    <xf numFmtId="0" fontId="0" fillId="2" borderId="5"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168" fontId="10" fillId="0" borderId="0" xfId="0" applyNumberFormat="1" applyFont="1" applyBorder="1" applyAlignment="1">
      <alignment horizontal="left" vertical="center"/>
    </xf>
    <xf numFmtId="0" fontId="0" fillId="0" borderId="0" xfId="0" applyAlignment="1">
      <alignment horizontal="left" vertical="top"/>
    </xf>
    <xf numFmtId="0" fontId="10" fillId="0" borderId="18" xfId="0" applyFont="1" applyBorder="1" applyAlignment="1" applyProtection="1">
      <alignment horizontal="left"/>
    </xf>
    <xf numFmtId="0" fontId="21" fillId="0" borderId="18" xfId="0" applyFont="1" applyBorder="1" applyAlignment="1">
      <alignment horizontal="center" vertical="center"/>
    </xf>
    <xf numFmtId="167" fontId="12" fillId="0" borderId="20" xfId="0" applyNumberFormat="1" applyFont="1" applyBorder="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right" vertical="center"/>
    </xf>
    <xf numFmtId="0" fontId="10" fillId="0" borderId="0" xfId="0" applyFont="1" applyAlignment="1" applyProtection="1">
      <alignment horizontal="right" vertical="center"/>
    </xf>
    <xf numFmtId="0" fontId="6" fillId="0" borderId="20" xfId="0" applyFont="1" applyBorder="1" applyAlignment="1">
      <alignment horizontal="center" vertical="top"/>
    </xf>
    <xf numFmtId="0" fontId="9" fillId="0" borderId="0" xfId="0" applyFont="1" applyAlignment="1">
      <alignment horizontal="center"/>
    </xf>
    <xf numFmtId="18" fontId="23" fillId="0" borderId="18" xfId="0" applyNumberFormat="1" applyFont="1" applyBorder="1" applyAlignment="1">
      <alignment horizontal="center" wrapText="1"/>
    </xf>
    <xf numFmtId="0" fontId="19" fillId="0" borderId="0" xfId="0" applyFont="1" applyAlignment="1">
      <alignment horizontal="center" vertical="top"/>
    </xf>
    <xf numFmtId="0" fontId="19" fillId="0" borderId="0" xfId="0" applyFont="1" applyAlignment="1">
      <alignment horizontal="center"/>
    </xf>
    <xf numFmtId="0" fontId="10" fillId="0" borderId="18" xfId="0" applyFont="1" applyBorder="1"/>
    <xf numFmtId="0" fontId="6" fillId="0" borderId="0" xfId="0" applyFont="1" applyBorder="1" applyAlignment="1" applyProtection="1">
      <alignment horizontal="center" wrapText="1"/>
    </xf>
    <xf numFmtId="0" fontId="6" fillId="0" borderId="0" xfId="0" applyFont="1" applyBorder="1" applyAlignment="1" applyProtection="1">
      <alignment horizontal="center" vertical="top" wrapText="1"/>
    </xf>
  </cellXfs>
  <cellStyles count="35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Normal" xfId="0" builtinId="0"/>
    <cellStyle name="Normal 2" xfId="282" xr:uid="{00000000-0005-0000-0000-00005E010000}"/>
    <cellStyle name="Normal 3" xfId="283" xr:uid="{00000000-0005-0000-0000-00005F010000}"/>
    <cellStyle name="Normal 3 2" xfId="285" xr:uid="{00000000-0005-0000-0000-000060010000}"/>
    <cellStyle name="Normal 3 2 2" xfId="286" xr:uid="{00000000-0005-0000-0000-000061010000}"/>
    <cellStyle name="Normal 3 2 3" xfId="287" xr:uid="{00000000-0005-0000-0000-000062010000}"/>
    <cellStyle name="Normal 4" xfId="284" xr:uid="{00000000-0005-0000-0000-00006301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1113477" y="485206"/>
          <a:ext cx="1992923" cy="15666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1099800" y="465993"/>
          <a:ext cx="2006600" cy="1566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2"/>
  <sheetViews>
    <sheetView showGridLines="0" tabSelected="1" zoomScale="130" zoomScaleNormal="130" zoomScalePageLayoutView="135" workbookViewId="0">
      <selection activeCell="B8" sqref="B8"/>
    </sheetView>
  </sheetViews>
  <sheetFormatPr baseColWidth="10" defaultColWidth="8.83203125" defaultRowHeight="13" x14ac:dyDescent="0.15"/>
  <cols>
    <col min="1" max="1" width="16.5" style="2" customWidth="1"/>
    <col min="2" max="2" width="9.83203125" bestFit="1" customWidth="1"/>
    <col min="3" max="3" width="0" style="3" hidden="1" customWidth="1"/>
    <col min="4" max="4" width="8.33203125" customWidth="1"/>
    <col min="5" max="5" width="17" bestFit="1" customWidth="1"/>
    <col min="6" max="6" width="18" bestFit="1" customWidth="1"/>
    <col min="7" max="7" width="22.1640625" bestFit="1" customWidth="1"/>
    <col min="8" max="8" width="25.1640625" bestFit="1" customWidth="1"/>
    <col min="9" max="11" width="31.1640625" customWidth="1"/>
    <col min="12" max="15" width="17.83203125" hidden="1" customWidth="1"/>
  </cols>
  <sheetData>
    <row r="1" spans="1:23" ht="18" x14ac:dyDescent="0.2">
      <c r="A1" s="13" t="s">
        <v>18</v>
      </c>
      <c r="B1" s="90">
        <v>300</v>
      </c>
      <c r="C1">
        <f>IF(Brevet_Length&gt;=1200,Brevet_Length,IF(Brevet_Length&gt;=1000,1000,IF(Brevet_Length&gt;=600,600,IF(Brevet_Length&gt;=400,400,IF(Brevet_Length&gt;=300,300,IF(Brevet_Length&gt;=200,200,100))))))</f>
        <v>300</v>
      </c>
      <c r="J1" s="118" t="s">
        <v>64</v>
      </c>
      <c r="K1" s="118"/>
      <c r="Q1" s="96" t="s">
        <v>65</v>
      </c>
      <c r="R1" s="96"/>
      <c r="S1" s="96"/>
      <c r="T1" s="96"/>
      <c r="U1" s="96"/>
      <c r="V1" s="96"/>
      <c r="W1" s="96"/>
    </row>
    <row r="2" spans="1:23" ht="14" thickBot="1" x14ac:dyDescent="0.2">
      <c r="A2" s="14" t="s">
        <v>19</v>
      </c>
      <c r="B2" s="15">
        <f>IF(brevet=1200,90,IF(brevet=1000,75,IF(brevet=600,40,IF(brevet=400,27,IF(brevet=300,20,IF(brevet=200,13.5,IF(brevet=100,7,0)))))))</f>
        <v>20</v>
      </c>
      <c r="Q2" t="s">
        <v>66</v>
      </c>
    </row>
    <row r="3" spans="1:23" ht="19" thickBot="1" x14ac:dyDescent="0.25">
      <c r="A3" s="14" t="s">
        <v>20</v>
      </c>
      <c r="B3" s="91" t="s">
        <v>79</v>
      </c>
      <c r="C3" s="92"/>
      <c r="D3" s="92"/>
      <c r="E3" s="92"/>
      <c r="F3" s="92"/>
      <c r="G3" s="92"/>
      <c r="H3" s="93"/>
      <c r="I3" s="35"/>
      <c r="J3" s="35"/>
      <c r="K3" s="35"/>
      <c r="O3" s="36"/>
      <c r="P3" s="36"/>
      <c r="Q3" s="96" t="s">
        <v>67</v>
      </c>
    </row>
    <row r="4" spans="1:23" ht="18" x14ac:dyDescent="0.2">
      <c r="A4" s="14" t="s">
        <v>21</v>
      </c>
      <c r="B4" s="94">
        <v>5099</v>
      </c>
      <c r="C4" s="32"/>
      <c r="F4" s="33"/>
      <c r="G4" s="33"/>
      <c r="H4" s="33"/>
      <c r="I4" s="33"/>
      <c r="J4" s="33"/>
      <c r="K4" s="33"/>
      <c r="Q4" s="96" t="s">
        <v>68</v>
      </c>
    </row>
    <row r="5" spans="1:23" ht="16" x14ac:dyDescent="0.2">
      <c r="A5" s="60" t="s">
        <v>49</v>
      </c>
      <c r="B5" s="115">
        <v>44421</v>
      </c>
      <c r="Q5" s="96" t="s">
        <v>69</v>
      </c>
    </row>
    <row r="6" spans="1:23" ht="6" customHeight="1" x14ac:dyDescent="0.15"/>
    <row r="7" spans="1:23" ht="17" thickBot="1" x14ac:dyDescent="0.25">
      <c r="A7" s="56" t="s">
        <v>22</v>
      </c>
      <c r="B7" s="116">
        <v>44421</v>
      </c>
      <c r="Q7" s="96" t="s">
        <v>70</v>
      </c>
    </row>
    <row r="8" spans="1:23" ht="19" thickBot="1" x14ac:dyDescent="0.25">
      <c r="A8" s="12" t="s">
        <v>23</v>
      </c>
      <c r="B8" s="95">
        <v>0.25</v>
      </c>
      <c r="D8" s="119" t="s">
        <v>80</v>
      </c>
      <c r="E8" s="120"/>
      <c r="F8" s="120"/>
      <c r="G8" s="120"/>
      <c r="H8" s="120"/>
      <c r="I8" s="121" t="s">
        <v>75</v>
      </c>
      <c r="J8" s="120"/>
      <c r="K8" s="122"/>
      <c r="Q8" s="96" t="s">
        <v>71</v>
      </c>
    </row>
    <row r="9" spans="1:23" ht="14" thickBot="1" x14ac:dyDescent="0.2">
      <c r="D9" s="6" t="s">
        <v>24</v>
      </c>
      <c r="E9" s="7" t="s">
        <v>25</v>
      </c>
      <c r="F9" s="84" t="s">
        <v>26</v>
      </c>
      <c r="G9" s="84" t="s">
        <v>27</v>
      </c>
      <c r="H9" s="85" t="s">
        <v>28</v>
      </c>
      <c r="I9" s="7" t="s">
        <v>61</v>
      </c>
      <c r="J9" s="7" t="s">
        <v>62</v>
      </c>
      <c r="K9" s="8" t="s">
        <v>63</v>
      </c>
      <c r="L9" t="s">
        <v>3</v>
      </c>
      <c r="M9" t="s">
        <v>4</v>
      </c>
      <c r="N9" t="s">
        <v>5</v>
      </c>
      <c r="O9" t="s">
        <v>6</v>
      </c>
      <c r="Q9" s="96" t="s">
        <v>72</v>
      </c>
    </row>
    <row r="10" spans="1:23" ht="17" customHeight="1" x14ac:dyDescent="0.2">
      <c r="C10" s="3" t="s">
        <v>7</v>
      </c>
      <c r="D10" s="34">
        <v>0</v>
      </c>
      <c r="E10" s="99" t="s">
        <v>82</v>
      </c>
      <c r="F10" s="100" t="s">
        <v>83</v>
      </c>
      <c r="G10" s="100" t="s">
        <v>84</v>
      </c>
      <c r="H10" s="101" t="s">
        <v>85</v>
      </c>
      <c r="I10" s="107" t="s">
        <v>115</v>
      </c>
      <c r="J10" s="107" t="s">
        <v>116</v>
      </c>
      <c r="K10" s="108"/>
      <c r="L10" s="4">
        <f>Start_date+Start_time</f>
        <v>44421.25</v>
      </c>
      <c r="M10" s="4">
        <f>L10+"1:00"</f>
        <v>44421.291666666664</v>
      </c>
      <c r="N10" s="5">
        <f>IF(ISBLANK(Distance),"",Open Control_1)</f>
        <v>44421.25</v>
      </c>
      <c r="O10" s="5">
        <f>IF(ISBLANK(Distance),"",Close Control_1)</f>
        <v>44421.291666666664</v>
      </c>
      <c r="Q10" s="96" t="s">
        <v>73</v>
      </c>
    </row>
    <row r="11" spans="1:23" ht="17" customHeight="1" x14ac:dyDescent="0.2">
      <c r="B11" s="114"/>
      <c r="C11" s="3" t="s">
        <v>8</v>
      </c>
      <c r="D11" s="34">
        <v>31</v>
      </c>
      <c r="E11" s="112" t="s">
        <v>86</v>
      </c>
      <c r="F11" s="100" t="s">
        <v>83</v>
      </c>
      <c r="G11" s="106" t="s">
        <v>87</v>
      </c>
      <c r="H11" s="106" t="s">
        <v>109</v>
      </c>
      <c r="I11" s="107" t="s">
        <v>106</v>
      </c>
      <c r="J11" s="107" t="s">
        <v>107</v>
      </c>
      <c r="K11" s="108"/>
      <c r="L11">
        <f>IF(ISBLANK(Distance),"",IF(Distance&gt;1000,(Distance-1000)/26+33.0847,(IF(Distance&gt;600,(Distance-600)/28+18.799,(IF(Distance&gt;400,(Distance-400)/30+12.1324,(IF(Distance&gt;200,(Distance-200)/32+5.8824,Distance/34))))))))</f>
        <v>0.91176470588235292</v>
      </c>
      <c r="M11">
        <f>IF(ISBLANK(Distance),"",IF(Distance&gt;=brevet,IF(brevet&gt;1200,(brevet-1200)*75/1000+90,Max_time),IF(Distance&gt;1200,(Distance-1200)*75/1000+90,IF(Distance&gt;1000,(Distance-1000)/(1000/75)+75,IF(Distance&gt;600,(Distance-600)/(400/35)+40,Distance/15)))))</f>
        <v>2.0666666666666669</v>
      </c>
      <c r="N11" s="5">
        <f>IF(ISBLANK(Distance),"",Open_time Control_1+(INT(Open)&amp;":"&amp;IF(ROUND(((Open-INT(Open))*60),0)&lt;10,0,"")&amp;ROUND(((Open-INT(Open))*60),0)))</f>
        <v>44421.288194444445</v>
      </c>
      <c r="O11" s="5">
        <f>IF(ISBLANK(Distance),"",Open_time Control_1+(INT(Close)&amp;":"&amp;IF(ROUND(((Close-INT(Close))*60),0)&lt;10,0,"")&amp;ROUND(((Close-INT(Close))*60),0)))</f>
        <v>44421.336111111108</v>
      </c>
      <c r="Q11" s="96" t="s">
        <v>74</v>
      </c>
    </row>
    <row r="12" spans="1:23" ht="17" customHeight="1" x14ac:dyDescent="0.2">
      <c r="B12" s="114">
        <f>D12-D$11</f>
        <v>46.900000000000006</v>
      </c>
      <c r="C12" s="3" t="s">
        <v>9</v>
      </c>
      <c r="D12" s="34">
        <v>77.900000000000006</v>
      </c>
      <c r="E12" s="99" t="s">
        <v>92</v>
      </c>
      <c r="F12" s="100" t="s">
        <v>83</v>
      </c>
      <c r="G12" s="100" t="s">
        <v>93</v>
      </c>
      <c r="H12" s="101" t="s">
        <v>94</v>
      </c>
      <c r="I12" s="107" t="s">
        <v>112</v>
      </c>
      <c r="J12" s="107" t="s">
        <v>113</v>
      </c>
      <c r="K12" s="108"/>
      <c r="L12">
        <f>IF(ISBLANK(Distance),"",IF(Distance&gt;1000,(Distance-1000)/26+33.0847,(IF(Distance&gt;600,(Distance-600)/28+18.799,(IF(Distance&gt;400,(Distance-400)/30+12.1324,(IF(Distance&gt;200,(Distance-200)/32+5.8824,Distance/34))))))))</f>
        <v>2.2911764705882356</v>
      </c>
      <c r="M12">
        <f t="shared" ref="M12:M19" si="0">IF(ISBLANK(Distance),"",IF(Distance&gt;=brevet,IF(brevet&gt;1200,(brevet-1200)*75/1000+90,Max_time),IF(Distance&gt;1200,(Distance-1200)*75/1000+90,IF(Distance&gt;1000,(Distance-1000)/(1000/75)+75,IF(Distance&gt;600,(Distance-600)/(400/35)+40,Distance/15)))))</f>
        <v>5.1933333333333334</v>
      </c>
      <c r="N12" s="5">
        <f>IF(ISBLANK(Distance),"",Open_time Control_1+(INT(Open)&amp;":"&amp;IF(ROUND(((Open-INT(Open))*60),0)&lt;10,0,"")&amp;ROUND(((Open-INT(Open))*60),0)))</f>
        <v>44421.345138888886</v>
      </c>
      <c r="O12" s="5">
        <f>IF(ISBLANK(Distance),"",Open_time Control_1+(INT(Close)&amp;":"&amp;IF(ROUND(((Close-INT(Close))*60),0)&lt;10,0,"")&amp;ROUND(((Close-INT(Close))*60),0)))</f>
        <v>44421.466666666667</v>
      </c>
    </row>
    <row r="13" spans="1:23" ht="17" customHeight="1" x14ac:dyDescent="0.2">
      <c r="B13" s="114">
        <f t="shared" ref="B13:B19" si="1">D13-D$11</f>
        <v>62.5</v>
      </c>
      <c r="C13" s="3" t="s">
        <v>10</v>
      </c>
      <c r="D13" s="34">
        <v>93.5</v>
      </c>
      <c r="E13" s="99" t="s">
        <v>92</v>
      </c>
      <c r="F13" s="100" t="s">
        <v>83</v>
      </c>
      <c r="G13" s="100" t="s">
        <v>110</v>
      </c>
      <c r="H13" s="101" t="s">
        <v>95</v>
      </c>
      <c r="I13" s="107" t="s">
        <v>111</v>
      </c>
      <c r="J13" s="107"/>
      <c r="K13" s="108"/>
      <c r="L13">
        <f t="shared" ref="L13:L19" si="2">IF(ISBLANK(Distance),"",IF(Distance&gt;1000,(Distance-1000)/26+33.0847,(IF(Distance&gt;600,(Distance-600)/28+18.799,(IF(Distance&gt;400,(Distance-400)/30+12.1324,(IF(Distance&gt;200,(Distance-200)/32+5.8824,Distance/34))))))))</f>
        <v>2.75</v>
      </c>
      <c r="M13">
        <f t="shared" si="0"/>
        <v>6.2333333333333334</v>
      </c>
      <c r="N13" s="5">
        <f>IF(ISBLANK(Distance),"",Open_time Control_1+(INT(Open)&amp;":"&amp;IF(ROUND(((Open-INT(Open))*60),0)&lt;10,0,"")&amp;ROUND(((Open-INT(Open))*60),0)))</f>
        <v>44421.364583333336</v>
      </c>
      <c r="O13" s="5">
        <f>IF(ISBLANK(Distance),"",Open_time Control_1+(INT(Close)&amp;":"&amp;IF(ROUND(((Close-INT(Close))*60),0)&lt;10,0,"")&amp;ROUND(((Close-INT(Close))*60),0)))</f>
        <v>44421.509722222225</v>
      </c>
    </row>
    <row r="14" spans="1:23" ht="17" customHeight="1" x14ac:dyDescent="0.2">
      <c r="B14" s="114">
        <f t="shared" si="1"/>
        <v>119.69999999999999</v>
      </c>
      <c r="C14" s="3" t="s">
        <v>11</v>
      </c>
      <c r="D14" s="34">
        <v>150.69999999999999</v>
      </c>
      <c r="E14" s="99" t="s">
        <v>96</v>
      </c>
      <c r="F14" s="100" t="s">
        <v>83</v>
      </c>
      <c r="G14" s="100" t="s">
        <v>97</v>
      </c>
      <c r="H14" s="101" t="s">
        <v>98</v>
      </c>
      <c r="I14" s="107" t="s">
        <v>117</v>
      </c>
      <c r="J14" s="107" t="s">
        <v>118</v>
      </c>
      <c r="K14" s="109" t="s">
        <v>119</v>
      </c>
      <c r="L14">
        <f t="shared" si="2"/>
        <v>4.4323529411764699</v>
      </c>
      <c r="M14">
        <f t="shared" si="0"/>
        <v>10.046666666666665</v>
      </c>
      <c r="N14" s="5">
        <f>IF(ISBLANK(Distance),"",Open_time Control_1+(INT(Open)&amp;":"&amp;IF(ROUND(((Open-INT(Open))*60),0)&lt;10,0,"")&amp;ROUND(((Open-INT(Open))*60),0)))</f>
        <v>44421.43472222222</v>
      </c>
      <c r="O14" s="5">
        <f>IF(ISBLANK(Distance),"",Open_time Control_1+(INT(Close)&amp;":"&amp;IF(ROUND(((Close-INT(Close))*60),0)&lt;10,0,"")&amp;ROUND(((Close-INT(Close))*60),0)))</f>
        <v>44421.668749999997</v>
      </c>
      <c r="Q14" s="97" t="s">
        <v>76</v>
      </c>
    </row>
    <row r="15" spans="1:23" ht="17" customHeight="1" x14ac:dyDescent="0.2">
      <c r="B15" s="114">
        <f t="shared" si="1"/>
        <v>155.9</v>
      </c>
      <c r="C15" s="3" t="s">
        <v>12</v>
      </c>
      <c r="D15" s="34">
        <v>186.9</v>
      </c>
      <c r="E15" s="99" t="s">
        <v>88</v>
      </c>
      <c r="F15" s="100" t="s">
        <v>83</v>
      </c>
      <c r="G15" s="100" t="s">
        <v>89</v>
      </c>
      <c r="H15" s="101" t="s">
        <v>90</v>
      </c>
      <c r="I15" s="107" t="s">
        <v>114</v>
      </c>
      <c r="J15" s="107"/>
      <c r="K15" s="108"/>
      <c r="L15">
        <f t="shared" si="2"/>
        <v>5.4970588235294118</v>
      </c>
      <c r="M15">
        <f t="shared" si="0"/>
        <v>12.46</v>
      </c>
      <c r="N15" s="5">
        <f>IF(ISBLANK(Distance),"",Open_time Control_1+(INT(Open)&amp;":"&amp;IF(ROUND(((Open-INT(Open))*60),0)&lt;10,0,"")&amp;ROUND(((Open-INT(Open))*60),0)))</f>
        <v>44421.479166666664</v>
      </c>
      <c r="O15" s="5">
        <f>IF(ISBLANK(Distance),"",Open_time Control_1+(INT(Close)&amp;":"&amp;IF(ROUND(((Close-INT(Close))*60),0)&lt;10,0,"")&amp;ROUND(((Close-INT(Close))*60),0)))</f>
        <v>44421.769444444442</v>
      </c>
    </row>
    <row r="16" spans="1:23" ht="17" customHeight="1" x14ac:dyDescent="0.2">
      <c r="B16" s="114">
        <f t="shared" si="1"/>
        <v>195.6</v>
      </c>
      <c r="C16" s="3" t="s">
        <v>13</v>
      </c>
      <c r="D16" s="34">
        <v>226.6</v>
      </c>
      <c r="E16" s="99" t="s">
        <v>99</v>
      </c>
      <c r="F16" s="100" t="s">
        <v>83</v>
      </c>
      <c r="G16" s="100" t="s">
        <v>100</v>
      </c>
      <c r="H16" s="101" t="s">
        <v>101</v>
      </c>
      <c r="I16" s="107" t="s">
        <v>108</v>
      </c>
      <c r="J16" s="107"/>
      <c r="K16" s="107" t="s">
        <v>102</v>
      </c>
      <c r="L16">
        <f t="shared" si="2"/>
        <v>6.7136499999999995</v>
      </c>
      <c r="M16">
        <f t="shared" si="0"/>
        <v>15.106666666666666</v>
      </c>
      <c r="N16" s="5">
        <f>IF(ISBLANK(Distance),"",Open_time Control_1+(INT(Open)&amp;":"&amp;IF(ROUND(((Open-INT(Open))*60),0)&lt;10,0,"")&amp;ROUND(((Open-INT(Open))*60),0)))</f>
        <v>44421.529861111114</v>
      </c>
      <c r="O16" s="5">
        <f>IF(ISBLANK(Distance),"",Open_time Control_1+(INT(Close)&amp;":"&amp;IF(ROUND(((Close-INT(Close))*60),0)&lt;10,0,"")&amp;ROUND(((Close-INT(Close))*60),0)))</f>
        <v>44421.879166666666</v>
      </c>
    </row>
    <row r="17" spans="2:15" ht="17" customHeight="1" x14ac:dyDescent="0.2">
      <c r="B17" s="114">
        <f t="shared" si="1"/>
        <v>204.6</v>
      </c>
      <c r="C17" s="3" t="s">
        <v>14</v>
      </c>
      <c r="D17" s="34">
        <v>235.6</v>
      </c>
      <c r="E17" s="99" t="s">
        <v>103</v>
      </c>
      <c r="F17" s="100" t="s">
        <v>83</v>
      </c>
      <c r="G17" s="100" t="s">
        <v>104</v>
      </c>
      <c r="H17" s="101" t="s">
        <v>120</v>
      </c>
      <c r="I17" s="107" t="s">
        <v>121</v>
      </c>
      <c r="J17" s="107"/>
      <c r="K17" s="108"/>
      <c r="L17">
        <f t="shared" si="2"/>
        <v>6.9948999999999995</v>
      </c>
      <c r="M17">
        <f t="shared" si="0"/>
        <v>15.706666666666667</v>
      </c>
      <c r="N17" s="5">
        <f>IF(ISBLANK(Distance),"",Open_time Control_1+(INT(Open)&amp;":"&amp;IF(ROUND(((Open-INT(Open))*60),0)&lt;10,0,"")&amp;ROUND(((Open-INT(Open))*60),0)))</f>
        <v>44421.541666666664</v>
      </c>
      <c r="O17" s="5">
        <f>IF(ISBLANK(Distance),"",Open_time Control_1+(INT(Close)&amp;":"&amp;IF(ROUND(((Close-INT(Close))*60),0)&lt;10,0,"")&amp;ROUND(((Close-INT(Close))*60),0)))</f>
        <v>44421.904166666667</v>
      </c>
    </row>
    <row r="18" spans="2:15" ht="17" customHeight="1" x14ac:dyDescent="0.2">
      <c r="B18" s="114">
        <f t="shared" si="1"/>
        <v>258.3</v>
      </c>
      <c r="C18" s="3" t="s">
        <v>15</v>
      </c>
      <c r="D18" s="34">
        <v>289.3</v>
      </c>
      <c r="E18" s="99" t="s">
        <v>105</v>
      </c>
      <c r="F18" s="100" t="s">
        <v>83</v>
      </c>
      <c r="G18" s="100" t="s">
        <v>122</v>
      </c>
      <c r="H18" s="101" t="s">
        <v>125</v>
      </c>
      <c r="I18" s="107" t="s">
        <v>123</v>
      </c>
      <c r="J18" s="107"/>
      <c r="K18" s="107" t="s">
        <v>124</v>
      </c>
      <c r="L18">
        <f t="shared" si="2"/>
        <v>8.6730249999999991</v>
      </c>
      <c r="M18">
        <f t="shared" si="0"/>
        <v>19.286666666666669</v>
      </c>
      <c r="N18" s="5">
        <f>IF(ISBLANK(Distance),"",Open_time Control_1+(INT(Open)&amp;":"&amp;IF(ROUND(((Open-INT(Open))*60),0)&lt;10,0,"")&amp;ROUND(((Open-INT(Open))*60),0)))</f>
        <v>44421.611111111109</v>
      </c>
      <c r="O18" s="5">
        <f>IF(ISBLANK(Distance),"",Open_time Control_1+(INT(Close)&amp;":"&amp;IF(ROUND(((Close-INT(Close))*60),0)&lt;10,0,"")&amp;ROUND(((Close-INT(Close))*60),0)))</f>
        <v>44422.053472222222</v>
      </c>
    </row>
    <row r="19" spans="2:15" ht="17" customHeight="1" thickBot="1" x14ac:dyDescent="0.25">
      <c r="B19" s="114">
        <f t="shared" si="1"/>
        <v>271.3</v>
      </c>
      <c r="C19" s="3" t="s">
        <v>16</v>
      </c>
      <c r="D19" s="64">
        <v>302.3</v>
      </c>
      <c r="E19" s="102" t="s">
        <v>82</v>
      </c>
      <c r="F19" s="103"/>
      <c r="G19" s="103" t="s">
        <v>84</v>
      </c>
      <c r="H19" s="104" t="s">
        <v>85</v>
      </c>
      <c r="I19" s="110" t="s">
        <v>91</v>
      </c>
      <c r="J19" s="110"/>
      <c r="K19" s="111"/>
      <c r="L19">
        <f t="shared" si="2"/>
        <v>9.0792749999999991</v>
      </c>
      <c r="M19">
        <f t="shared" si="0"/>
        <v>20</v>
      </c>
      <c r="N19" s="5">
        <f>IF(ISBLANK(Distance),"",Open_time Control_1+(INT(Open)&amp;":"&amp;IF(ROUND(((Open-INT(Open))*60),0)&lt;10,0,"")&amp;ROUND(((Open-INT(Open))*60),0)))</f>
        <v>44421.628472222219</v>
      </c>
      <c r="O19" s="5">
        <f>IF(ISBLANK(Distance),"",Open_time Control_1+(INT(Close)&amp;":"&amp;IF(ROUND(((Close-INT(Close))*60),0)&lt;10,0,"")&amp;ROUND(((Close-INT(Close))*60),0)))</f>
        <v>44422.083333333336</v>
      </c>
    </row>
    <row r="20" spans="2:15" ht="7" customHeight="1" thickBot="1" x14ac:dyDescent="0.25">
      <c r="D20" s="86"/>
      <c r="E20" s="87"/>
      <c r="F20" s="88"/>
      <c r="G20" s="88"/>
      <c r="H20" s="88"/>
      <c r="I20" s="88"/>
      <c r="J20" s="88"/>
      <c r="K20" s="89"/>
      <c r="N20" s="5"/>
      <c r="O20" s="5"/>
    </row>
    <row r="21" spans="2:15" ht="14" thickBot="1" x14ac:dyDescent="0.2">
      <c r="D21" s="119" t="s">
        <v>81</v>
      </c>
      <c r="E21" s="120"/>
      <c r="F21" s="120"/>
      <c r="G21" s="120"/>
      <c r="H21" s="120"/>
      <c r="I21" s="121" t="s">
        <v>77</v>
      </c>
      <c r="J21" s="120"/>
      <c r="K21" s="122"/>
    </row>
    <row r="22" spans="2:15" ht="14" thickBot="1" x14ac:dyDescent="0.2">
      <c r="D22" s="6" t="s">
        <v>24</v>
      </c>
      <c r="E22" s="7" t="s">
        <v>25</v>
      </c>
      <c r="F22" s="84" t="s">
        <v>26</v>
      </c>
      <c r="G22" s="84" t="s">
        <v>27</v>
      </c>
      <c r="H22" s="85" t="s">
        <v>28</v>
      </c>
      <c r="I22" s="7" t="s">
        <v>61</v>
      </c>
      <c r="J22" s="7" t="s">
        <v>62</v>
      </c>
      <c r="K22" s="8" t="s">
        <v>63</v>
      </c>
      <c r="L22" t="s">
        <v>3</v>
      </c>
      <c r="M22" t="s">
        <v>4</v>
      </c>
      <c r="N22" t="s">
        <v>5</v>
      </c>
      <c r="O22" t="s">
        <v>6</v>
      </c>
    </row>
    <row r="23" spans="2:15" ht="16" x14ac:dyDescent="0.2">
      <c r="D23" s="34">
        <v>0</v>
      </c>
      <c r="E23" s="112" t="s">
        <v>86</v>
      </c>
      <c r="F23" s="100" t="s">
        <v>83</v>
      </c>
      <c r="G23" s="106" t="s">
        <v>87</v>
      </c>
      <c r="H23" s="106" t="s">
        <v>109</v>
      </c>
      <c r="I23" s="107" t="s">
        <v>106</v>
      </c>
      <c r="J23" s="107" t="s">
        <v>107</v>
      </c>
      <c r="K23" s="108"/>
      <c r="L23">
        <f>IF(ISBLANK(D23),"",IF(D23&gt;1000,(D23-1000)/26+33.0847,(IF(D23&gt;600,(D23-600)/28+18.799,(IF(D23&gt;400,(D23-400)/30+12.1324,(IF(D23&gt;200,(D23-200)/32+5.8824,D23/34))))))))</f>
        <v>0</v>
      </c>
      <c r="M23">
        <f>IF(ISBLANK(D23),"",IF((D23=0),1,IF(D23&gt;=brevet,IF(brevet&gt;1200,(brevet-1200)*75/1000+90,Max_time),IF(D23&gt;1200,(D23-1200)*75/1000+90,IF(D23&gt;1000,(D23-1000)/(1000/75)+75,IF(D23&gt;600,(D23-600)/(400/35)+40,D23/15))))))</f>
        <v>1</v>
      </c>
      <c r="N23" s="5">
        <f>IF(ISBLANK(D23),"",Open_time Control_1+(INT(L23)&amp;":"&amp;IF(ROUND(((L23-INT(L23))*60),0)&lt;10,0,"")&amp;ROUND(((L23-INT(L23))*60),0)))</f>
        <v>44421.25</v>
      </c>
      <c r="O23" s="5">
        <f>IF(ISBLANK(D23),"",Open_time Control_1+(INT(M23)&amp;":"&amp;IF(ROUND(((M23-INT(M23))*60),0)&lt;10,0,"")&amp;ROUND(((M23-INT(M23))*60),0)))</f>
        <v>44421.291666666664</v>
      </c>
    </row>
    <row r="24" spans="2:15" ht="17" customHeight="1" x14ac:dyDescent="0.2">
      <c r="D24" s="34">
        <v>46.900000000000006</v>
      </c>
      <c r="E24" s="99" t="s">
        <v>92</v>
      </c>
      <c r="F24" s="100" t="s">
        <v>83</v>
      </c>
      <c r="G24" s="100" t="s">
        <v>93</v>
      </c>
      <c r="H24" s="101" t="s">
        <v>94</v>
      </c>
      <c r="I24" s="107" t="s">
        <v>112</v>
      </c>
      <c r="J24" s="107" t="s">
        <v>113</v>
      </c>
      <c r="K24" s="109"/>
      <c r="L24">
        <f t="shared" ref="L24:L32" si="3">IF(ISBLANK(D24),"",IF(D24&gt;1000,(D24-1000)/26+33.0847,(IF(D24&gt;600,(D24-600)/28+18.799,(IF(D24&gt;400,(D24-400)/30+12.1324,(IF(D24&gt;200,(D24-200)/32+5.8824,D24/34))))))))</f>
        <v>1.3794117647058826</v>
      </c>
      <c r="M24">
        <f t="shared" ref="M24:M32" si="4">IF(ISBLANK(D24),"",IF(D24&gt;=brevet,IF(brevet&gt;1200,(brevet-1200)*75/1000+90,Max_time),IF(D24&gt;1200,(D24-1200)*75/1000+90,IF(D24&gt;1000,(D24-1000)/(1000/75)+75,IF(D24&gt;600,(D24-600)/(400/35)+40,D24/15)))))</f>
        <v>3.1266666666666669</v>
      </c>
      <c r="N24" s="5">
        <f>IF(ISBLANK(D24),"",Open_time Control_1+(INT(L24)&amp;":"&amp;IF(ROUND(((L24-INT(L24))*60),0)&lt;10,0,"")&amp;ROUND(((L24-INT(L24))*60),0)))</f>
        <v>44421.307638888888</v>
      </c>
      <c r="O24" s="5">
        <f>IF(ISBLANK(D24),"",Open_time Control_1+(INT(M24)&amp;":"&amp;IF(ROUND(((M24-INT(M24))*60),0)&lt;10,0,"")&amp;ROUND(((M24-INT(M24))*60),0)))</f>
        <v>44421.380555555559</v>
      </c>
    </row>
    <row r="25" spans="2:15" ht="17" customHeight="1" x14ac:dyDescent="0.2">
      <c r="D25" s="34">
        <v>62.5</v>
      </c>
      <c r="E25" s="99" t="s">
        <v>92</v>
      </c>
      <c r="F25" s="100" t="s">
        <v>83</v>
      </c>
      <c r="G25" s="100" t="s">
        <v>110</v>
      </c>
      <c r="H25" s="101" t="s">
        <v>95</v>
      </c>
      <c r="I25" s="107" t="s">
        <v>111</v>
      </c>
      <c r="J25" s="107"/>
      <c r="K25" s="109"/>
      <c r="L25">
        <f t="shared" si="3"/>
        <v>1.838235294117647</v>
      </c>
      <c r="M25">
        <f t="shared" si="4"/>
        <v>4.166666666666667</v>
      </c>
      <c r="N25" s="5">
        <f>IF(ISBLANK(D25),"",Open_time Control_1+(INT(L25)&amp;":"&amp;IF(ROUND(((L25-INT(L25))*60),0)&lt;10,0,"")&amp;ROUND(((L25-INT(L25))*60),0)))</f>
        <v>44421.326388888891</v>
      </c>
      <c r="O25" s="5">
        <f>IF(ISBLANK(D25),"",Open_time Control_1+(INT(M25)&amp;":"&amp;IF(ROUND(((M25-INT(M25))*60),0)&lt;10,0,"")&amp;ROUND(((M25-INT(M25))*60),0)))</f>
        <v>44421.423611111109</v>
      </c>
    </row>
    <row r="26" spans="2:15" ht="17" customHeight="1" x14ac:dyDescent="0.2">
      <c r="D26" s="34">
        <v>119.69999999999999</v>
      </c>
      <c r="E26" s="99" t="s">
        <v>96</v>
      </c>
      <c r="F26" s="100" t="s">
        <v>83</v>
      </c>
      <c r="G26" s="100" t="s">
        <v>97</v>
      </c>
      <c r="H26" s="101" t="s">
        <v>98</v>
      </c>
      <c r="I26" s="107" t="s">
        <v>117</v>
      </c>
      <c r="J26" s="107" t="s">
        <v>118</v>
      </c>
      <c r="K26" s="109" t="s">
        <v>119</v>
      </c>
      <c r="L26">
        <f t="shared" si="3"/>
        <v>3.5205882352941171</v>
      </c>
      <c r="M26">
        <f t="shared" si="4"/>
        <v>7.9799999999999995</v>
      </c>
      <c r="N26" s="5">
        <f>IF(ISBLANK(D26),"",Open_time Control_1+(INT(L26)&amp;":"&amp;IF(ROUND(((L26-INT(L26))*60),0)&lt;10,0,"")&amp;ROUND(((L26-INT(L26))*60),0)))</f>
        <v>44421.396527777775</v>
      </c>
      <c r="O26" s="5">
        <f>IF(ISBLANK(D26),"",Open_time Control_1+(INT(M26)&amp;":"&amp;IF(ROUND(((M26-INT(M26))*60),0)&lt;10,0,"")&amp;ROUND(((M26-INT(M26))*60),0)))</f>
        <v>44421.582638888889</v>
      </c>
    </row>
    <row r="27" spans="2:15" ht="17" customHeight="1" x14ac:dyDescent="0.2">
      <c r="D27" s="34">
        <v>155.9</v>
      </c>
      <c r="E27" s="99" t="s">
        <v>88</v>
      </c>
      <c r="F27" s="100" t="s">
        <v>83</v>
      </c>
      <c r="G27" s="100" t="s">
        <v>89</v>
      </c>
      <c r="H27" s="101" t="s">
        <v>90</v>
      </c>
      <c r="I27" s="107" t="s">
        <v>114</v>
      </c>
      <c r="J27" s="107"/>
      <c r="K27" s="108"/>
      <c r="L27">
        <f t="shared" si="3"/>
        <v>4.5852941176470594</v>
      </c>
      <c r="M27">
        <f t="shared" si="4"/>
        <v>10.393333333333334</v>
      </c>
      <c r="N27" s="5">
        <f>IF(ISBLANK(D27),"",Open_time Control_1+(INT(L27)&amp;":"&amp;IF(ROUND(((L27-INT(L27))*60),0)&lt;10,0,"")&amp;ROUND(((L27-INT(L27))*60),0)))</f>
        <v>44421.440972222219</v>
      </c>
      <c r="O27" s="5">
        <f>IF(ISBLANK(D27),"",Open_time Control_1+(INT(M27)&amp;":"&amp;IF(ROUND(((M27-INT(M27))*60),0)&lt;10,0,"")&amp;ROUND(((M27-INT(M27))*60),0)))</f>
        <v>44421.683333333334</v>
      </c>
    </row>
    <row r="28" spans="2:15" ht="17" customHeight="1" x14ac:dyDescent="0.2">
      <c r="D28" s="34">
        <v>195.6</v>
      </c>
      <c r="E28" s="99" t="s">
        <v>99</v>
      </c>
      <c r="F28" s="100" t="s">
        <v>83</v>
      </c>
      <c r="G28" s="100" t="s">
        <v>100</v>
      </c>
      <c r="H28" s="101" t="s">
        <v>101</v>
      </c>
      <c r="I28" s="107" t="s">
        <v>108</v>
      </c>
      <c r="J28" s="107"/>
      <c r="K28" s="107" t="s">
        <v>102</v>
      </c>
      <c r="L28">
        <f t="shared" si="3"/>
        <v>5.7529411764705882</v>
      </c>
      <c r="M28">
        <f t="shared" si="4"/>
        <v>13.04</v>
      </c>
      <c r="N28" s="5">
        <f>IF(ISBLANK(D28),"",Open_time Control_1+(INT(L28)&amp;":"&amp;IF(ROUND(((L28-INT(L28))*60),0)&lt;10,0,"")&amp;ROUND(((L28-INT(L28))*60),0)))</f>
        <v>44421.489583333336</v>
      </c>
      <c r="O28" s="5">
        <f>IF(ISBLANK(D28),"",Open_time Control_1+(INT(M28)&amp;":"&amp;IF(ROUND(((M28-INT(M28))*60),0)&lt;10,0,"")&amp;ROUND(((M28-INT(M28))*60),0)))</f>
        <v>44421.793055555558</v>
      </c>
    </row>
    <row r="29" spans="2:15" ht="17" customHeight="1" x14ac:dyDescent="0.2">
      <c r="D29" s="34">
        <v>204.6</v>
      </c>
      <c r="E29" s="99" t="s">
        <v>103</v>
      </c>
      <c r="F29" s="100" t="s">
        <v>83</v>
      </c>
      <c r="G29" s="100" t="s">
        <v>104</v>
      </c>
      <c r="H29" s="101" t="s">
        <v>120</v>
      </c>
      <c r="I29" s="107" t="s">
        <v>121</v>
      </c>
      <c r="J29" s="107"/>
      <c r="K29" s="108"/>
      <c r="L29">
        <f t="shared" si="3"/>
        <v>6.0261499999999995</v>
      </c>
      <c r="M29">
        <f t="shared" si="4"/>
        <v>13.639999999999999</v>
      </c>
      <c r="N29" s="5">
        <f>IF(ISBLANK(D29),"",Open_time Control_1+(INT(L29)&amp;":"&amp;IF(ROUND(((L29-INT(L29))*60),0)&lt;10,0,"")&amp;ROUND(((L29-INT(L29))*60),0)))</f>
        <v>44421.501388888886</v>
      </c>
      <c r="O29" s="5">
        <f>IF(ISBLANK(D29),"",Open_time Control_1+(INT(M29)&amp;":"&amp;IF(ROUND(((M29-INT(M29))*60),0)&lt;10,0,"")&amp;ROUND(((M29-INT(M29))*60),0)))</f>
        <v>44421.818055555559</v>
      </c>
    </row>
    <row r="30" spans="2:15" ht="17" customHeight="1" x14ac:dyDescent="0.2">
      <c r="D30" s="34">
        <v>258.3</v>
      </c>
      <c r="E30" s="99" t="s">
        <v>105</v>
      </c>
      <c r="F30" s="100" t="s">
        <v>83</v>
      </c>
      <c r="G30" s="100" t="s">
        <v>122</v>
      </c>
      <c r="H30" s="101" t="s">
        <v>125</v>
      </c>
      <c r="I30" s="107" t="s">
        <v>123</v>
      </c>
      <c r="J30" s="107"/>
      <c r="K30" s="107" t="s">
        <v>124</v>
      </c>
      <c r="L30">
        <f t="shared" si="3"/>
        <v>7.704275</v>
      </c>
      <c r="M30">
        <f t="shared" si="4"/>
        <v>17.220000000000002</v>
      </c>
      <c r="N30" s="5">
        <f>IF(ISBLANK(D30),"",Open_time Control_1+(INT(L30)&amp;":"&amp;IF(ROUND(((L30-INT(L30))*60),0)&lt;10,0,"")&amp;ROUND(((L30-INT(L30))*60),0)))</f>
        <v>44421.570833333331</v>
      </c>
      <c r="O30" s="5">
        <f>IF(ISBLANK(D30),"",Open_time Control_1+(INT(M30)&amp;":"&amp;IF(ROUND(((M30-INT(M30))*60),0)&lt;10,0,"")&amp;ROUND(((M30-INT(M30))*60),0)))</f>
        <v>44421.967361111114</v>
      </c>
    </row>
    <row r="31" spans="2:15" ht="17" customHeight="1" x14ac:dyDescent="0.2">
      <c r="D31" s="34">
        <v>271.3</v>
      </c>
      <c r="E31" s="99" t="s">
        <v>82</v>
      </c>
      <c r="F31" s="100" t="s">
        <v>83</v>
      </c>
      <c r="G31" s="100" t="s">
        <v>84</v>
      </c>
      <c r="H31" s="101" t="s">
        <v>85</v>
      </c>
      <c r="I31" s="107" t="s">
        <v>115</v>
      </c>
      <c r="J31" s="107" t="s">
        <v>116</v>
      </c>
      <c r="K31" s="108"/>
      <c r="L31">
        <f t="shared" si="3"/>
        <v>8.1105249999999991</v>
      </c>
      <c r="M31">
        <f t="shared" si="4"/>
        <v>18.086666666666666</v>
      </c>
      <c r="N31" s="5">
        <f>IF(ISBLANK(D31),"",Open_time Control_1+(INT(L31)&amp;":"&amp;IF(ROUND(((L31-INT(L31))*60),0)&lt;10,0,"")&amp;ROUND(((L31-INT(L31))*60),0)))</f>
        <v>44421.588194444441</v>
      </c>
      <c r="O31" s="5">
        <f>IF(ISBLANK(D31),"",Open_time Control_1+(INT(M31)&amp;":"&amp;IF(ROUND(((M31-INT(M31))*60),0)&lt;10,0,"")&amp;ROUND(((M31-INT(M31))*60),0)))</f>
        <v>44422.003472222219</v>
      </c>
    </row>
    <row r="32" spans="2:15" ht="17" customHeight="1" thickBot="1" x14ac:dyDescent="0.25">
      <c r="B32" s="114"/>
      <c r="D32" s="64">
        <v>302.3</v>
      </c>
      <c r="E32" s="102" t="s">
        <v>86</v>
      </c>
      <c r="F32" s="103"/>
      <c r="G32" s="103"/>
      <c r="H32" s="104" t="s">
        <v>87</v>
      </c>
      <c r="I32" s="110" t="s">
        <v>91</v>
      </c>
      <c r="J32" s="110"/>
      <c r="K32" s="111"/>
      <c r="L32">
        <f t="shared" si="3"/>
        <v>9.0792749999999991</v>
      </c>
      <c r="M32">
        <f t="shared" si="4"/>
        <v>20</v>
      </c>
      <c r="N32" s="5">
        <f>IF(ISBLANK(D32),"",Open_time Control_1+(INT(L32)&amp;":"&amp;IF(ROUND(((L32-INT(L32))*60),0)&lt;10,0,"")&amp;ROUND(((L32-INT(L32))*60),0)))</f>
        <v>44421.628472222219</v>
      </c>
      <c r="O32" s="5">
        <f>IF(ISBLANK(D32),"",Open_time Control_1+(INT(M32)&amp;":"&amp;IF(ROUND(((M32-INT(M32))*60),0)&lt;10,0,"")&amp;ROUND(((M32-INT(M32))*60),0)))</f>
        <v>44422.083333333336</v>
      </c>
    </row>
  </sheetData>
  <mergeCells count="5">
    <mergeCell ref="J1:K1"/>
    <mergeCell ref="D8:H8"/>
    <mergeCell ref="D21:H21"/>
    <mergeCell ref="I8:K8"/>
    <mergeCell ref="I21:K21"/>
  </mergeCells>
  <phoneticPr fontId="16" type="noConversion"/>
  <pageMargins left="0.75" right="0.75" top="1" bottom="1" header="0.5" footer="0.5"/>
  <pageSetup orientation="portrait" horizontalDpi="4294967292" verticalDpi="4294967292"/>
  <headerFooter>
    <oddHeader>&amp;A</oddHeader>
    <oddFooter>Page &amp;P</oddFooter>
  </headerFooter>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40"/>
  <sheetViews>
    <sheetView showGridLines="0" zoomScale="92" zoomScaleNormal="92" zoomScalePageLayoutView="92" workbookViewId="0">
      <selection activeCell="F28" sqref="F28"/>
    </sheetView>
  </sheetViews>
  <sheetFormatPr baseColWidth="10" defaultColWidth="8.83203125" defaultRowHeight="13" x14ac:dyDescent="0.15"/>
  <cols>
    <col min="1" max="1" width="8.5" style="1" customWidth="1"/>
    <col min="2" max="2" width="11.5" customWidth="1"/>
    <col min="3" max="3" width="11.6640625" customWidth="1"/>
    <col min="4" max="4" width="18" customWidth="1"/>
    <col min="5" max="5" width="23.83203125" customWidth="1"/>
    <col min="6" max="6" width="42" customWidth="1"/>
    <col min="7" max="7" width="13.5" customWidth="1"/>
    <col min="8" max="8" width="8" style="36" customWidth="1"/>
    <col min="9" max="9" width="12" customWidth="1"/>
    <col min="18" max="19" width="8.83203125" customWidth="1"/>
  </cols>
  <sheetData>
    <row r="1" spans="1:22" ht="21" thickBot="1" x14ac:dyDescent="0.2">
      <c r="A1" s="126" t="s">
        <v>44</v>
      </c>
      <c r="B1" s="126"/>
      <c r="C1" s="126"/>
      <c r="D1" s="126"/>
      <c r="E1" s="126"/>
      <c r="F1" s="126"/>
      <c r="G1" s="126"/>
      <c r="H1" s="35" t="s">
        <v>29</v>
      </c>
    </row>
    <row r="2" spans="1:22" ht="33.75" customHeight="1" thickBot="1" x14ac:dyDescent="0.25">
      <c r="A2" s="98" t="s">
        <v>30</v>
      </c>
      <c r="B2" s="9" t="s">
        <v>3</v>
      </c>
      <c r="C2" s="9" t="s">
        <v>4</v>
      </c>
      <c r="D2" s="9" t="s">
        <v>25</v>
      </c>
      <c r="E2" s="9" t="s">
        <v>31</v>
      </c>
      <c r="F2" s="9" t="s">
        <v>60</v>
      </c>
      <c r="G2" s="98" t="s">
        <v>32</v>
      </c>
      <c r="H2" s="35" t="s">
        <v>29</v>
      </c>
      <c r="K2" s="124" t="s">
        <v>56</v>
      </c>
      <c r="L2" s="124"/>
      <c r="M2" s="124"/>
      <c r="N2" s="124"/>
      <c r="O2" s="124"/>
      <c r="P2" s="124"/>
      <c r="Q2" s="124"/>
      <c r="R2" s="124"/>
      <c r="S2" s="124"/>
      <c r="T2" s="124"/>
      <c r="U2" s="124"/>
    </row>
    <row r="3" spans="1:22" ht="36" customHeight="1" x14ac:dyDescent="0.45">
      <c r="A3" s="39"/>
      <c r="B3" s="40">
        <f>Control_1 Open_time</f>
        <v>44421.25</v>
      </c>
      <c r="C3" s="40">
        <f>Control_1 Close_time</f>
        <v>44421.291666666664</v>
      </c>
      <c r="D3" s="41"/>
      <c r="E3" s="42" t="str">
        <f>IF(ISBLANK(Control_1 Establishment_1),"",Control_1 Establishment_1)</f>
        <v>Information Control</v>
      </c>
      <c r="F3" s="42" t="str">
        <f>IF(ISBLANK('Control Entry'!I10),"",'Control Entry'!I10)</f>
        <v>Banner to right of door above windows</v>
      </c>
      <c r="G3" s="10"/>
      <c r="H3" s="35" t="s">
        <v>29</v>
      </c>
      <c r="K3" s="16"/>
      <c r="O3" s="133" t="s">
        <v>33</v>
      </c>
      <c r="P3" s="133"/>
      <c r="Q3" s="133"/>
      <c r="R3" s="133"/>
      <c r="S3" s="83"/>
      <c r="U3" s="52"/>
    </row>
    <row r="4" spans="1:22" ht="36" customHeight="1" x14ac:dyDescent="0.2">
      <c r="A4" s="48">
        <f>IF(ISBLANK(Distance Control_1),"",Control_1 Distance)</f>
        <v>0</v>
      </c>
      <c r="B4" s="49">
        <f>Control_1 Open_time</f>
        <v>44421.25</v>
      </c>
      <c r="C4" s="49">
        <f>Control_1 Close_time</f>
        <v>44421.291666666664</v>
      </c>
      <c r="D4" s="50" t="str">
        <f>IF(ISBLANK(Locale Control_1),"",Locale Control_1)</f>
        <v>SIDNEY</v>
      </c>
      <c r="E4" s="42" t="str">
        <f>IF(ISBLANK(Control_1 Establishment_2),"",Control_1 Establishment_2)</f>
        <v>Tim Hortons</v>
      </c>
      <c r="F4" s="67" t="str">
        <f>IF(ISBLANK('Control Entry'!J10),"",'Control Entry'!J10)</f>
        <v>...bagels________coffee...?</v>
      </c>
      <c r="G4" s="10"/>
      <c r="H4" s="35" t="s">
        <v>29</v>
      </c>
      <c r="K4" s="16"/>
      <c r="M4" s="128" t="str">
        <f>IF(ISBLANK(brevet),"",brevet&amp;" km Randonnée")</f>
        <v>300 km Randonnée</v>
      </c>
      <c r="N4" s="128"/>
      <c r="O4" s="128"/>
      <c r="P4" s="128"/>
      <c r="Q4" s="128"/>
      <c r="R4" s="128"/>
      <c r="S4" s="128"/>
      <c r="T4" s="128"/>
      <c r="U4" s="53"/>
    </row>
    <row r="5" spans="1:22" ht="36" customHeight="1" thickBot="1" x14ac:dyDescent="0.25">
      <c r="A5" s="43"/>
      <c r="B5" s="44">
        <f>Control_1 Open_time</f>
        <v>44421.25</v>
      </c>
      <c r="C5" s="44">
        <f>Control_1 Close_time</f>
        <v>44421.291666666664</v>
      </c>
      <c r="D5" s="45"/>
      <c r="E5" s="46" t="str">
        <f>IF(ISBLANK(Control_1 Establishment_3),"",Control_1 Establishment_3)</f>
        <v xml:space="preserve"> 2343 Beacon Ave</v>
      </c>
      <c r="F5" s="105" t="str">
        <f>IF(ISBLANK('Control Entry'!K10),"",'Control Entry'!K10)</f>
        <v/>
      </c>
      <c r="G5" s="11"/>
      <c r="H5" s="35" t="s">
        <v>29</v>
      </c>
      <c r="K5" s="16"/>
      <c r="M5" s="17"/>
      <c r="N5" s="131" t="s">
        <v>48</v>
      </c>
      <c r="O5" s="131"/>
      <c r="P5" s="81">
        <f>IF(ISBLANK(Brevet_Number),"",Brevet_Number)</f>
        <v>5099</v>
      </c>
      <c r="Q5" s="82"/>
      <c r="R5" s="123">
        <f>IF(ISBLANK('Control Entry'!$B5),"",'Control Entry'!$B5)</f>
        <v>44421</v>
      </c>
      <c r="S5" s="123"/>
      <c r="T5" s="123"/>
      <c r="U5" s="123"/>
      <c r="V5" s="54"/>
    </row>
    <row r="6" spans="1:22" ht="36" customHeight="1" x14ac:dyDescent="0.2">
      <c r="A6" s="39"/>
      <c r="B6" s="40">
        <f>Control_2 Open_time</f>
        <v>44421.288194444445</v>
      </c>
      <c r="C6" s="40">
        <f>Control_2 Close_time</f>
        <v>44421.336111111108</v>
      </c>
      <c r="D6" s="47"/>
      <c r="E6" s="42" t="str">
        <f>IF(ISBLANK(Control_2 Establishment_1),"",Control_2 Establishment_1)</f>
        <v>Information Control</v>
      </c>
      <c r="F6" s="42" t="str">
        <f>IF(ISBLANK('Control Entry'!I11),"",'Control Entry'!I11)</f>
        <v>On post facing trail</v>
      </c>
      <c r="G6" s="10"/>
      <c r="H6" s="35" t="s">
        <v>29</v>
      </c>
      <c r="K6" s="16"/>
      <c r="L6" s="136" t="str">
        <f>IF(ISBLANK(Brevet_Description),"",Brevet_Description)</f>
        <v>Sidney Lento</v>
      </c>
      <c r="M6" s="136"/>
      <c r="N6" s="136"/>
      <c r="O6" s="136"/>
      <c r="P6" s="136"/>
      <c r="Q6" s="136"/>
      <c r="R6" s="136"/>
      <c r="S6" s="136"/>
      <c r="T6" s="136"/>
      <c r="U6" s="136"/>
    </row>
    <row r="7" spans="1:22" ht="36" customHeight="1" x14ac:dyDescent="0.2">
      <c r="A7" s="48">
        <f>IF(ISBLANK(Distance Control_2),"",Control_2 Distance)</f>
        <v>31</v>
      </c>
      <c r="B7" s="49">
        <f>Control_2 Open_time</f>
        <v>44421.288194444445</v>
      </c>
      <c r="C7" s="49">
        <f>Control_2 Close_time</f>
        <v>44421.336111111108</v>
      </c>
      <c r="D7" s="50" t="str">
        <f>IF(ISBLANK(Locale Control_2),"",Locale Control_2)</f>
        <v>VIEW ROYAL</v>
      </c>
      <c r="E7" s="67" t="str">
        <f>IF(ISBLANK(Control_2 Establishment_2),"",Control_2 Establishment_2)</f>
        <v>Galloping Goose @ Atkins</v>
      </c>
      <c r="F7" s="67" t="str">
        <f>IF(ISBLANK('Control Entry'!J11),"",'Control Entry'!J11)</f>
        <v>Partners in parks sponsor?</v>
      </c>
      <c r="G7" s="10"/>
      <c r="H7" s="35" t="s">
        <v>29</v>
      </c>
    </row>
    <row r="8" spans="1:22" ht="36" customHeight="1" thickBot="1" x14ac:dyDescent="0.25">
      <c r="A8" s="43"/>
      <c r="B8" s="44">
        <f>Control_2 Open_time</f>
        <v>44421.288194444445</v>
      </c>
      <c r="C8" s="44">
        <f>Control_2 Close_time</f>
        <v>44421.336111111108</v>
      </c>
      <c r="D8" s="45"/>
      <c r="E8" s="46" t="str">
        <f>IF(ISBLANK(Control_2 Establishment_3),"",Control_2 Establishment_3)</f>
        <v>Trail info pagoda</v>
      </c>
      <c r="F8" s="105" t="str">
        <f>IF(ISBLANK('Control Entry'!K11),"",'Control Entry'!K11)</f>
        <v/>
      </c>
      <c r="G8" s="11"/>
      <c r="H8" s="35" t="s">
        <v>29</v>
      </c>
      <c r="J8" s="17" t="s">
        <v>34</v>
      </c>
      <c r="L8" s="125"/>
      <c r="M8" s="125"/>
      <c r="N8" s="125"/>
      <c r="O8" s="125"/>
      <c r="P8" s="125"/>
      <c r="Q8" s="125"/>
      <c r="R8" s="36"/>
      <c r="S8" s="55" t="s">
        <v>47</v>
      </c>
      <c r="T8" s="137"/>
      <c r="U8" s="137"/>
    </row>
    <row r="9" spans="1:22" ht="36" customHeight="1" thickBot="1" x14ac:dyDescent="0.3">
      <c r="A9" s="39"/>
      <c r="B9" s="40">
        <f>Control_3 Open_time</f>
        <v>44421.345138888886</v>
      </c>
      <c r="C9" s="40">
        <f>Control_3 Close_time</f>
        <v>44421.466666666667</v>
      </c>
      <c r="D9" s="47"/>
      <c r="E9" s="42" t="str">
        <f>IF(ISBLANK(Control_3 Establishment_1),"",Control_3 Establishment_1)</f>
        <v>Information Control</v>
      </c>
      <c r="F9" s="42" t="str">
        <f>IF(ISBLANK('Control Entry'!I12),"",'Control Entry'!I12)</f>
        <v>On white sign behind gate</v>
      </c>
      <c r="G9" s="10"/>
      <c r="H9" s="35" t="s">
        <v>29</v>
      </c>
      <c r="J9" s="17" t="s">
        <v>35</v>
      </c>
      <c r="K9" s="17"/>
      <c r="L9" s="65" t="s">
        <v>55</v>
      </c>
      <c r="M9" s="23"/>
      <c r="N9" s="23"/>
      <c r="O9" s="23"/>
      <c r="P9" s="23"/>
      <c r="Q9" s="23"/>
      <c r="R9" s="23"/>
      <c r="S9" s="23"/>
      <c r="T9" s="23"/>
      <c r="U9" s="21"/>
    </row>
    <row r="10" spans="1:22" ht="36" customHeight="1" thickBot="1" x14ac:dyDescent="0.3">
      <c r="A10" s="48">
        <f>IF(ISBLANK(Distance Control_3),"",Control_3 Distance)</f>
        <v>77.900000000000006</v>
      </c>
      <c r="B10" s="49">
        <f>Control_3 Open_time</f>
        <v>44421.345138888886</v>
      </c>
      <c r="C10" s="49">
        <f>Control_3 Close_time</f>
        <v>44421.466666666667</v>
      </c>
      <c r="D10" s="50" t="str">
        <f>IF(ISBLANK(Locale Control_3),"",Locale Control_3)</f>
        <v>SOOKE</v>
      </c>
      <c r="E10" s="67" t="str">
        <f>IF(ISBLANK(Control_3 Establishment_2),"",Control_3 Establishment_2)</f>
        <v xml:space="preserve">Red Gate </v>
      </c>
      <c r="F10" s="67" t="str">
        <f>IF(ISBLANK('Control Entry'!J12),"",'Control Entry'!J12)</f>
        <v>…water_________area?</v>
      </c>
      <c r="G10" s="10"/>
      <c r="H10" s="35" t="s">
        <v>29</v>
      </c>
      <c r="J10" s="17"/>
      <c r="K10" s="17"/>
      <c r="L10" s="37"/>
      <c r="M10" s="23"/>
      <c r="N10" s="23"/>
      <c r="O10" s="23"/>
      <c r="P10" s="23"/>
      <c r="Q10" s="23"/>
      <c r="R10" s="23"/>
      <c r="S10" s="23"/>
      <c r="T10" s="23"/>
      <c r="U10" s="21"/>
    </row>
    <row r="11" spans="1:22" ht="36" customHeight="1" thickBot="1" x14ac:dyDescent="0.3">
      <c r="A11" s="43"/>
      <c r="B11" s="44">
        <f>Control_3 Open_time</f>
        <v>44421.345138888886</v>
      </c>
      <c r="C11" s="44">
        <f>Control_3 Close_time</f>
        <v>44421.466666666667</v>
      </c>
      <c r="D11" s="45"/>
      <c r="E11" s="46" t="str">
        <f>IF(ISBLANK(Control_3 Establishment_3),"",Control_3 Establishment_3)</f>
        <v>End of Galloping Goose</v>
      </c>
      <c r="F11" s="105" t="str">
        <f>IF(ISBLANK('Control Entry'!K12),"",'Control Entry'!K12)</f>
        <v/>
      </c>
      <c r="G11" s="11"/>
      <c r="H11" s="35" t="s">
        <v>29</v>
      </c>
      <c r="J11" s="17" t="s">
        <v>36</v>
      </c>
      <c r="K11" s="17"/>
      <c r="L11" s="37"/>
      <c r="M11" s="23"/>
      <c r="N11" s="23"/>
      <c r="O11" s="24"/>
      <c r="P11" s="24" t="s">
        <v>37</v>
      </c>
      <c r="Q11" s="24"/>
      <c r="R11" s="24"/>
      <c r="S11" s="57"/>
      <c r="T11" s="37"/>
      <c r="U11" s="21"/>
    </row>
    <row r="12" spans="1:22" ht="36" customHeight="1" thickBot="1" x14ac:dyDescent="0.3">
      <c r="A12" s="39"/>
      <c r="B12" s="40">
        <f>Control_4 Open_time</f>
        <v>44421.364583333336</v>
      </c>
      <c r="C12" s="40">
        <f>Control_4 Close_time</f>
        <v>44421.509722222225</v>
      </c>
      <c r="D12" s="47"/>
      <c r="E12" s="42" t="str">
        <f>IF(ISBLANK(Control_4 Establishment_1),"",Control_4 Establishment_1)</f>
        <v>Information Control</v>
      </c>
      <c r="F12" s="42" t="str">
        <f>IF(ISBLANK('Control Entry'!I13),"",'Control Entry'!I13)</f>
        <v>Price of diesel?</v>
      </c>
      <c r="G12" s="10"/>
      <c r="H12" s="35" t="s">
        <v>29</v>
      </c>
      <c r="J12" s="17" t="s">
        <v>38</v>
      </c>
      <c r="K12" s="17"/>
      <c r="L12" s="37"/>
      <c r="M12" s="23"/>
      <c r="N12" s="23"/>
      <c r="O12" s="24"/>
      <c r="P12" s="24" t="s">
        <v>39</v>
      </c>
      <c r="Q12" s="24"/>
      <c r="R12" s="24"/>
      <c r="S12" s="57"/>
      <c r="T12" s="37"/>
      <c r="U12" s="21"/>
    </row>
    <row r="13" spans="1:22" ht="36" customHeight="1" thickBot="1" x14ac:dyDescent="0.3">
      <c r="A13" s="48">
        <f>IF(ISBLANK(Distance Control_4),"",Control_4 Distance)</f>
        <v>93.5</v>
      </c>
      <c r="B13" s="49">
        <f>Control_4 Open_time</f>
        <v>44421.364583333336</v>
      </c>
      <c r="C13" s="49">
        <f>Control_4 Close_time</f>
        <v>44421.509722222225</v>
      </c>
      <c r="D13" s="50" t="str">
        <f>IF(ISBLANK(Locale Control_4),"",Locale Control_4)</f>
        <v>SOOKE</v>
      </c>
      <c r="E13" s="42" t="str">
        <f>IF(ISBLANK(Control_4 Establishment_2),"",Control_4 Establishment_2)</f>
        <v>Petrocan</v>
      </c>
      <c r="F13" s="42" t="str">
        <f>IF(ISBLANK('Control Entry'!J13),"",'Control Entry'!J13)</f>
        <v/>
      </c>
      <c r="G13" s="10"/>
      <c r="H13" s="35" t="s">
        <v>29</v>
      </c>
      <c r="J13" s="17" t="s">
        <v>40</v>
      </c>
      <c r="L13" s="79"/>
      <c r="M13" s="80"/>
      <c r="N13" s="80"/>
      <c r="O13" s="25"/>
      <c r="P13" s="24" t="s">
        <v>41</v>
      </c>
      <c r="Q13" s="24"/>
      <c r="R13" s="38"/>
      <c r="S13" s="26"/>
      <c r="T13" s="26"/>
      <c r="U13" s="22"/>
    </row>
    <row r="14" spans="1:22" ht="36" customHeight="1" thickBot="1" x14ac:dyDescent="0.25">
      <c r="A14" s="43"/>
      <c r="B14" s="44">
        <f>Control_4 Open_time</f>
        <v>44421.364583333336</v>
      </c>
      <c r="C14" s="44">
        <f>Control_4 Close_time</f>
        <v>44421.509722222225</v>
      </c>
      <c r="D14" s="45"/>
      <c r="E14" s="46" t="str">
        <f>IF(ISBLANK(Control_4 Establishment_3),"",Control_4 Establishment_3)</f>
        <v>Soses Snanet Rd</v>
      </c>
      <c r="F14" s="105" t="str">
        <f>IF(ISBLANK('Control Entry'!K13),"",'Control Entry'!K13)</f>
        <v/>
      </c>
      <c r="G14" s="11"/>
      <c r="H14" s="35" t="s">
        <v>29</v>
      </c>
    </row>
    <row r="15" spans="1:22" ht="36" customHeight="1" x14ac:dyDescent="0.2">
      <c r="A15" s="39"/>
      <c r="B15" s="40">
        <f>Control_5 Open_time</f>
        <v>44421.43472222222</v>
      </c>
      <c r="C15" s="40">
        <f>Control_5 Close_time</f>
        <v>44421.668749999997</v>
      </c>
      <c r="D15" s="47"/>
      <c r="E15" s="42" t="str">
        <f>IF(ISBLANK(Control_5 Establishment_1),"",Control_5 Establishment_1)</f>
        <v>Information Control</v>
      </c>
      <c r="F15" s="42" t="str">
        <f>IF(ISBLANK('Control Entry'!I14),"",'Control Entry'!I14)</f>
        <v>Follow right side fence</v>
      </c>
      <c r="G15" s="10"/>
      <c r="H15" s="35" t="s">
        <v>29</v>
      </c>
      <c r="J15" s="17"/>
      <c r="L15" s="135" t="s">
        <v>59</v>
      </c>
      <c r="M15" s="135"/>
      <c r="N15" s="135"/>
      <c r="O15" s="135"/>
      <c r="P15" s="135"/>
      <c r="Q15" s="135"/>
      <c r="R15" s="135"/>
      <c r="S15" s="135"/>
      <c r="T15" s="135"/>
      <c r="U15" s="135"/>
    </row>
    <row r="16" spans="1:22" ht="36" customHeight="1" thickBot="1" x14ac:dyDescent="0.25">
      <c r="A16" s="48">
        <f>IF(ISBLANK(Distance Control_5),"",Control_5 Distance)</f>
        <v>150.69999999999999</v>
      </c>
      <c r="B16" s="49">
        <f>Control_5 Open_time</f>
        <v>44421.43472222222</v>
      </c>
      <c r="C16" s="49">
        <f>Control_5 Close_time</f>
        <v>44421.668749999997</v>
      </c>
      <c r="D16" s="50" t="str">
        <f>IF(ISBLANK(Locale Control_5),"",Locale Control_5)</f>
        <v>CADBORO BAY</v>
      </c>
      <c r="E16" s="42" t="str">
        <f>IF(ISBLANK(Control_5 Establishment_2),"",Control_5 Establishment_2)</f>
        <v xml:space="preserve">Ten Mile Point </v>
      </c>
      <c r="F16" s="42" t="str">
        <f>IF(ISBLANK('Control Entry'!J14),"",'Control Entry'!J14)</f>
        <v>Green sign with maple leaf</v>
      </c>
      <c r="G16" s="10"/>
      <c r="H16" s="35" t="s">
        <v>29</v>
      </c>
      <c r="L16" s="74"/>
      <c r="M16" s="74"/>
      <c r="N16" s="74"/>
      <c r="O16" s="74"/>
      <c r="P16" s="74"/>
      <c r="Q16" s="75"/>
      <c r="R16" s="75"/>
      <c r="S16" s="75"/>
      <c r="T16" s="75"/>
      <c r="U16" s="75"/>
    </row>
    <row r="17" spans="1:22" ht="36" customHeight="1" thickBot="1" x14ac:dyDescent="0.25">
      <c r="A17" s="43"/>
      <c r="B17" s="44">
        <f>Control_5 Open_time</f>
        <v>44421.43472222222</v>
      </c>
      <c r="C17" s="44">
        <f>Control_5 Close_time</f>
        <v>44421.668749999997</v>
      </c>
      <c r="D17" s="45"/>
      <c r="E17" s="46" t="str">
        <f>IF(ISBLANK(Control_5 Establishment_3),"",Control_5 Establishment_3)</f>
        <v>White Rock St</v>
      </c>
      <c r="F17" s="46" t="str">
        <f>IF(ISBLANK('Control Entry'!K14),"",'Control Entry'!K14)</f>
        <v>…natural  ____________of the ….</v>
      </c>
      <c r="G17" s="11"/>
      <c r="H17" s="35" t="s">
        <v>29</v>
      </c>
    </row>
    <row r="18" spans="1:22" ht="36" customHeight="1" x14ac:dyDescent="0.2">
      <c r="A18" s="39"/>
      <c r="B18" s="40">
        <f>Control_6 Open_time</f>
        <v>44421.479166666664</v>
      </c>
      <c r="C18" s="40">
        <f>Control_6 Close_time</f>
        <v>44421.769444444442</v>
      </c>
      <c r="D18" s="47"/>
      <c r="E18" s="42" t="str">
        <f>IF(ISBLANK(Control_6 Establishment_1),"",Control_6 Establishment_1)</f>
        <v>Information Control</v>
      </c>
      <c r="F18" s="42" t="str">
        <f>IF(ISBLANK('Control Entry'!I15),"",'Control Entry'!I15)</f>
        <v>How many metal feathers on road side?</v>
      </c>
      <c r="G18" s="10"/>
      <c r="H18" s="35" t="s">
        <v>29</v>
      </c>
    </row>
    <row r="19" spans="1:22" ht="36" customHeight="1" x14ac:dyDescent="0.2">
      <c r="A19" s="48">
        <f>IF(ISBLANK(Distance Control_6),"",Control_6 Distance)</f>
        <v>186.9</v>
      </c>
      <c r="B19" s="49">
        <f>Control_6 Open_time</f>
        <v>44421.479166666664</v>
      </c>
      <c r="C19" s="49">
        <f>Control_6 Close_time</f>
        <v>44421.769444444442</v>
      </c>
      <c r="D19" s="50" t="str">
        <f>IF(ISBLANK(Locale Control_6),"",Locale Control_6)</f>
        <v>NORTH SAANICH</v>
      </c>
      <c r="E19" s="42" t="str">
        <f>IF(ISBLANK(Control_6 Establishment_2),"",Control_6 Establishment_2)</f>
        <v>Lost Airmen Park</v>
      </c>
      <c r="F19" s="42" t="str">
        <f>IF(ISBLANK('Control Entry'!J15),"",'Control Entry'!J15)</f>
        <v/>
      </c>
      <c r="G19" s="10"/>
      <c r="H19" s="35" t="s">
        <v>29</v>
      </c>
    </row>
    <row r="20" spans="1:22" ht="36" customHeight="1" thickBot="1" x14ac:dyDescent="0.25">
      <c r="A20" s="43"/>
      <c r="B20" s="44">
        <f>Control_6 Open_time</f>
        <v>44421.479166666664</v>
      </c>
      <c r="C20" s="44">
        <f>Control_6 Close_time</f>
        <v>44421.769444444442</v>
      </c>
      <c r="D20" s="45"/>
      <c r="E20" s="46" t="str">
        <f>IF(ISBLANK(Control_6 Establishment_3),"",Control_6 Establishment_3)</f>
        <v>The Flight Path</v>
      </c>
      <c r="F20" s="46" t="str">
        <f>IF(ISBLANK('Control Entry'!K15),"",'Control Entry'!K15)</f>
        <v/>
      </c>
      <c r="G20" s="11"/>
      <c r="H20" s="35" t="s">
        <v>29</v>
      </c>
      <c r="J20" s="73" t="s">
        <v>45</v>
      </c>
      <c r="K20" s="73"/>
      <c r="L20" s="76"/>
      <c r="M20" s="76"/>
      <c r="N20" s="76"/>
      <c r="P20" s="24" t="s">
        <v>0</v>
      </c>
      <c r="Q20" s="24"/>
      <c r="S20" s="134">
        <f>'Control Entry'!B8</f>
        <v>0.25</v>
      </c>
      <c r="T20" s="134"/>
      <c r="U20" s="134"/>
    </row>
    <row r="21" spans="1:22" ht="36" customHeight="1" x14ac:dyDescent="0.2">
      <c r="A21" s="39"/>
      <c r="B21" s="40">
        <f>Control_7 Open_time</f>
        <v>44421.529861111114</v>
      </c>
      <c r="C21" s="40">
        <f>Control_7 Close_time</f>
        <v>44421.879166666666</v>
      </c>
      <c r="D21" s="47"/>
      <c r="E21" s="42" t="str">
        <f>IF(ISBLANK(Control_7 Establishment_1),"",Control_7 Establishment_1)</f>
        <v>Information Control</v>
      </c>
      <c r="F21" s="42" t="str">
        <f>IF(ISBLANK('Control Entry'!I16),"",'Control Entry'!I16)</f>
        <v>Park corner of intersection</v>
      </c>
      <c r="G21" s="10"/>
      <c r="H21" s="35" t="s">
        <v>29</v>
      </c>
      <c r="J21" s="73"/>
      <c r="K21" s="73"/>
      <c r="L21" s="71"/>
      <c r="M21" s="71"/>
      <c r="N21" s="71"/>
      <c r="P21" s="24"/>
      <c r="Q21" s="24"/>
      <c r="R21" s="29"/>
      <c r="S21" s="77"/>
      <c r="T21" s="77"/>
      <c r="U21" s="77"/>
      <c r="V21" s="36"/>
    </row>
    <row r="22" spans="1:22" ht="36" customHeight="1" thickBot="1" x14ac:dyDescent="0.25">
      <c r="A22" s="48">
        <f>IF(ISBLANK(Distance Control_7),"",Control_7 Distance)</f>
        <v>226.6</v>
      </c>
      <c r="B22" s="49">
        <f>Control_7 Open_time</f>
        <v>44421.529861111114</v>
      </c>
      <c r="C22" s="49">
        <f>Control_7 Close_time</f>
        <v>44421.879166666666</v>
      </c>
      <c r="D22" s="50" t="str">
        <f>IF(ISBLANK(Locale Control_7),"",Locale Control_7)</f>
        <v>OAK BAY</v>
      </c>
      <c r="E22" s="42" t="str">
        <f>IF(ISBLANK(Control_7 Establishment_2),"",Control_7 Establishment_2)</f>
        <v>Windsor Park</v>
      </c>
      <c r="F22" s="117" t="str">
        <f>IF(ISBLANK('Control Entry'!J16),"",'Control Entry'!J16)</f>
        <v/>
      </c>
      <c r="G22" s="10"/>
      <c r="H22" s="35" t="s">
        <v>29</v>
      </c>
      <c r="J22" s="72" t="s">
        <v>46</v>
      </c>
      <c r="K22" s="72"/>
      <c r="L22" s="76"/>
      <c r="M22" s="76"/>
      <c r="N22" s="76"/>
      <c r="O22" s="25"/>
      <c r="P22" s="24" t="s">
        <v>1</v>
      </c>
      <c r="Q22" s="24"/>
      <c r="R22" s="25"/>
      <c r="S22" s="78"/>
      <c r="T22" s="78"/>
      <c r="U22" s="78"/>
    </row>
    <row r="23" spans="1:22" ht="36" customHeight="1" thickBot="1" x14ac:dyDescent="0.25">
      <c r="A23" s="43"/>
      <c r="B23" s="44">
        <f>Control_7 Open_time</f>
        <v>44421.529861111114</v>
      </c>
      <c r="C23" s="44">
        <f>Control_7 Close_time</f>
        <v>44421.879166666666</v>
      </c>
      <c r="D23" s="45"/>
      <c r="E23" s="46" t="str">
        <f>IF(ISBLANK(Control_7 Establishment_3),"",Control_7 Establishment_3)</f>
        <v>Newport @ Windsor</v>
      </c>
      <c r="F23" s="46" t="str">
        <f>IF(ISBLANK('Control Entry'!K16),"",'Control Entry'!K16)</f>
        <v>_________________________Garden?</v>
      </c>
      <c r="G23" s="11"/>
      <c r="H23" s="35" t="s">
        <v>29</v>
      </c>
      <c r="J23" s="72"/>
      <c r="K23" s="72"/>
      <c r="L23" s="71"/>
      <c r="M23" s="71"/>
      <c r="N23" s="71"/>
      <c r="O23" s="29"/>
      <c r="P23" s="70"/>
      <c r="Q23" s="70"/>
      <c r="R23" s="29"/>
      <c r="S23" s="29"/>
      <c r="T23" s="29"/>
      <c r="U23" s="29"/>
      <c r="V23" s="36"/>
    </row>
    <row r="24" spans="1:22" ht="36" customHeight="1" thickBot="1" x14ac:dyDescent="0.25">
      <c r="A24" s="39"/>
      <c r="B24" s="40">
        <f>Control_8 Open_time</f>
        <v>44421.541666666664</v>
      </c>
      <c r="C24" s="40">
        <f>Control_8 Close_time</f>
        <v>44421.904166666667</v>
      </c>
      <c r="D24" s="47"/>
      <c r="E24" s="42" t="str">
        <f>IF(ISBLANK(Control_8 Establishment_1),"",Control_8 Establishment_1)</f>
        <v>Information Control</v>
      </c>
      <c r="F24" s="42" t="str">
        <f>IF(ISBLANK('Control Entry'!I17),"",'Control Entry'!I17)</f>
        <v>Name of ice cream store (red building)?</v>
      </c>
      <c r="G24" s="10"/>
      <c r="H24" s="35" t="s">
        <v>29</v>
      </c>
      <c r="J24" s="18"/>
      <c r="K24" s="18"/>
      <c r="L24" s="18"/>
      <c r="M24" s="26"/>
      <c r="N24" s="26"/>
      <c r="O24" s="25"/>
      <c r="P24" s="24" t="s">
        <v>2</v>
      </c>
      <c r="Q24" s="24"/>
      <c r="R24" s="25"/>
      <c r="S24" s="26"/>
      <c r="T24" s="26"/>
      <c r="U24" s="26"/>
    </row>
    <row r="25" spans="1:22" ht="36" customHeight="1" x14ac:dyDescent="0.2">
      <c r="A25" s="48">
        <f>IF(ISBLANK(Distance Control_8),"",Control_8 Distance)</f>
        <v>235.6</v>
      </c>
      <c r="B25" s="49">
        <f>Control_8 Open_time</f>
        <v>44421.541666666664</v>
      </c>
      <c r="C25" s="49">
        <f>Control_8 Close_time</f>
        <v>44421.904166666667</v>
      </c>
      <c r="D25" s="50" t="str">
        <f>IF(ISBLANK(Locale Control_8),"",Locale Control_8)</f>
        <v>VICTORIA</v>
      </c>
      <c r="E25" s="67" t="str">
        <f>IF(ISBLANK(Control_8 Establishment_2),"",Control_8 Establishment_2)</f>
        <v>Fisherman's Wharf</v>
      </c>
      <c r="F25" s="42" t="str">
        <f>IF(ISBLANK('Control Entry'!J17),"",'Control Entry'!J17)</f>
        <v/>
      </c>
      <c r="G25" s="10"/>
      <c r="H25" s="35" t="s">
        <v>29</v>
      </c>
      <c r="J25" s="132" t="s">
        <v>17</v>
      </c>
      <c r="K25" s="132"/>
      <c r="L25" s="132"/>
      <c r="M25" s="132"/>
      <c r="N25" s="132"/>
      <c r="O25" s="63"/>
      <c r="P25" s="129"/>
      <c r="Q25" s="129"/>
      <c r="R25" s="63"/>
      <c r="S25" s="130"/>
      <c r="T25" s="130"/>
      <c r="U25" s="130"/>
      <c r="V25" s="130"/>
    </row>
    <row r="26" spans="1:22" ht="36" customHeight="1" thickBot="1" x14ac:dyDescent="0.25">
      <c r="A26" s="43"/>
      <c r="B26" s="44">
        <f>Control_8 Open_time</f>
        <v>44421.541666666664</v>
      </c>
      <c r="C26" s="44">
        <f>Control_8 Close_time</f>
        <v>44421.904166666667</v>
      </c>
      <c r="D26" s="45"/>
      <c r="E26" s="46" t="str">
        <f>IF(ISBLANK(Control_8 Establishment_3),"",Control_8 Establishment_3)</f>
        <v>Dock ramp 1 Dallas Rd</v>
      </c>
      <c r="F26" s="46" t="str">
        <f>IF(ISBLANK('Control Entry'!K17),"",'Control Entry'!K17)</f>
        <v/>
      </c>
      <c r="G26" s="11"/>
      <c r="H26" s="35" t="s">
        <v>29</v>
      </c>
    </row>
    <row r="27" spans="1:22" ht="36" customHeight="1" x14ac:dyDescent="0.2">
      <c r="A27" s="39"/>
      <c r="B27" s="40">
        <f>Control_9 Open_time</f>
        <v>44421.611111111109</v>
      </c>
      <c r="C27" s="40">
        <f>Control_9 Close_time</f>
        <v>44422.053472222222</v>
      </c>
      <c r="D27" s="47"/>
      <c r="E27" s="42" t="str">
        <f>IF(ISBLANK(Control_9 Establishment_1),"",Control_9 Establishment_1)</f>
        <v>Information Control</v>
      </c>
      <c r="F27" s="42" t="str">
        <f>IF(ISBLANK('Control Entry'!I18),"",'Control Entry'!I18)</f>
        <v>On big metal gate</v>
      </c>
      <c r="G27" s="10"/>
      <c r="H27" s="35" t="s">
        <v>29</v>
      </c>
      <c r="K27" s="128" t="s">
        <v>57</v>
      </c>
      <c r="L27" s="129"/>
      <c r="M27" s="62" t="s">
        <v>58</v>
      </c>
      <c r="N27" s="129" t="s">
        <v>50</v>
      </c>
      <c r="O27" s="129"/>
      <c r="P27" s="129" t="s">
        <v>51</v>
      </c>
      <c r="Q27" s="129"/>
      <c r="R27" s="63" t="s">
        <v>52</v>
      </c>
      <c r="S27" s="130" t="s">
        <v>53</v>
      </c>
      <c r="T27" s="130"/>
      <c r="U27" s="130" t="s">
        <v>54</v>
      </c>
      <c r="V27" s="130"/>
    </row>
    <row r="28" spans="1:22" ht="36" customHeight="1" x14ac:dyDescent="0.2">
      <c r="A28" s="48">
        <f>IF(ISBLANK(Distance Control_9),"",Control_9 Distance)</f>
        <v>289.3</v>
      </c>
      <c r="B28" s="49">
        <f>Control_9 Open_time</f>
        <v>44421.611111111109</v>
      </c>
      <c r="C28" s="49">
        <f>Control_9 Close_time</f>
        <v>44422.053472222222</v>
      </c>
      <c r="D28" s="50" t="str">
        <f>IF(ISBLANK(Locale Control_9),"",Locale Control_9)</f>
        <v>DEEP COVE</v>
      </c>
      <c r="E28" s="42" t="str">
        <f>IF(ISBLANK(Control_9 Establishment_2),"",Control_9 Establishment_2)</f>
        <v>11260 Chalet Rd</v>
      </c>
      <c r="F28" s="42" t="str">
        <f>IF(ISBLANK('Control Entry'!J18),"",'Control Entry'!J18)</f>
        <v/>
      </c>
      <c r="G28" s="10"/>
      <c r="H28" s="35" t="s">
        <v>29</v>
      </c>
    </row>
    <row r="29" spans="1:22" ht="36" customHeight="1" thickBot="1" x14ac:dyDescent="0.25">
      <c r="A29" s="43"/>
      <c r="B29" s="44">
        <f>Control_9 Open_time</f>
        <v>44421.611111111109</v>
      </c>
      <c r="C29" s="44">
        <f>Control_9 Close_time</f>
        <v>44422.053472222222</v>
      </c>
      <c r="D29" s="45"/>
      <c r="E29" s="46" t="str">
        <f>IF(ISBLANK(Control_9 Establishment_3),"",Control_9 Establishment_3)</f>
        <v>(left side of cul-de-sac)</v>
      </c>
      <c r="F29" s="46" t="str">
        <f>IF(ISBLANK('Control Entry'!K18),"",'Control Entry'!K18)</f>
        <v>_________________________Gardens?</v>
      </c>
      <c r="G29" s="11"/>
      <c r="H29" s="35" t="s">
        <v>29</v>
      </c>
      <c r="M29" s="138" t="s">
        <v>42</v>
      </c>
      <c r="N29" s="138"/>
      <c r="O29" s="138"/>
      <c r="P29" s="138"/>
      <c r="Q29" s="138"/>
      <c r="R29" s="138"/>
      <c r="S29" s="138"/>
      <c r="T29" s="138"/>
      <c r="U29" s="68"/>
    </row>
    <row r="30" spans="1:22" ht="36" customHeight="1" x14ac:dyDescent="0.2">
      <c r="A30" s="39"/>
      <c r="B30" s="40">
        <f>Control_10 Open_time</f>
        <v>44421.628472222219</v>
      </c>
      <c r="C30" s="40">
        <f>Control_10 Close_time</f>
        <v>44422.083333333336</v>
      </c>
      <c r="D30" s="47"/>
      <c r="E30" s="42" t="str">
        <f>IF(ISBLANK(Control_10 Establishment_1),"",Control_10 Establishment_1)</f>
        <v/>
      </c>
      <c r="F30" s="42" t="str">
        <f>IF(ISBLANK('Control Entry'!I19),"",'Control Entry'!I19)</f>
        <v>Self sign</v>
      </c>
      <c r="G30" s="10"/>
      <c r="H30" s="35" t="s">
        <v>29</v>
      </c>
      <c r="M30" s="19"/>
      <c r="N30" s="27"/>
      <c r="O30" s="27"/>
      <c r="P30" s="28"/>
      <c r="Q30" s="27"/>
      <c r="R30" s="27"/>
      <c r="S30" s="27"/>
      <c r="T30" s="28"/>
      <c r="U30" s="29"/>
    </row>
    <row r="31" spans="1:22" ht="36" customHeight="1" x14ac:dyDescent="0.2">
      <c r="A31" s="48">
        <f>IF(ISBLANK(Distance Control_10),"",Control_10 Distance)</f>
        <v>302.3</v>
      </c>
      <c r="B31" s="49">
        <f>Control_10 Open_time</f>
        <v>44421.628472222219</v>
      </c>
      <c r="C31" s="49">
        <f>Control_10 Close_time</f>
        <v>44422.083333333336</v>
      </c>
      <c r="D31" s="50" t="str">
        <f>IF(ISBLANK(Locale Control_10),"",Locale Control_10)</f>
        <v>SIDNEY</v>
      </c>
      <c r="E31" s="42" t="str">
        <f>IF(ISBLANK(Control_10 Establishment_2),"",Control_10 Establishment_2)</f>
        <v>Tim Hortons</v>
      </c>
      <c r="F31" s="42" t="str">
        <f>IF(ISBLANK('Control Entry'!J19),"",'Control Entry'!J19)</f>
        <v/>
      </c>
      <c r="G31" s="10"/>
      <c r="H31" s="35" t="s">
        <v>29</v>
      </c>
      <c r="M31" s="20"/>
      <c r="N31" s="29"/>
      <c r="O31" s="29"/>
      <c r="P31" s="30"/>
      <c r="Q31" s="29"/>
      <c r="R31" s="29"/>
      <c r="S31" s="29"/>
      <c r="T31" s="30"/>
      <c r="U31" s="29"/>
    </row>
    <row r="32" spans="1:22" ht="36" customHeight="1" thickBot="1" x14ac:dyDescent="0.25">
      <c r="A32" s="43"/>
      <c r="B32" s="44">
        <f>Control_10 Open_time</f>
        <v>44421.628472222219</v>
      </c>
      <c r="C32" s="44">
        <f>Control_10 Close_time</f>
        <v>44422.083333333336</v>
      </c>
      <c r="D32" s="45"/>
      <c r="E32" s="46" t="str">
        <f>IF(ISBLANK(Control_10 Establishment_3),"",Control_10 Establishment_3)</f>
        <v xml:space="preserve"> 2343 Beacon Ave</v>
      </c>
      <c r="F32" s="46" t="str">
        <f>IF(ISBLANK('Control Entry'!K19),"",'Control Entry'!K19)</f>
        <v/>
      </c>
      <c r="G32" s="11"/>
      <c r="H32" s="35" t="s">
        <v>29</v>
      </c>
      <c r="M32" s="66"/>
      <c r="N32" s="26"/>
      <c r="O32" s="26"/>
      <c r="P32" s="31"/>
      <c r="Q32" s="26"/>
      <c r="R32" s="26"/>
      <c r="S32" s="26"/>
      <c r="T32" s="31"/>
      <c r="U32" s="29"/>
    </row>
    <row r="33" spans="1:22" ht="36" customHeight="1" x14ac:dyDescent="0.2">
      <c r="A33" s="127" t="s">
        <v>43</v>
      </c>
      <c r="B33" s="127"/>
      <c r="C33" s="127"/>
      <c r="D33" s="127"/>
      <c r="E33" s="127"/>
      <c r="F33" s="127"/>
      <c r="G33" s="127"/>
      <c r="H33" s="51"/>
      <c r="I33" s="51"/>
      <c r="N33" s="139"/>
      <c r="O33" s="139"/>
      <c r="P33" s="139"/>
      <c r="Q33" s="139"/>
      <c r="R33" s="139"/>
      <c r="S33" s="139"/>
      <c r="T33" s="139"/>
      <c r="U33" s="139"/>
      <c r="V33" s="61"/>
    </row>
    <row r="34" spans="1:22" ht="36" customHeight="1" x14ac:dyDescent="0.2">
      <c r="A34"/>
      <c r="O34" s="59"/>
      <c r="P34" s="59"/>
      <c r="Q34" s="59"/>
      <c r="R34" s="58"/>
    </row>
    <row r="35" spans="1:22" ht="36" customHeight="1" x14ac:dyDescent="0.2">
      <c r="A35"/>
      <c r="N35" s="138"/>
      <c r="O35" s="138"/>
      <c r="P35" s="138"/>
      <c r="Q35" s="138"/>
      <c r="R35" s="138"/>
      <c r="S35" s="138"/>
      <c r="T35" s="138"/>
      <c r="U35" s="138"/>
    </row>
    <row r="36" spans="1:22" ht="36" customHeight="1" x14ac:dyDescent="0.15">
      <c r="A36"/>
      <c r="N36" s="36"/>
      <c r="O36" s="29"/>
      <c r="P36" s="29"/>
      <c r="Q36" s="29"/>
      <c r="R36" s="29"/>
      <c r="S36" s="29"/>
      <c r="T36" s="29"/>
      <c r="U36" s="29"/>
    </row>
    <row r="37" spans="1:22" ht="36" customHeight="1" x14ac:dyDescent="0.15">
      <c r="A37"/>
      <c r="N37" s="36"/>
      <c r="O37" s="29"/>
      <c r="P37" s="29"/>
      <c r="Q37" s="29"/>
      <c r="R37" s="29"/>
      <c r="S37" s="29"/>
      <c r="T37" s="29"/>
      <c r="U37" s="29"/>
    </row>
    <row r="38" spans="1:22" ht="36" customHeight="1" x14ac:dyDescent="0.2">
      <c r="A38"/>
      <c r="N38" s="69"/>
      <c r="O38" s="29"/>
      <c r="P38" s="29"/>
      <c r="Q38" s="29"/>
      <c r="R38" s="29"/>
      <c r="S38" s="29"/>
      <c r="T38" s="29"/>
      <c r="U38" s="29"/>
    </row>
    <row r="39" spans="1:22" ht="36" customHeight="1" x14ac:dyDescent="0.15">
      <c r="A39"/>
    </row>
    <row r="40" spans="1:22" ht="36" customHeight="1" x14ac:dyDescent="0.15">
      <c r="A40"/>
    </row>
  </sheetData>
  <mergeCells count="24">
    <mergeCell ref="T8:U8"/>
    <mergeCell ref="N35:U35"/>
    <mergeCell ref="M29:T29"/>
    <mergeCell ref="N27:O27"/>
    <mergeCell ref="P27:Q27"/>
    <mergeCell ref="S27:T27"/>
    <mergeCell ref="U27:V27"/>
    <mergeCell ref="N33:U33"/>
    <mergeCell ref="R5:U5"/>
    <mergeCell ref="K2:U2"/>
    <mergeCell ref="L8:Q8"/>
    <mergeCell ref="A1:G1"/>
    <mergeCell ref="A33:G33"/>
    <mergeCell ref="M4:T4"/>
    <mergeCell ref="P25:Q25"/>
    <mergeCell ref="S25:T25"/>
    <mergeCell ref="U25:V25"/>
    <mergeCell ref="N5:O5"/>
    <mergeCell ref="K27:L27"/>
    <mergeCell ref="J25:N25"/>
    <mergeCell ref="O3:R3"/>
    <mergeCell ref="S20:U20"/>
    <mergeCell ref="L15:U15"/>
    <mergeCell ref="L6:U6"/>
  </mergeCells>
  <phoneticPr fontId="16" type="noConversion"/>
  <pageMargins left="0.2" right="0.2" top="0.2" bottom="0.2" header="0.51" footer="0.51"/>
  <pageSetup scale="45" orientation="landscape" horizontalDpi="4294967292" verticalDpi="4294967292"/>
  <drawing r:id="rId1"/>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0"/>
  <sheetViews>
    <sheetView showGridLines="0" zoomScale="92" zoomScaleNormal="92" zoomScalePageLayoutView="92" workbookViewId="0">
      <selection activeCell="A4" sqref="A4"/>
    </sheetView>
  </sheetViews>
  <sheetFormatPr baseColWidth="10" defaultColWidth="8.83203125" defaultRowHeight="13" x14ac:dyDescent="0.15"/>
  <cols>
    <col min="1" max="1" width="8.5" style="1" customWidth="1"/>
    <col min="2" max="2" width="11.5" customWidth="1"/>
    <col min="3" max="3" width="11.6640625" customWidth="1"/>
    <col min="4" max="4" width="18" customWidth="1"/>
    <col min="5" max="5" width="23.83203125" customWidth="1"/>
    <col min="6" max="6" width="42" customWidth="1"/>
    <col min="7" max="7" width="13.5" customWidth="1"/>
    <col min="8" max="8" width="8" style="36" customWidth="1"/>
    <col min="9" max="9" width="12" customWidth="1"/>
    <col min="18" max="19" width="8.83203125" customWidth="1"/>
  </cols>
  <sheetData>
    <row r="1" spans="1:22" ht="21" thickBot="1" x14ac:dyDescent="0.2">
      <c r="A1" s="126" t="s">
        <v>44</v>
      </c>
      <c r="B1" s="126"/>
      <c r="C1" s="126"/>
      <c r="D1" s="126"/>
      <c r="E1" s="126"/>
      <c r="F1" s="126"/>
      <c r="G1" s="126"/>
      <c r="H1" s="35" t="s">
        <v>29</v>
      </c>
    </row>
    <row r="2" spans="1:22" ht="33.75" customHeight="1" thickBot="1" x14ac:dyDescent="0.25">
      <c r="A2" s="98" t="s">
        <v>30</v>
      </c>
      <c r="B2" s="9" t="s">
        <v>3</v>
      </c>
      <c r="C2" s="9" t="s">
        <v>4</v>
      </c>
      <c r="D2" s="9" t="s">
        <v>25</v>
      </c>
      <c r="E2" s="9" t="s">
        <v>31</v>
      </c>
      <c r="F2" s="9" t="s">
        <v>60</v>
      </c>
      <c r="G2" s="98" t="s">
        <v>32</v>
      </c>
      <c r="H2" s="35" t="s">
        <v>29</v>
      </c>
      <c r="K2" s="124" t="s">
        <v>56</v>
      </c>
      <c r="L2" s="124"/>
      <c r="M2" s="124"/>
      <c r="N2" s="124"/>
      <c r="O2" s="124"/>
      <c r="P2" s="124"/>
      <c r="Q2" s="124"/>
      <c r="R2" s="124"/>
      <c r="S2" s="124"/>
      <c r="T2" s="124"/>
      <c r="U2" s="124"/>
    </row>
    <row r="3" spans="1:22" ht="36" customHeight="1" x14ac:dyDescent="0.45">
      <c r="A3" s="39"/>
      <c r="B3" s="40">
        <f>'Control Entry'!N23</f>
        <v>44421.25</v>
      </c>
      <c r="C3" s="40">
        <f>'Control Entry'!O23</f>
        <v>44421.291666666664</v>
      </c>
      <c r="D3" s="41"/>
      <c r="E3" s="42" t="str">
        <f>IF(ISBLANK('Control Entry'!F23),"",'Control Entry'!F23)</f>
        <v>Information Control</v>
      </c>
      <c r="F3" s="42" t="str">
        <f>IF(ISBLANK('Control Entry'!I23),"",'Control Entry'!I23)</f>
        <v>On post facing trail</v>
      </c>
      <c r="G3" s="10"/>
      <c r="H3" s="35" t="s">
        <v>29</v>
      </c>
      <c r="K3" s="16"/>
      <c r="N3" s="133" t="s">
        <v>78</v>
      </c>
      <c r="O3" s="133"/>
      <c r="P3" s="133"/>
      <c r="Q3" s="133"/>
      <c r="R3" s="133"/>
      <c r="S3" s="133"/>
      <c r="T3" s="52"/>
      <c r="U3" s="52"/>
    </row>
    <row r="4" spans="1:22" ht="36" customHeight="1" x14ac:dyDescent="0.2">
      <c r="A4" s="48">
        <f>IF(ISBLANK('Control Entry'!D23),"",'Control Entry'!D23)</f>
        <v>0</v>
      </c>
      <c r="B4" s="49">
        <f>'Control Entry'!N23</f>
        <v>44421.25</v>
      </c>
      <c r="C4" s="49">
        <f>'Control Entry'!O23</f>
        <v>44421.291666666664</v>
      </c>
      <c r="D4" s="50" t="str">
        <f>IF(ISBLANK('Control Entry'!E23),"",'Control Entry'!E23)</f>
        <v>VIEW ROYAL</v>
      </c>
      <c r="E4" s="42" t="str">
        <f>IF(ISBLANK('Control Entry'!G23),"",'Control Entry'!G23)</f>
        <v>Galloping Goose @ Atkins</v>
      </c>
      <c r="F4" s="42" t="str">
        <f>IF(ISBLANK('Control Entry'!J23),"",'Control Entry'!J23)</f>
        <v>Partners in parks sponsor?</v>
      </c>
      <c r="G4" s="10"/>
      <c r="H4" s="35" t="s">
        <v>29</v>
      </c>
      <c r="K4" s="16"/>
      <c r="M4" s="128" t="str">
        <f>IF(ISBLANK(brevet),"",brevet&amp;" km Randonnée")</f>
        <v>300 km Randonnée</v>
      </c>
      <c r="N4" s="128"/>
      <c r="O4" s="128"/>
      <c r="P4" s="128"/>
      <c r="Q4" s="128"/>
      <c r="R4" s="128"/>
      <c r="S4" s="128"/>
      <c r="T4" s="128"/>
      <c r="U4" s="53"/>
    </row>
    <row r="5" spans="1:22" ht="36" customHeight="1" thickBot="1" x14ac:dyDescent="0.25">
      <c r="A5" s="43"/>
      <c r="B5" s="44">
        <f>'Control Entry'!N23</f>
        <v>44421.25</v>
      </c>
      <c r="C5" s="44">
        <f>'Control Entry'!O23</f>
        <v>44421.291666666664</v>
      </c>
      <c r="D5" s="45"/>
      <c r="E5" s="46" t="str">
        <f>IF(ISBLANK('Control Entry'!H23),"",'Control Entry'!H23)</f>
        <v>Trail info pagoda</v>
      </c>
      <c r="F5" s="46" t="str">
        <f>IF(ISBLANK('Control Entry'!K23),"",'Control Entry'!K23)</f>
        <v/>
      </c>
      <c r="G5" s="11"/>
      <c r="H5" s="35" t="s">
        <v>29</v>
      </c>
      <c r="K5" s="16"/>
      <c r="M5" s="17"/>
      <c r="N5" s="131" t="s">
        <v>48</v>
      </c>
      <c r="O5" s="131"/>
      <c r="P5" s="81">
        <f>IF(ISBLANK(Brevet_Number),"",Brevet_Number)</f>
        <v>5099</v>
      </c>
      <c r="Q5" s="82"/>
      <c r="R5" s="123">
        <f>IF(ISBLANK('Control Entry'!$B5),"",'Control Entry'!$B5)</f>
        <v>44421</v>
      </c>
      <c r="S5" s="123"/>
      <c r="T5" s="123"/>
      <c r="U5" s="123"/>
      <c r="V5" s="54"/>
    </row>
    <row r="6" spans="1:22" ht="36" customHeight="1" x14ac:dyDescent="0.2">
      <c r="A6" s="39"/>
      <c r="B6" s="40">
        <f>'Control Entry'!N24</f>
        <v>44421.307638888888</v>
      </c>
      <c r="C6" s="40">
        <f>'Control Entry'!O24</f>
        <v>44421.380555555559</v>
      </c>
      <c r="D6" s="47"/>
      <c r="E6" s="42" t="str">
        <f>IF(ISBLANK('Control Entry'!F24),"",'Control Entry'!F24)</f>
        <v>Information Control</v>
      </c>
      <c r="F6" s="42" t="str">
        <f>IF(ISBLANK('Control Entry'!I24),"",'Control Entry'!I24)</f>
        <v>On white sign behind gate</v>
      </c>
      <c r="G6" s="10"/>
      <c r="H6" s="35" t="s">
        <v>29</v>
      </c>
      <c r="K6" s="16"/>
      <c r="L6" s="136" t="str">
        <f>IF(ISBLANK(Brevet_Description),"",Brevet_Description)</f>
        <v>Sidney Lento</v>
      </c>
      <c r="M6" s="136"/>
      <c r="N6" s="136"/>
      <c r="O6" s="136"/>
      <c r="P6" s="136"/>
      <c r="Q6" s="136"/>
      <c r="R6" s="136"/>
      <c r="S6" s="136"/>
      <c r="T6" s="136"/>
      <c r="U6" s="136"/>
    </row>
    <row r="7" spans="1:22" ht="36" customHeight="1" x14ac:dyDescent="0.2">
      <c r="A7" s="48">
        <f>IF(ISBLANK('Control Entry'!D24),"",'Control Entry'!D24)</f>
        <v>46.900000000000006</v>
      </c>
      <c r="B7" s="49">
        <f>'Control Entry'!N24</f>
        <v>44421.307638888888</v>
      </c>
      <c r="C7" s="49">
        <f>'Control Entry'!O24</f>
        <v>44421.380555555559</v>
      </c>
      <c r="D7" s="50" t="str">
        <f>IF(ISBLANK('Control Entry'!E24),"",'Control Entry'!E24)</f>
        <v>SOOKE</v>
      </c>
      <c r="E7" s="42" t="str">
        <f>IF(ISBLANK('Control Entry'!G24),"",'Control Entry'!G24)</f>
        <v xml:space="preserve">Red Gate </v>
      </c>
      <c r="F7" s="42" t="str">
        <f>IF(ISBLANK('Control Entry'!J24),"",'Control Entry'!J24)</f>
        <v>…water_________area?</v>
      </c>
      <c r="G7" s="10"/>
      <c r="H7" s="35" t="s">
        <v>29</v>
      </c>
    </row>
    <row r="8" spans="1:22" ht="36" customHeight="1" thickBot="1" x14ac:dyDescent="0.25">
      <c r="A8" s="43"/>
      <c r="B8" s="44">
        <f>'Control Entry'!N24</f>
        <v>44421.307638888888</v>
      </c>
      <c r="C8" s="44">
        <f>'Control Entry'!O24</f>
        <v>44421.380555555559</v>
      </c>
      <c r="D8" s="45"/>
      <c r="E8" s="46" t="str">
        <f>IF(ISBLANK('Control Entry'!H24),"",'Control Entry'!H24)</f>
        <v>End of Galloping Goose</v>
      </c>
      <c r="F8" s="46" t="str">
        <f>IF(ISBLANK('Control Entry'!K24),"",'Control Entry'!K24)</f>
        <v/>
      </c>
      <c r="G8" s="11"/>
      <c r="H8" s="35" t="s">
        <v>29</v>
      </c>
      <c r="J8" s="17" t="s">
        <v>34</v>
      </c>
      <c r="L8" s="125"/>
      <c r="M8" s="125"/>
      <c r="N8" s="125"/>
      <c r="O8" s="125"/>
      <c r="P8" s="125"/>
      <c r="Q8" s="125"/>
      <c r="R8" s="36"/>
      <c r="S8" s="55" t="s">
        <v>47</v>
      </c>
      <c r="T8" s="137"/>
      <c r="U8" s="137"/>
    </row>
    <row r="9" spans="1:22" ht="36" customHeight="1" thickBot="1" x14ac:dyDescent="0.3">
      <c r="A9" s="39"/>
      <c r="B9" s="40">
        <f>'Control Entry'!N25</f>
        <v>44421.326388888891</v>
      </c>
      <c r="C9" s="40">
        <f>'Control Entry'!O25</f>
        <v>44421.423611111109</v>
      </c>
      <c r="D9" s="47"/>
      <c r="E9" s="42" t="str">
        <f>IF(ISBLANK('Control Entry'!F25),"",'Control Entry'!F25)</f>
        <v>Information Control</v>
      </c>
      <c r="F9" s="42" t="str">
        <f>IF(ISBLANK('Control Entry'!I25),"",'Control Entry'!I25)</f>
        <v>Price of diesel?</v>
      </c>
      <c r="G9" s="10"/>
      <c r="H9" s="35" t="s">
        <v>29</v>
      </c>
      <c r="J9" s="17" t="s">
        <v>35</v>
      </c>
      <c r="K9" s="17"/>
      <c r="L9" s="65" t="s">
        <v>55</v>
      </c>
      <c r="M9" s="23"/>
      <c r="N9" s="23"/>
      <c r="O9" s="23"/>
      <c r="P9" s="23"/>
      <c r="Q9" s="23"/>
      <c r="R9" s="23"/>
      <c r="S9" s="23"/>
      <c r="T9" s="23"/>
      <c r="U9" s="21"/>
    </row>
    <row r="10" spans="1:22" ht="36" customHeight="1" thickBot="1" x14ac:dyDescent="0.3">
      <c r="A10" s="48">
        <f>IF(ISBLANK('Control Entry'!D25),"",'Control Entry'!D25)</f>
        <v>62.5</v>
      </c>
      <c r="B10" s="49">
        <f>'Control Entry'!N25</f>
        <v>44421.326388888891</v>
      </c>
      <c r="C10" s="49">
        <f>'Control Entry'!O25</f>
        <v>44421.423611111109</v>
      </c>
      <c r="D10" s="50" t="str">
        <f>IF(ISBLANK('Control Entry'!E25),"",'Control Entry'!E25)</f>
        <v>SOOKE</v>
      </c>
      <c r="E10" s="42" t="str">
        <f>IF(ISBLANK('Control Entry'!G25),"",'Control Entry'!G25)</f>
        <v>Petrocan</v>
      </c>
      <c r="F10" s="42" t="str">
        <f>IF(ISBLANK('Control Entry'!J25),"",'Control Entry'!J25)</f>
        <v/>
      </c>
      <c r="G10" s="10"/>
      <c r="H10" s="35" t="s">
        <v>29</v>
      </c>
      <c r="J10" s="17"/>
      <c r="K10" s="17"/>
      <c r="L10" s="37"/>
      <c r="M10" s="23"/>
      <c r="N10" s="23"/>
      <c r="O10" s="23"/>
      <c r="P10" s="23"/>
      <c r="Q10" s="23"/>
      <c r="R10" s="23"/>
      <c r="S10" s="23"/>
      <c r="T10" s="23"/>
      <c r="U10" s="21"/>
    </row>
    <row r="11" spans="1:22" ht="36" customHeight="1" thickBot="1" x14ac:dyDescent="0.3">
      <c r="A11" s="43"/>
      <c r="B11" s="44">
        <f>'Control Entry'!N25</f>
        <v>44421.326388888891</v>
      </c>
      <c r="C11" s="44">
        <f>'Control Entry'!O25</f>
        <v>44421.423611111109</v>
      </c>
      <c r="D11" s="45"/>
      <c r="E11" s="46" t="str">
        <f>IF(ISBLANK('Control Entry'!H25),"",'Control Entry'!H25)</f>
        <v>Soses Snanet Rd</v>
      </c>
      <c r="F11" s="46" t="str">
        <f>IF(ISBLANK('Control Entry'!K25),"",'Control Entry'!K25)</f>
        <v/>
      </c>
      <c r="G11" s="11"/>
      <c r="H11" s="35" t="s">
        <v>29</v>
      </c>
      <c r="J11" s="17" t="s">
        <v>36</v>
      </c>
      <c r="K11" s="17"/>
      <c r="L11" s="37"/>
      <c r="M11" s="23"/>
      <c r="N11" s="23"/>
      <c r="O11" s="24"/>
      <c r="P11" s="24" t="s">
        <v>37</v>
      </c>
      <c r="Q11" s="24"/>
      <c r="R11" s="24"/>
      <c r="S11" s="57"/>
      <c r="T11" s="37"/>
      <c r="U11" s="21"/>
    </row>
    <row r="12" spans="1:22" ht="36" customHeight="1" thickBot="1" x14ac:dyDescent="0.3">
      <c r="A12" s="39"/>
      <c r="B12" s="40">
        <f>'Control Entry'!N26</f>
        <v>44421.396527777775</v>
      </c>
      <c r="C12" s="40">
        <f>'Control Entry'!O26</f>
        <v>44421.582638888889</v>
      </c>
      <c r="D12" s="47"/>
      <c r="E12" s="42" t="str">
        <f>IF(ISBLANK('Control Entry'!F26),"",'Control Entry'!F26)</f>
        <v>Information Control</v>
      </c>
      <c r="F12" s="42" t="str">
        <f>IF(ISBLANK('Control Entry'!I26),"",'Control Entry'!I26)</f>
        <v>Follow right side fence</v>
      </c>
      <c r="G12" s="10"/>
      <c r="H12" s="35" t="s">
        <v>29</v>
      </c>
      <c r="J12" s="17" t="s">
        <v>38</v>
      </c>
      <c r="K12" s="17"/>
      <c r="L12" s="37"/>
      <c r="M12" s="23"/>
      <c r="N12" s="23"/>
      <c r="O12" s="24"/>
      <c r="P12" s="24" t="s">
        <v>39</v>
      </c>
      <c r="Q12" s="24"/>
      <c r="R12" s="24"/>
      <c r="S12" s="57"/>
      <c r="T12" s="37"/>
      <c r="U12" s="21"/>
    </row>
    <row r="13" spans="1:22" ht="36" customHeight="1" thickBot="1" x14ac:dyDescent="0.3">
      <c r="A13" s="48">
        <f>IF(ISBLANK('Control Entry'!D26),"",'Control Entry'!D26)</f>
        <v>119.69999999999999</v>
      </c>
      <c r="B13" s="49">
        <f>'Control Entry'!N26</f>
        <v>44421.396527777775</v>
      </c>
      <c r="C13" s="49">
        <f>'Control Entry'!O26</f>
        <v>44421.582638888889</v>
      </c>
      <c r="D13" s="50" t="str">
        <f>IF(ISBLANK('Control Entry'!E26),"",'Control Entry'!E26)</f>
        <v>CADBORO BAY</v>
      </c>
      <c r="E13" s="42" t="str">
        <f>IF(ISBLANK('Control Entry'!G26),"",'Control Entry'!G26)</f>
        <v xml:space="preserve">Ten Mile Point </v>
      </c>
      <c r="F13" s="42" t="str">
        <f>IF(ISBLANK('Control Entry'!J26),"",'Control Entry'!J26)</f>
        <v>Green sign with maple leaf</v>
      </c>
      <c r="G13" s="10"/>
      <c r="H13" s="35" t="s">
        <v>29</v>
      </c>
      <c r="J13" s="17" t="s">
        <v>40</v>
      </c>
      <c r="L13" s="79"/>
      <c r="M13" s="80"/>
      <c r="N13" s="80"/>
      <c r="O13" s="25"/>
      <c r="P13" s="24" t="s">
        <v>41</v>
      </c>
      <c r="Q13" s="24"/>
      <c r="R13" s="38"/>
      <c r="S13" s="26"/>
      <c r="T13" s="26"/>
      <c r="U13" s="22"/>
    </row>
    <row r="14" spans="1:22" ht="36" customHeight="1" thickBot="1" x14ac:dyDescent="0.25">
      <c r="A14" s="43"/>
      <c r="B14" s="44">
        <f>'Control Entry'!N26</f>
        <v>44421.396527777775</v>
      </c>
      <c r="C14" s="44">
        <f>'Control Entry'!O26</f>
        <v>44421.582638888889</v>
      </c>
      <c r="D14" s="45"/>
      <c r="E14" s="46" t="str">
        <f>IF(ISBLANK('Control Entry'!H26),"",'Control Entry'!H26)</f>
        <v>White Rock St</v>
      </c>
      <c r="F14" s="46" t="str">
        <f>IF(ISBLANK('Control Entry'!K26),"",'Control Entry'!K26)</f>
        <v>…natural  ____________of the ….</v>
      </c>
      <c r="G14" s="11"/>
      <c r="H14" s="35" t="s">
        <v>29</v>
      </c>
    </row>
    <row r="15" spans="1:22" ht="36" customHeight="1" x14ac:dyDescent="0.2">
      <c r="A15" s="39"/>
      <c r="B15" s="40">
        <f>'Control Entry'!N27</f>
        <v>44421.440972222219</v>
      </c>
      <c r="C15" s="40">
        <f>'Control Entry'!O27</f>
        <v>44421.683333333334</v>
      </c>
      <c r="D15" s="47"/>
      <c r="E15" s="42" t="str">
        <f>IF(ISBLANK('Control Entry'!F27),"",'Control Entry'!F27)</f>
        <v>Information Control</v>
      </c>
      <c r="F15" s="42" t="str">
        <f>IF(ISBLANK('Control Entry'!I27),"",'Control Entry'!I27)</f>
        <v>How many metal feathers on road side?</v>
      </c>
      <c r="G15" s="10"/>
      <c r="H15" s="35" t="s">
        <v>29</v>
      </c>
      <c r="J15" s="17"/>
      <c r="L15" s="135" t="s">
        <v>59</v>
      </c>
      <c r="M15" s="135"/>
      <c r="N15" s="135"/>
      <c r="O15" s="135"/>
      <c r="P15" s="135"/>
      <c r="Q15" s="135"/>
      <c r="R15" s="135"/>
      <c r="S15" s="135"/>
      <c r="T15" s="135"/>
      <c r="U15" s="135"/>
    </row>
    <row r="16" spans="1:22" ht="36" customHeight="1" thickBot="1" x14ac:dyDescent="0.25">
      <c r="A16" s="48">
        <f>IF(ISBLANK('Control Entry'!D27),"",'Control Entry'!D27)</f>
        <v>155.9</v>
      </c>
      <c r="B16" s="49">
        <f>'Control Entry'!N27</f>
        <v>44421.440972222219</v>
      </c>
      <c r="C16" s="49">
        <f>'Control Entry'!O27</f>
        <v>44421.683333333334</v>
      </c>
      <c r="D16" s="50" t="str">
        <f>IF(ISBLANK('Control Entry'!E27),"",'Control Entry'!E27)</f>
        <v>NORTH SAANICH</v>
      </c>
      <c r="E16" s="42" t="str">
        <f>IF(ISBLANK('Control Entry'!G27),"",'Control Entry'!G27)</f>
        <v>Lost Airmen Park</v>
      </c>
      <c r="F16" s="42" t="str">
        <f>IF(ISBLANK('Control Entry'!J27),"",'Control Entry'!J27)</f>
        <v/>
      </c>
      <c r="G16" s="10"/>
      <c r="H16" s="35" t="s">
        <v>29</v>
      </c>
      <c r="L16" s="74"/>
      <c r="M16" s="74"/>
      <c r="N16" s="74"/>
      <c r="O16" s="74"/>
      <c r="P16" s="74"/>
      <c r="Q16" s="75"/>
      <c r="R16" s="75"/>
      <c r="S16" s="75"/>
      <c r="T16" s="75"/>
      <c r="U16" s="75"/>
    </row>
    <row r="17" spans="1:22" ht="36" customHeight="1" thickBot="1" x14ac:dyDescent="0.25">
      <c r="A17" s="43"/>
      <c r="B17" s="44">
        <f>'Control Entry'!N27</f>
        <v>44421.440972222219</v>
      </c>
      <c r="C17" s="44">
        <f>'Control Entry'!O27</f>
        <v>44421.683333333334</v>
      </c>
      <c r="D17" s="45"/>
      <c r="E17" s="46" t="str">
        <f>IF(ISBLANK('Control Entry'!H27),"",'Control Entry'!H27)</f>
        <v>The Flight Path</v>
      </c>
      <c r="F17" s="46" t="str">
        <f>IF(ISBLANK('Control Entry'!K27),"",'Control Entry'!K27)</f>
        <v/>
      </c>
      <c r="G17" s="11"/>
      <c r="H17" s="35" t="s">
        <v>29</v>
      </c>
    </row>
    <row r="18" spans="1:22" ht="36" customHeight="1" x14ac:dyDescent="0.2">
      <c r="A18" s="39"/>
      <c r="B18" s="40">
        <f>'Control Entry'!N28</f>
        <v>44421.489583333336</v>
      </c>
      <c r="C18" s="40">
        <f>'Control Entry'!O28</f>
        <v>44421.793055555558</v>
      </c>
      <c r="D18" s="47"/>
      <c r="E18" s="42" t="str">
        <f>IF(ISBLANK('Control Entry'!F28),"",'Control Entry'!F28)</f>
        <v>Information Control</v>
      </c>
      <c r="F18" s="42" t="str">
        <f>IF(ISBLANK('Control Entry'!I28),"",'Control Entry'!I28)</f>
        <v>Park corner of intersection</v>
      </c>
      <c r="G18" s="10"/>
      <c r="H18" s="35" t="s">
        <v>29</v>
      </c>
    </row>
    <row r="19" spans="1:22" ht="36" customHeight="1" x14ac:dyDescent="0.2">
      <c r="A19" s="48">
        <f>IF(ISBLANK('Control Entry'!D28),"",'Control Entry'!D28)</f>
        <v>195.6</v>
      </c>
      <c r="B19" s="49">
        <f>'Control Entry'!N28</f>
        <v>44421.489583333336</v>
      </c>
      <c r="C19" s="49">
        <f>'Control Entry'!O28</f>
        <v>44421.793055555558</v>
      </c>
      <c r="D19" s="50" t="str">
        <f>IF(ISBLANK('Control Entry'!E28),"",'Control Entry'!E28)</f>
        <v>OAK BAY</v>
      </c>
      <c r="E19" s="42" t="str">
        <f>IF(ISBLANK('Control Entry'!G28),"",'Control Entry'!G28)</f>
        <v>Windsor Park</v>
      </c>
      <c r="F19" s="42" t="str">
        <f>IF(ISBLANK('Control Entry'!J28),"",'Control Entry'!J28)</f>
        <v/>
      </c>
      <c r="G19" s="10"/>
      <c r="H19" s="35" t="s">
        <v>29</v>
      </c>
    </row>
    <row r="20" spans="1:22" ht="36" customHeight="1" thickBot="1" x14ac:dyDescent="0.25">
      <c r="A20" s="43"/>
      <c r="B20" s="44">
        <f>'Control Entry'!N28</f>
        <v>44421.489583333336</v>
      </c>
      <c r="C20" s="44">
        <f>'Control Entry'!O28</f>
        <v>44421.793055555558</v>
      </c>
      <c r="D20" s="45"/>
      <c r="E20" s="46" t="str">
        <f>IF(ISBLANK('Control Entry'!H28),"",'Control Entry'!H28)</f>
        <v>Newport @ Windsor</v>
      </c>
      <c r="F20" s="46" t="str">
        <f>IF(ISBLANK('Control Entry'!K28),"",'Control Entry'!K28)</f>
        <v>_________________________Garden?</v>
      </c>
      <c r="G20" s="11"/>
      <c r="H20" s="35" t="s">
        <v>29</v>
      </c>
      <c r="J20" s="73" t="s">
        <v>45</v>
      </c>
      <c r="K20" s="73"/>
      <c r="L20" s="76"/>
      <c r="M20" s="76"/>
      <c r="N20" s="76"/>
      <c r="P20" s="24" t="s">
        <v>0</v>
      </c>
      <c r="Q20" s="24"/>
      <c r="S20" s="134">
        <f>'Control Entry'!B8</f>
        <v>0.25</v>
      </c>
      <c r="T20" s="134"/>
      <c r="U20" s="134"/>
    </row>
    <row r="21" spans="1:22" ht="36" customHeight="1" x14ac:dyDescent="0.2">
      <c r="A21" s="39"/>
      <c r="B21" s="40">
        <f>'Control Entry'!N29</f>
        <v>44421.501388888886</v>
      </c>
      <c r="C21" s="40">
        <f>'Control Entry'!O29</f>
        <v>44421.818055555559</v>
      </c>
      <c r="D21" s="47"/>
      <c r="E21" s="42" t="str">
        <f>IF(ISBLANK('Control Entry'!F29),"",'Control Entry'!F29)</f>
        <v>Information Control</v>
      </c>
      <c r="F21" s="42" t="str">
        <f>IF(ISBLANK('Control Entry'!I29),"",'Control Entry'!I29)</f>
        <v>Name of ice cream store (red building)?</v>
      </c>
      <c r="G21" s="10"/>
      <c r="H21" s="35" t="s">
        <v>29</v>
      </c>
      <c r="J21" s="73"/>
      <c r="K21" s="73"/>
      <c r="L21" s="71"/>
      <c r="M21" s="71"/>
      <c r="N21" s="71"/>
      <c r="P21" s="24"/>
      <c r="Q21" s="24"/>
      <c r="R21" s="29"/>
      <c r="S21" s="77"/>
      <c r="T21" s="77"/>
      <c r="U21" s="77"/>
      <c r="V21" s="36"/>
    </row>
    <row r="22" spans="1:22" ht="36" customHeight="1" thickBot="1" x14ac:dyDescent="0.25">
      <c r="A22" s="48">
        <f>IF(ISBLANK('Control Entry'!D29),"",'Control Entry'!D29)</f>
        <v>204.6</v>
      </c>
      <c r="B22" s="49">
        <f>'Control Entry'!N29</f>
        <v>44421.501388888886</v>
      </c>
      <c r="C22" s="49">
        <f>'Control Entry'!O29</f>
        <v>44421.818055555559</v>
      </c>
      <c r="D22" s="50" t="str">
        <f>IF(ISBLANK('Control Entry'!E29),"",'Control Entry'!E29)</f>
        <v>VICTORIA</v>
      </c>
      <c r="E22" s="42" t="str">
        <f>IF(ISBLANK('Control Entry'!G29),"",'Control Entry'!G29)</f>
        <v>Fisherman's Wharf</v>
      </c>
      <c r="F22" s="42" t="str">
        <f>IF(ISBLANK('Control Entry'!J29),"",'Control Entry'!J29)</f>
        <v/>
      </c>
      <c r="G22" s="10"/>
      <c r="H22" s="35" t="s">
        <v>29</v>
      </c>
      <c r="J22" s="113" t="s">
        <v>46</v>
      </c>
      <c r="K22" s="113"/>
      <c r="L22" s="76"/>
      <c r="M22" s="76"/>
      <c r="N22" s="76"/>
      <c r="O22" s="25"/>
      <c r="P22" s="24" t="s">
        <v>1</v>
      </c>
      <c r="Q22" s="24"/>
      <c r="R22" s="25"/>
      <c r="S22" s="78"/>
      <c r="T22" s="78"/>
      <c r="U22" s="78"/>
    </row>
    <row r="23" spans="1:22" ht="36" customHeight="1" thickBot="1" x14ac:dyDescent="0.25">
      <c r="A23" s="43"/>
      <c r="B23" s="44">
        <f>'Control Entry'!N29</f>
        <v>44421.501388888886</v>
      </c>
      <c r="C23" s="44">
        <f>'Control Entry'!O29</f>
        <v>44421.818055555559</v>
      </c>
      <c r="D23" s="45"/>
      <c r="E23" s="46" t="str">
        <f>IF(ISBLANK('Control Entry'!H29),"",'Control Entry'!H29)</f>
        <v>Dock ramp 1 Dallas Rd</v>
      </c>
      <c r="F23" s="46" t="str">
        <f>IF(ISBLANK('Control Entry'!K29),"",'Control Entry'!K29)</f>
        <v/>
      </c>
      <c r="G23" s="11"/>
      <c r="H23" s="35" t="s">
        <v>29</v>
      </c>
      <c r="J23" s="113"/>
      <c r="K23" s="113"/>
      <c r="L23" s="71"/>
      <c r="M23" s="71"/>
      <c r="N23" s="71"/>
      <c r="O23" s="29"/>
      <c r="P23" s="70"/>
      <c r="Q23" s="70"/>
      <c r="R23" s="29"/>
      <c r="S23" s="29"/>
      <c r="T23" s="29"/>
      <c r="U23" s="29"/>
      <c r="V23" s="36"/>
    </row>
    <row r="24" spans="1:22" ht="36" customHeight="1" thickBot="1" x14ac:dyDescent="0.25">
      <c r="A24" s="39"/>
      <c r="B24" s="40">
        <f>'Control Entry'!N30</f>
        <v>44421.570833333331</v>
      </c>
      <c r="C24" s="40">
        <f>'Control Entry'!O30</f>
        <v>44421.967361111114</v>
      </c>
      <c r="D24" s="47"/>
      <c r="E24" s="42" t="str">
        <f>IF(ISBLANK('Control Entry'!F30),"",'Control Entry'!F30)</f>
        <v>Information Control</v>
      </c>
      <c r="F24" s="42" t="str">
        <f>IF(ISBLANK('Control Entry'!I30),"",'Control Entry'!I30)</f>
        <v>On big metal gate</v>
      </c>
      <c r="G24" s="10"/>
      <c r="H24" s="35" t="s">
        <v>29</v>
      </c>
      <c r="J24" s="18"/>
      <c r="K24" s="18"/>
      <c r="L24" s="18"/>
      <c r="M24" s="26"/>
      <c r="N24" s="26"/>
      <c r="O24" s="25"/>
      <c r="P24" s="24" t="s">
        <v>2</v>
      </c>
      <c r="Q24" s="24"/>
      <c r="R24" s="25"/>
      <c r="S24" s="26"/>
      <c r="T24" s="26"/>
      <c r="U24" s="26"/>
    </row>
    <row r="25" spans="1:22" ht="36" customHeight="1" x14ac:dyDescent="0.2">
      <c r="A25" s="48">
        <f>IF(ISBLANK('Control Entry'!D30),"",'Control Entry'!D30)</f>
        <v>258.3</v>
      </c>
      <c r="B25" s="49">
        <f>'Control Entry'!N30</f>
        <v>44421.570833333331</v>
      </c>
      <c r="C25" s="49">
        <f>'Control Entry'!O30</f>
        <v>44421.967361111114</v>
      </c>
      <c r="D25" s="50" t="str">
        <f>IF(ISBLANK('Control Entry'!E30),"",'Control Entry'!E30)</f>
        <v>DEEP COVE</v>
      </c>
      <c r="E25" s="42" t="str">
        <f>IF(ISBLANK('Control Entry'!G30),"",'Control Entry'!G30)</f>
        <v>11260 Chalet Rd</v>
      </c>
      <c r="F25" s="42" t="str">
        <f>IF(ISBLANK('Control Entry'!J30),"",'Control Entry'!J30)</f>
        <v/>
      </c>
      <c r="G25" s="10"/>
      <c r="H25" s="35" t="s">
        <v>29</v>
      </c>
      <c r="J25" s="132" t="s">
        <v>17</v>
      </c>
      <c r="K25" s="132"/>
      <c r="L25" s="132"/>
      <c r="M25" s="132"/>
      <c r="N25" s="132"/>
      <c r="O25" s="63"/>
      <c r="P25" s="129"/>
      <c r="Q25" s="129"/>
      <c r="R25" s="63"/>
      <c r="S25" s="130"/>
      <c r="T25" s="130"/>
      <c r="U25" s="130"/>
      <c r="V25" s="130"/>
    </row>
    <row r="26" spans="1:22" ht="36" customHeight="1" thickBot="1" x14ac:dyDescent="0.25">
      <c r="A26" s="43"/>
      <c r="B26" s="44">
        <f>'Control Entry'!N30</f>
        <v>44421.570833333331</v>
      </c>
      <c r="C26" s="44">
        <f>'Control Entry'!O30</f>
        <v>44421.967361111114</v>
      </c>
      <c r="D26" s="45"/>
      <c r="E26" s="46" t="str">
        <f>IF(ISBLANK('Control Entry'!H30),"",'Control Entry'!H30)</f>
        <v>(left side of cul-de-sac)</v>
      </c>
      <c r="F26" s="46" t="str">
        <f>IF(ISBLANK('Control Entry'!K30),"",'Control Entry'!K30)</f>
        <v>_________________________Gardens?</v>
      </c>
      <c r="G26" s="11"/>
      <c r="H26" s="35" t="s">
        <v>29</v>
      </c>
    </row>
    <row r="27" spans="1:22" ht="36" customHeight="1" x14ac:dyDescent="0.2">
      <c r="A27" s="39"/>
      <c r="B27" s="40">
        <f>'Control Entry'!N31</f>
        <v>44421.588194444441</v>
      </c>
      <c r="C27" s="40">
        <f>'Control Entry'!O31</f>
        <v>44422.003472222219</v>
      </c>
      <c r="D27" s="47"/>
      <c r="E27" s="42" t="str">
        <f>IF(ISBLANK('Control Entry'!F31),"",'Control Entry'!F31)</f>
        <v>Information Control</v>
      </c>
      <c r="F27" s="42" t="str">
        <f>IF(ISBLANK('Control Entry'!I31),"",'Control Entry'!I31)</f>
        <v>Banner to right of door above windows</v>
      </c>
      <c r="G27" s="10"/>
      <c r="H27" s="35" t="s">
        <v>29</v>
      </c>
      <c r="K27" s="128" t="s">
        <v>57</v>
      </c>
      <c r="L27" s="129"/>
      <c r="M27" s="62" t="s">
        <v>58</v>
      </c>
      <c r="N27" s="129" t="s">
        <v>50</v>
      </c>
      <c r="O27" s="129"/>
      <c r="P27" s="129" t="s">
        <v>51</v>
      </c>
      <c r="Q27" s="129"/>
      <c r="R27" s="63" t="s">
        <v>52</v>
      </c>
      <c r="S27" s="130" t="s">
        <v>53</v>
      </c>
      <c r="T27" s="130"/>
      <c r="U27" s="130" t="s">
        <v>54</v>
      </c>
      <c r="V27" s="130"/>
    </row>
    <row r="28" spans="1:22" ht="36" customHeight="1" x14ac:dyDescent="0.2">
      <c r="A28" s="48">
        <f>IF(ISBLANK('Control Entry'!D31),"",'Control Entry'!D31)</f>
        <v>271.3</v>
      </c>
      <c r="B28" s="49">
        <f>'Control Entry'!N31</f>
        <v>44421.588194444441</v>
      </c>
      <c r="C28" s="49">
        <f>'Control Entry'!O31</f>
        <v>44422.003472222219</v>
      </c>
      <c r="D28" s="50" t="str">
        <f>IF(ISBLANK('Control Entry'!E31),"",'Control Entry'!E31)</f>
        <v>SIDNEY</v>
      </c>
      <c r="E28" s="42" t="str">
        <f>IF(ISBLANK('Control Entry'!G31),"",'Control Entry'!G31)</f>
        <v>Tim Hortons</v>
      </c>
      <c r="F28" s="42" t="str">
        <f>IF(ISBLANK('Control Entry'!J31),"",'Control Entry'!J31)</f>
        <v>...bagels________coffee...?</v>
      </c>
      <c r="G28" s="10"/>
      <c r="H28" s="35" t="s">
        <v>29</v>
      </c>
    </row>
    <row r="29" spans="1:22" ht="36" customHeight="1" thickBot="1" x14ac:dyDescent="0.25">
      <c r="A29" s="43"/>
      <c r="B29" s="44">
        <f>'Control Entry'!N31</f>
        <v>44421.588194444441</v>
      </c>
      <c r="C29" s="44">
        <f>'Control Entry'!O31</f>
        <v>44422.003472222219</v>
      </c>
      <c r="D29" s="45"/>
      <c r="E29" s="46" t="str">
        <f>IF(ISBLANK('Control Entry'!H31),"",'Control Entry'!H31)</f>
        <v xml:space="preserve"> 2343 Beacon Ave</v>
      </c>
      <c r="F29" s="46" t="str">
        <f>IF(ISBLANK('Control Entry'!K31),"",'Control Entry'!K31)</f>
        <v/>
      </c>
      <c r="G29" s="11"/>
      <c r="H29" s="35" t="s">
        <v>29</v>
      </c>
      <c r="M29" s="138" t="s">
        <v>42</v>
      </c>
      <c r="N29" s="138"/>
      <c r="O29" s="138"/>
      <c r="P29" s="138"/>
      <c r="Q29" s="138"/>
      <c r="R29" s="138"/>
      <c r="S29" s="138"/>
      <c r="T29" s="138"/>
      <c r="U29" s="68"/>
    </row>
    <row r="30" spans="1:22" ht="36" customHeight="1" x14ac:dyDescent="0.2">
      <c r="A30" s="39"/>
      <c r="B30" s="40">
        <f>'Control Entry'!N32</f>
        <v>44421.628472222219</v>
      </c>
      <c r="C30" s="40">
        <f>'Control Entry'!O32</f>
        <v>44422.083333333336</v>
      </c>
      <c r="D30" s="47"/>
      <c r="E30" s="42" t="str">
        <f>IF(ISBLANK('Control Entry'!F32),"",'Control Entry'!F32)</f>
        <v/>
      </c>
      <c r="F30" s="42" t="str">
        <f>IF(ISBLANK('Control Entry'!I32),"",'Control Entry'!I32)</f>
        <v>Self sign</v>
      </c>
      <c r="G30" s="10"/>
      <c r="H30" s="35" t="s">
        <v>29</v>
      </c>
      <c r="M30" s="19"/>
      <c r="N30" s="27"/>
      <c r="O30" s="27"/>
      <c r="P30" s="28"/>
      <c r="Q30" s="27"/>
      <c r="R30" s="27"/>
      <c r="S30" s="27"/>
      <c r="T30" s="28"/>
      <c r="U30" s="29"/>
    </row>
    <row r="31" spans="1:22" ht="36" customHeight="1" x14ac:dyDescent="0.2">
      <c r="A31" s="48">
        <f>IF(ISBLANK('Control Entry'!D32),"",'Control Entry'!D32)</f>
        <v>302.3</v>
      </c>
      <c r="B31" s="49">
        <f>'Control Entry'!N32</f>
        <v>44421.628472222219</v>
      </c>
      <c r="C31" s="49">
        <f>'Control Entry'!O32</f>
        <v>44422.083333333336</v>
      </c>
      <c r="D31" s="50" t="str">
        <f>IF(ISBLANK('Control Entry'!E32),"",'Control Entry'!E32)</f>
        <v>VIEW ROYAL</v>
      </c>
      <c r="E31" s="42" t="str">
        <f>IF(ISBLANK('Control Entry'!G32),"",'Control Entry'!G32)</f>
        <v/>
      </c>
      <c r="F31" s="42" t="str">
        <f>IF(ISBLANK('Control Entry'!J32),"",'Control Entry'!J32)</f>
        <v/>
      </c>
      <c r="G31" s="10"/>
      <c r="H31" s="35" t="s">
        <v>29</v>
      </c>
      <c r="M31" s="20"/>
      <c r="N31" s="29"/>
      <c r="O31" s="29"/>
      <c r="P31" s="30"/>
      <c r="Q31" s="29"/>
      <c r="R31" s="29"/>
      <c r="S31" s="29"/>
      <c r="T31" s="30"/>
      <c r="U31" s="29"/>
    </row>
    <row r="32" spans="1:22" ht="36" customHeight="1" thickBot="1" x14ac:dyDescent="0.25">
      <c r="A32" s="43"/>
      <c r="B32" s="44">
        <f>'Control Entry'!N32</f>
        <v>44421.628472222219</v>
      </c>
      <c r="C32" s="44">
        <f>'Control Entry'!O32</f>
        <v>44422.083333333336</v>
      </c>
      <c r="D32" s="45"/>
      <c r="E32" s="46" t="str">
        <f>IF(ISBLANK('Control Entry'!H32),"",'Control Entry'!H32)</f>
        <v>Galloping Goose @ Atkins</v>
      </c>
      <c r="F32" s="46" t="str">
        <f>IF(ISBLANK('Control Entry'!K32),"",'Control Entry'!K32)</f>
        <v/>
      </c>
      <c r="G32" s="11"/>
      <c r="H32" s="35" t="s">
        <v>29</v>
      </c>
      <c r="M32" s="66"/>
      <c r="N32" s="26"/>
      <c r="O32" s="26"/>
      <c r="P32" s="31"/>
      <c r="Q32" s="26"/>
      <c r="R32" s="26"/>
      <c r="S32" s="26"/>
      <c r="T32" s="31"/>
      <c r="U32" s="29"/>
    </row>
    <row r="33" spans="1:22" ht="36" customHeight="1" x14ac:dyDescent="0.2">
      <c r="A33" s="127" t="s">
        <v>43</v>
      </c>
      <c r="B33" s="127"/>
      <c r="C33" s="127"/>
      <c r="D33" s="127"/>
      <c r="E33" s="127"/>
      <c r="F33" s="127"/>
      <c r="G33" s="127"/>
      <c r="H33" s="51"/>
      <c r="I33" s="51"/>
      <c r="N33" s="139"/>
      <c r="O33" s="139"/>
      <c r="P33" s="139"/>
      <c r="Q33" s="139"/>
      <c r="R33" s="139"/>
      <c r="S33" s="139"/>
      <c r="T33" s="139"/>
      <c r="U33" s="139"/>
      <c r="V33" s="71"/>
    </row>
    <row r="34" spans="1:22" ht="36" customHeight="1" x14ac:dyDescent="0.2">
      <c r="A34"/>
      <c r="O34" s="59"/>
      <c r="P34" s="59"/>
      <c r="Q34" s="59"/>
      <c r="R34" s="58"/>
    </row>
    <row r="35" spans="1:22" ht="36" customHeight="1" x14ac:dyDescent="0.2">
      <c r="A35"/>
      <c r="N35" s="138"/>
      <c r="O35" s="138"/>
      <c r="P35" s="138"/>
      <c r="Q35" s="138"/>
      <c r="R35" s="138"/>
      <c r="S35" s="138"/>
      <c r="T35" s="138"/>
      <c r="U35" s="138"/>
    </row>
    <row r="36" spans="1:22" ht="36" customHeight="1" x14ac:dyDescent="0.15">
      <c r="A36"/>
      <c r="N36" s="36"/>
      <c r="O36" s="29"/>
      <c r="P36" s="29"/>
      <c r="Q36" s="29"/>
      <c r="R36" s="29"/>
      <c r="S36" s="29"/>
      <c r="T36" s="29"/>
      <c r="U36" s="29"/>
    </row>
    <row r="37" spans="1:22" ht="36" customHeight="1" x14ac:dyDescent="0.15">
      <c r="A37"/>
      <c r="N37" s="36"/>
      <c r="O37" s="29"/>
      <c r="P37" s="29"/>
      <c r="Q37" s="29"/>
      <c r="R37" s="29"/>
      <c r="S37" s="29"/>
      <c r="T37" s="29"/>
      <c r="U37" s="29"/>
    </row>
    <row r="38" spans="1:22" ht="36" customHeight="1" x14ac:dyDescent="0.2">
      <c r="A38"/>
      <c r="N38" s="69"/>
      <c r="O38" s="29"/>
      <c r="P38" s="29"/>
      <c r="Q38" s="29"/>
      <c r="R38" s="29"/>
      <c r="S38" s="29"/>
      <c r="T38" s="29"/>
      <c r="U38" s="29"/>
    </row>
    <row r="39" spans="1:22" ht="36" customHeight="1" x14ac:dyDescent="0.15">
      <c r="A39"/>
    </row>
    <row r="40" spans="1:22" ht="36" customHeight="1" x14ac:dyDescent="0.15">
      <c r="A40"/>
    </row>
  </sheetData>
  <mergeCells count="24">
    <mergeCell ref="A33:G33"/>
    <mergeCell ref="N33:U33"/>
    <mergeCell ref="N35:U35"/>
    <mergeCell ref="L8:Q8"/>
    <mergeCell ref="M29:T29"/>
    <mergeCell ref="L15:U15"/>
    <mergeCell ref="S20:U20"/>
    <mergeCell ref="J25:N25"/>
    <mergeCell ref="P25:Q25"/>
    <mergeCell ref="S25:T25"/>
    <mergeCell ref="U25:V25"/>
    <mergeCell ref="K27:L27"/>
    <mergeCell ref="N27:O27"/>
    <mergeCell ref="P27:Q27"/>
    <mergeCell ref="S27:T27"/>
    <mergeCell ref="U27:V27"/>
    <mergeCell ref="L6:U6"/>
    <mergeCell ref="T8:U8"/>
    <mergeCell ref="A1:G1"/>
    <mergeCell ref="K2:U2"/>
    <mergeCell ref="N3:S3"/>
    <mergeCell ref="M4:T4"/>
    <mergeCell ref="N5:O5"/>
    <mergeCell ref="R5:U5"/>
  </mergeCells>
  <phoneticPr fontId="16" type="noConversion"/>
  <printOptions horizontalCentered="1" verticalCentered="1"/>
  <pageMargins left="0.2" right="0.2" top="0.2" bottom="0.2" header="0.51" footer="0.51"/>
  <pageSetup scale="44" orientation="landscape" horizontalDpi="4294967292" verticalDpi="4294967292"/>
  <drawing r:id="rId1"/>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28</vt:i4>
      </vt:variant>
    </vt:vector>
  </HeadingPairs>
  <TitlesOfParts>
    <vt:vector size="31" baseType="lpstr">
      <vt:lpstr>Control Entry</vt:lpstr>
      <vt:lpstr>Control Card Sidney Start</vt:lpstr>
      <vt:lpstr>Control Card Atkins Start</vt:lpstr>
      <vt:lpstr>brevet</vt:lpstr>
      <vt:lpstr>Brevet_Description</vt:lpstr>
      <vt:lpstr>Brevet_Length</vt:lpstr>
      <vt:lpstr>Brevet_Number</vt:lpstr>
      <vt:lpstr>Close</vt:lpstr>
      <vt:lpstr>Close_time</vt:lpstr>
      <vt:lpstr>Control_1</vt:lpstr>
      <vt:lpstr>Control_10</vt:lpstr>
      <vt:lpstr>Control_2</vt:lpstr>
      <vt:lpstr>Control_3</vt:lpstr>
      <vt:lpstr>Control_4</vt:lpstr>
      <vt:lpstr>Control_5</vt:lpstr>
      <vt:lpstr>Control_6</vt:lpstr>
      <vt:lpstr>Control_7</vt:lpstr>
      <vt:lpstr>Control_8</vt:lpstr>
      <vt:lpstr>Control_9</vt:lpstr>
      <vt:lpstr>Distance</vt:lpstr>
      <vt:lpstr>Establishment_1</vt:lpstr>
      <vt:lpstr>Establishment_2</vt:lpstr>
      <vt:lpstr>Establishment_3</vt:lpstr>
      <vt:lpstr>Locale</vt:lpstr>
      <vt:lpstr>Max_time</vt:lpstr>
      <vt:lpstr>Open</vt:lpstr>
      <vt:lpstr>Open_time</vt:lpstr>
      <vt:lpstr>'Control Card Atkins Start'!Print_Titles</vt:lpstr>
      <vt:lpstr>'Control Card Sidney Start'!Print_Titles</vt:lpstr>
      <vt:lpstr>Start_date</vt:lpstr>
      <vt:lpstr>Start_time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Hinde</dc:creator>
  <cp:lastModifiedBy>Stephen Hinde</cp:lastModifiedBy>
  <cp:lastPrinted>2021-06-12T06:01:46Z</cp:lastPrinted>
  <dcterms:created xsi:type="dcterms:W3CDTF">1997-11-12T04:43:39Z</dcterms:created>
  <dcterms:modified xsi:type="dcterms:W3CDTF">2021-08-09T05:43:02Z</dcterms:modified>
</cp:coreProperties>
</file>