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showInkAnnotation="0" autoCompressPictures="0"/>
  <mc:AlternateContent xmlns:mc="http://schemas.openxmlformats.org/markup-compatibility/2006">
    <mc:Choice Requires="x15">
      <x15ac:absPath xmlns:x15ac="http://schemas.microsoft.com/office/spreadsheetml/2010/11/ac" url="/Users/stephencarol/Documents/BCR/2024/5408 Parallels with Latitiude/"/>
    </mc:Choice>
  </mc:AlternateContent>
  <xr:revisionPtr revIDLastSave="0" documentId="8_{9D0FA55F-584B-C845-87D9-333B74BA8067}" xr6:coauthVersionLast="47" xr6:coauthVersionMax="47" xr10:uidLastSave="{00000000-0000-0000-0000-000000000000}"/>
  <bookViews>
    <workbookView xWindow="0" yWindow="760" windowWidth="25480" windowHeight="15540" tabRatio="509"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2" i="5" l="1"/>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6" i="1" l="1"/>
  <c r="M47" i="1"/>
  <c r="M48" i="1"/>
  <c r="M49" i="1"/>
  <c r="M50" i="1"/>
  <c r="M41" i="1"/>
  <c r="M37" i="1"/>
  <c r="M24"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M35" i="1" l="1"/>
  <c r="M22" i="1"/>
  <c r="M23" i="1"/>
  <c r="M21" i="1"/>
  <c r="M33" i="1"/>
  <c r="M34" i="1"/>
  <c r="M20" i="1"/>
  <c r="O50" i="1"/>
  <c r="N50" i="1"/>
  <c r="N61" i="1"/>
  <c r="N60" i="1"/>
  <c r="N59" i="1"/>
  <c r="N63" i="1"/>
  <c r="N58" i="1"/>
  <c r="N62" i="1"/>
  <c r="M63" i="1"/>
  <c r="O63" i="1" s="1"/>
  <c r="M61" i="1"/>
  <c r="O61" i="1" s="1"/>
  <c r="M59" i="1"/>
  <c r="O59" i="1" s="1"/>
  <c r="M62" i="1"/>
  <c r="O62" i="1" s="1"/>
  <c r="M60" i="1"/>
  <c r="O60" i="1" s="1"/>
  <c r="M58" i="1"/>
  <c r="O58" i="1" s="1"/>
  <c r="M28" i="1"/>
  <c r="B7" i="1"/>
  <c r="M36" i="1" s="1"/>
  <c r="O36" i="1" s="1"/>
  <c r="M4" i="5"/>
  <c r="M57" i="1"/>
  <c r="O57" i="1" s="1"/>
  <c r="M55" i="1"/>
  <c r="O55" i="1" s="1"/>
  <c r="M56" i="1"/>
  <c r="O56" i="1"/>
  <c r="N56" i="1"/>
  <c r="N57" i="1"/>
  <c r="N55" i="1"/>
  <c r="O54" i="1"/>
  <c r="N54" i="1"/>
  <c r="M4" i="3"/>
  <c r="M42" i="1"/>
  <c r="M31" i="1"/>
  <c r="M16" i="1"/>
  <c r="M43" i="1"/>
  <c r="O43" i="1" s="1"/>
  <c r="M32" i="1"/>
  <c r="M19" i="1"/>
  <c r="M44" i="1"/>
  <c r="O44" i="1" s="1"/>
  <c r="M29" i="1"/>
  <c r="M18" i="1"/>
  <c r="O18" i="1" s="1"/>
  <c r="M45" i="1"/>
  <c r="M30" i="1"/>
  <c r="M17" i="1"/>
  <c r="O17" i="1" s="1"/>
  <c r="O46" i="1"/>
  <c r="O45" i="1"/>
  <c r="O47" i="1"/>
  <c r="O48" i="1"/>
  <c r="O49" i="1"/>
  <c r="N48" i="1"/>
  <c r="N42" i="1"/>
  <c r="N47" i="1"/>
  <c r="N43" i="1"/>
  <c r="N45" i="1"/>
  <c r="N49" i="1"/>
  <c r="N46" i="1"/>
  <c r="N44" i="1"/>
  <c r="O42" i="1"/>
  <c r="N41" i="1"/>
  <c r="O41" i="1"/>
  <c r="M4" i="4"/>
  <c r="M15" i="1"/>
  <c r="O15" i="1" s="1"/>
  <c r="C3" i="2" s="1"/>
  <c r="N31" i="1"/>
  <c r="B4" i="2"/>
  <c r="O19" i="1"/>
  <c r="C17" i="2" s="1"/>
  <c r="N18" i="1"/>
  <c r="B14" i="2" s="1"/>
  <c r="O23" i="1"/>
  <c r="C27" i="2" s="1"/>
  <c r="N28" i="1"/>
  <c r="N34" i="1"/>
  <c r="N22" i="1"/>
  <c r="B25" i="2" s="1"/>
  <c r="O34" i="1"/>
  <c r="B3" i="2"/>
  <c r="O20" i="1"/>
  <c r="O22" i="1"/>
  <c r="C26" i="2" s="1"/>
  <c r="O33" i="1"/>
  <c r="B5" i="2"/>
  <c r="N17" i="1"/>
  <c r="B11" i="2" s="1"/>
  <c r="N21" i="1"/>
  <c r="B22" i="2" s="1"/>
  <c r="N24" i="1"/>
  <c r="B31" i="2" s="1"/>
  <c r="N35" i="1"/>
  <c r="O37" i="1"/>
  <c r="N37" i="1"/>
  <c r="O24" i="1"/>
  <c r="C31" i="2" s="1"/>
  <c r="N16" i="1"/>
  <c r="B6" i="2" s="1"/>
  <c r="N20" i="1"/>
  <c r="B19" i="2" s="1"/>
  <c r="O21" i="1"/>
  <c r="C23" i="2" s="1"/>
  <c r="N29" i="1"/>
  <c r="N32" i="1"/>
  <c r="O16" i="1"/>
  <c r="N19" i="1"/>
  <c r="B17" i="2" s="1"/>
  <c r="N23" i="1"/>
  <c r="B27" i="2" s="1"/>
  <c r="N30" i="1"/>
  <c r="N33" i="1"/>
  <c r="N36" i="1"/>
  <c r="O30" i="1"/>
  <c r="O29" i="1"/>
  <c r="M4" i="2"/>
  <c r="O32" i="1"/>
  <c r="O28" i="1"/>
  <c r="O35" i="1"/>
  <c r="O31" i="1"/>
  <c r="C27" i="5" l="1"/>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<sst xmlns="http://schemas.openxmlformats.org/spreadsheetml/2006/main" count="466" uniqueCount="130">
  <si>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</si>
  <si>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</si>
  <si>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</si>
  <si>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</si>
  <si>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</si>
  <si>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</si>
  <si>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</si>
  <si>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</si>
  <si>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</si>
  <si>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</si>
  <si>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</si>
  <si>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</si>
  <si>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</si>
  <si>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</si>
  <si>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</si>
  <si>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</si>
  <si>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</si>
  <si>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</si>
  <si>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</si>
  <si>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</si>
  <si>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</si>
  <si>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</si>
  <si>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</si>
  <si>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</si>
  <si>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</si>
  <si>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</si>
  <si>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</si>
  <si>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</si>
  <si>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</si>
  <si>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</si>
  <si>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</si>
  <si>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</si>
  <si>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</si>
  <si>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</si>
  <si>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</si>
  <si>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</si>
  <si>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</si>
  <si>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</si>
  <si>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</si>
  <si>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</si>
  <si>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</si>
  <si>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</si>
  <si>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</si>
  <si>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</si>
  <si>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</si>
  <si>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</si>
  <si>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</si>
  <si>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</si>
  <si>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</si>
  <si>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</si>
  <si>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</si>
  <si>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</si>
  <si>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</si>
  <si>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</si>
  <si>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</si>
  <si>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</si>
  <si>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</si>
  <si>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</si>
  <si>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</si>
  <si>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</si>
  <si>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</si>
  <si>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</si>
  <si>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</si>
  <si>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</si>
  <si>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</si>
  <si>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</si>
  <si>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</si>
  <si>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</si>
  <si>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</si>
  <si>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</si>
  <si>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</si>
  <si>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</si>
  <si>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</si>
  <si>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</si>
  <si>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</si>
  <si>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</si>
  <si>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</si>
  <si>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</si>
  <si>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</si>
  <si>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</si>
  <si>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</si>
  <si>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</si>
  <si>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</si>
  <si>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</si>
  <si>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</si>
  <si>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</si>
  <si>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</si>
  <si>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</si>
  <si>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</si>
  <si>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</si>
  <si>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</si>
  <si>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NANAIMO</t>
  </si>
  <si>
    <t>Tim Hortons</t>
  </si>
  <si>
    <t>Brooks Landing</t>
  </si>
  <si>
    <t>SRW Parallels with Latitude</t>
  </si>
  <si>
    <t>Island Hwy @ Departure Bay Rd</t>
  </si>
  <si>
    <t>LADYSMITH</t>
  </si>
  <si>
    <t>1st Ave @ Symonds St</t>
  </si>
  <si>
    <t>Green 49th Parallel sign</t>
  </si>
  <si>
    <t>The __________treaty of 1846?</t>
  </si>
  <si>
    <t>NANOOSE</t>
  </si>
  <si>
    <t>Info sign @ 1326 Marina</t>
  </si>
  <si>
    <t>CAMPBELL RIVER</t>
  </si>
  <si>
    <t>50th Parallel Marker</t>
  </si>
  <si>
    <t>Small blue sign 10 metres south</t>
  </si>
  <si>
    <t>50th Parallel on this___________?</t>
  </si>
  <si>
    <t>COURTENAY</t>
  </si>
  <si>
    <t>Greaves Cr @ Piercy Rd</t>
  </si>
  <si>
    <t>Mailboxes</t>
  </si>
  <si>
    <t>Number at bottom left ?</t>
  </si>
  <si>
    <t>CUMBERLAND</t>
  </si>
  <si>
    <t>4th St @ Dunsmuir Ave</t>
  </si>
  <si>
    <t>Directional sign by ambulance hall</t>
  </si>
  <si>
    <t>How far to Museum?</t>
  </si>
  <si>
    <t>QUALICUM BEACH</t>
  </si>
  <si>
    <t>Shell Gas</t>
  </si>
  <si>
    <t>Island Hwy @ Memorial Ave</t>
  </si>
  <si>
    <t>Aggie Hall Plaza by tractor</t>
  </si>
  <si>
    <t>INFORMATION</t>
  </si>
  <si>
    <t>Beachcomber Regional Park</t>
  </si>
  <si>
    <t>Seawalk (Island Hwy 19A)</t>
  </si>
  <si>
    <t>Superbox 1 (left side)</t>
  </si>
  <si>
    <t>Self sign if closed</t>
  </si>
  <si>
    <t>STAFFED</t>
  </si>
  <si>
    <t>LITTLE RIVER</t>
  </si>
  <si>
    <t>1938 Singing Sands Rd</t>
  </si>
  <si>
    <t>Bottom right bird</t>
  </si>
  <si>
    <t>010___?</t>
  </si>
  <si>
    <t xml:space="preserve">Number at bottom left </t>
  </si>
  <si>
    <t>Yellow ________Warbler?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</si>
</sst>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5"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
      <sz val="12"/>
      <name val="Arial Narrow"/>
      <family val="2"/>
    </font>
    <font>
      <b/>
      <sz val="12"/>
      <name val="Arial Narrow"/>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6">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20" xfId="0" applyBorder="1"/>
    <xf numFmtId="0" fontId="0" fillId="0" borderId="21" xfId="0" applyBorder="1"/>
    <xf numFmtId="0" fontId="0" fillId="0" borderId="17"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0" fontId="0" fillId="2" borderId="28" xfId="0" applyFill="1" applyBorder="1" applyAlignment="1">
      <alignment horizontal="right"/>
    </xf>
    <xf numFmtId="15" fontId="13" fillId="0" borderId="27" xfId="0" applyNumberFormat="1" applyFont="1" applyBorder="1" applyProtection="1">
      <protection locked="0"/>
    </xf>
    <xf numFmtId="0" fontId="5" fillId="2" borderId="29"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15" fontId="32" fillId="0" borderId="4" xfId="0" applyNumberFormat="1" applyFont="1" applyBorder="1" applyAlignment="1" applyProtection="1">
      <alignment horizontal="center"/>
      <protection locked="0"/>
    </xf>
    <xf numFmtId="0" fontId="31" fillId="2" borderId="29"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xf numFmtId="0" fontId="31" fillId="0" borderId="0" xfId="0" applyFont="1" applyAlignment="1">
      <alignment wrapText="1"/>
    </xf>
    <xf numFmtId="167" fontId="0" fillId="0" borderId="13" xfId="0" applyNumberFormat="1" applyBorder="1"/>
    <xf numFmtId="49" fontId="33" fillId="0" borderId="14" xfId="0" applyNumberFormat="1" applyFont="1" applyBorder="1" applyAlignment="1" applyProtection="1">
      <alignment horizontal="center"/>
      <protection locked="0"/>
    </xf>
    <xf numFmtId="49" fontId="33" fillId="0" borderId="4" xfId="0" applyNumberFormat="1" applyFont="1" applyBorder="1" applyAlignment="1" applyProtection="1">
      <alignment horizontal="center"/>
      <protection locked="0"/>
    </xf>
    <xf numFmtId="49" fontId="34" fillId="0" borderId="4" xfId="0" applyNumberFormat="1" applyFont="1" applyBorder="1" applyAlignment="1" applyProtection="1">
      <alignment horizontal="center"/>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6" fillId="0" borderId="0" xfId="0" applyFont="1" applyAlignment="1">
      <alignment horizontal="center" wrapText="1"/>
    </xf>
    <xf numFmtId="0" fontId="10" fillId="0" borderId="0" xfId="0" applyFont="1" applyAlignment="1">
      <alignment horizontal="center" vertical="center"/>
    </xf>
    <xf numFmtId="0" fontId="5" fillId="0" borderId="0" xfId="0" applyFont="1" applyAlignment="1">
      <alignment horizontal="right" vertical="top"/>
    </xf>
    <xf numFmtId="0" fontId="0" fillId="0" borderId="0" xfId="0" applyAlignment="1">
      <alignment horizontal="right" vertical="top"/>
    </xf>
    <xf numFmtId="15" fontId="0" fillId="0" borderId="0" xfId="0" applyNumberFormat="1" applyAlignment="1">
      <alignment horizontal="left" vertical="top"/>
    </xf>
    <xf numFmtId="0" fontId="0" fillId="0" borderId="0" xfId="0" applyAlignment="1">
      <alignment horizontal="left" vertical="top"/>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Alignment="1">
      <alignment horizontal="left" vertical="center"/>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tabSelected="1" zoomScale="140" zoomScaleNormal="140" zoomScalePageLayoutView="135" workbookViewId="0">
      <selection activeCell="B4" sqref="B4"/>
    </sheetView>
  </sheetViews>
  <sheetFormatPr baseColWidth="10" defaultColWidth="8.83203125" defaultRowHeight="13" x14ac:dyDescent="0.15"/>
  <cols>
    <col min="1" max="1" width="16.5" style="2" customWidth="1"/>
    <col min="2" max="2" width="10.83203125" customWidth="1"/>
    <col min="3" max="3" width="1" style="3" hidden="1" customWidth="1"/>
    <col min="4" max="4" width="8.33203125" customWidth="1"/>
    <col min="5" max="5" width="17" bestFit="1" customWidth="1"/>
    <col min="6" max="11" width="34.1640625" customWidth="1"/>
    <col min="12" max="15" width="17.83203125" hidden="1" customWidth="1"/>
  </cols>
  <sheetData>
    <row r="1" spans="1:26" ht="20" customHeight="1" x14ac:dyDescent="0.2">
      <c r="A1" s="105" t="s">
        <v>83</v>
      </c>
      <c r="B1" s="105"/>
      <c r="C1" s="105"/>
      <c r="D1" s="105"/>
      <c r="E1" s="105"/>
      <c r="F1" s="105"/>
      <c r="G1" s="105"/>
      <c r="H1" s="105"/>
      <c r="I1" s="77" t="s">
        <v>85</v>
      </c>
      <c r="Q1" s="104" t="s">
        <v>89</v>
      </c>
      <c r="R1" s="104"/>
      <c r="S1" s="104"/>
      <c r="T1" s="104"/>
      <c r="U1" s="104"/>
      <c r="V1" s="104"/>
      <c r="W1" s="104"/>
      <c r="X1" s="104"/>
      <c r="Y1" s="104"/>
      <c r="Z1" s="104"/>
    </row>
    <row r="2" spans="1:26" ht="13" customHeight="1" thickBot="1" x14ac:dyDescent="0.2">
      <c r="H2" s="83"/>
      <c r="I2" s="83"/>
      <c r="Q2" s="104"/>
      <c r="R2" s="104"/>
      <c r="S2" s="104"/>
      <c r="T2" s="104"/>
      <c r="U2" s="104"/>
      <c r="V2" s="104"/>
      <c r="W2" s="104"/>
      <c r="X2" s="104"/>
      <c r="Y2" s="104"/>
      <c r="Z2" s="104"/>
    </row>
    <row r="3" spans="1:26" s="95" customFormat="1" ht="13" customHeight="1" thickBot="1" x14ac:dyDescent="0.2">
      <c r="A3" s="93" t="s">
        <v>82</v>
      </c>
      <c r="B3" s="94">
        <v>44874</v>
      </c>
      <c r="H3" s="96"/>
      <c r="I3" s="96"/>
      <c r="Q3" s="104"/>
      <c r="R3" s="104"/>
      <c r="S3" s="104"/>
      <c r="T3" s="104"/>
      <c r="U3" s="104"/>
      <c r="V3" s="104"/>
      <c r="W3" s="104"/>
      <c r="X3" s="104"/>
      <c r="Y3" s="104"/>
      <c r="Z3" s="104"/>
    </row>
    <row r="4" spans="1:26" ht="13" customHeight="1" x14ac:dyDescent="0.15">
      <c r="A4" s="81" t="s">
        <v>86</v>
      </c>
      <c r="B4" s="92">
        <v>45042</v>
      </c>
      <c r="C4"/>
      <c r="H4" s="83"/>
      <c r="I4" s="83"/>
      <c r="Q4" s="104"/>
      <c r="R4" s="104"/>
      <c r="S4" s="104"/>
      <c r="T4" s="104"/>
      <c r="U4" s="104"/>
      <c r="V4" s="104"/>
      <c r="W4" s="104"/>
      <c r="X4" s="104"/>
      <c r="Y4" s="104"/>
      <c r="Z4" s="104"/>
    </row>
    <row r="5" spans="1:26" ht="14" thickBot="1" x14ac:dyDescent="0.2">
      <c r="H5" s="83"/>
      <c r="I5" s="83"/>
      <c r="Q5" s="104"/>
      <c r="R5" s="104"/>
      <c r="S5" s="104"/>
      <c r="T5" s="104"/>
      <c r="U5" s="104"/>
      <c r="V5" s="104"/>
      <c r="W5" s="104"/>
      <c r="X5" s="104"/>
      <c r="Y5" s="104"/>
      <c r="Z5" s="104"/>
    </row>
    <row r="6" spans="1:26" ht="18" x14ac:dyDescent="0.2">
      <c r="A6" s="11" t="s">
        <v>18</v>
      </c>
      <c r="B6" s="60">
        <v>400</v>
      </c>
      <c r="C6">
        <f>IF(Brevet_Length&gt;=1200,Brevet_Length,IF(Brevet_Length&gt;=1000,1000,IF(Brevet_Length&gt;=600,600,IF(Brevet_Length&gt;=400,400,IF(Brevet_Length&gt;=300,300,IF(Brevet_Length&gt;=200,200,100))))))</f>
        <v>400</v>
      </c>
      <c r="J6" s="109" t="s">
        <v>63</v>
      </c>
      <c r="K6" s="109"/>
      <c r="Q6" s="64" t="s">
        <v>64</v>
      </c>
      <c r="R6" s="64"/>
      <c r="S6" s="64"/>
      <c r="T6" s="64"/>
      <c r="U6" s="64"/>
      <c r="V6" s="64"/>
      <c r="W6" s="64"/>
    </row>
    <row r="7" spans="1:26" ht="14" thickBot="1" x14ac:dyDescent="0.2">
      <c r="A7" s="12" t="s">
        <v>19</v>
      </c>
      <c r="B7" s="13">
        <f>IF(brevet=1200,90,IF(brevet=1000,75,IF(brevet=600,40,IF(brevet=400,27,IF(brevet=300,20,IF(brevet=200,13.5,IF(brevet=100,7,0)))))))</f>
        <v>27</v>
      </c>
      <c r="Q7" t="s">
        <v>65</v>
      </c>
    </row>
    <row r="8" spans="1:26" ht="19" thickBot="1" x14ac:dyDescent="0.25">
      <c r="A8" s="12" t="s">
        <v>20</v>
      </c>
      <c r="B8" s="106" t="s">
        <v>94</v>
      </c>
      <c r="C8" s="107"/>
      <c r="D8" s="107"/>
      <c r="E8" s="107"/>
      <c r="F8" s="107"/>
      <c r="G8" s="107"/>
      <c r="H8" s="108"/>
      <c r="I8" s="24"/>
      <c r="J8" s="24"/>
      <c r="K8" s="24"/>
      <c r="Q8" s="64" t="s">
        <v>66</v>
      </c>
    </row>
    <row r="9" spans="1:26" ht="18" x14ac:dyDescent="0.2">
      <c r="A9" s="12" t="s">
        <v>21</v>
      </c>
      <c r="B9" s="61">
        <v>5271</v>
      </c>
      <c r="C9" s="21"/>
      <c r="F9" s="22"/>
      <c r="G9" s="22"/>
      <c r="H9" s="22"/>
      <c r="I9" s="22"/>
      <c r="J9" s="22"/>
      <c r="K9" s="22"/>
      <c r="Q9" s="64" t="s">
        <v>67</v>
      </c>
    </row>
    <row r="10" spans="1:26" ht="18" x14ac:dyDescent="0.2">
      <c r="A10" s="43" t="s">
        <v>48</v>
      </c>
      <c r="B10" s="62">
        <v>45056</v>
      </c>
      <c r="Q10" s="64" t="s">
        <v>68</v>
      </c>
    </row>
    <row r="11" spans="1:26" ht="6" customHeight="1" x14ac:dyDescent="0.15">
      <c r="B11" s="84"/>
    </row>
    <row r="12" spans="1:26" ht="18" customHeight="1" thickBot="1" x14ac:dyDescent="0.25">
      <c r="A12" s="79" t="s">
        <v>22</v>
      </c>
      <c r="B12" s="80">
        <v>45056</v>
      </c>
      <c r="Q12" s="64" t="s">
        <v>76</v>
      </c>
    </row>
    <row r="13" spans="1:26" ht="19" thickBot="1" x14ac:dyDescent="0.25">
      <c r="A13" s="10" t="s">
        <v>23</v>
      </c>
      <c r="B13" s="63">
        <v>0.25</v>
      </c>
      <c r="D13" s="101" t="s">
        <v>81</v>
      </c>
      <c r="E13" s="102"/>
      <c r="F13" s="102"/>
      <c r="G13" s="102"/>
      <c r="H13" s="102"/>
      <c r="I13" s="110" t="s">
        <v>71</v>
      </c>
      <c r="J13" s="102"/>
      <c r="K13" s="103"/>
      <c r="Q13" s="64" t="s">
        <v>75</v>
      </c>
    </row>
    <row r="14" spans="1:26" ht="14" thickBot="1" x14ac:dyDescent="0.2">
      <c r="D14" s="6" t="s">
        <v>24</v>
      </c>
      <c r="E14" s="7" t="s">
        <v>25</v>
      </c>
      <c r="F14" s="54" t="s">
        <v>26</v>
      </c>
      <c r="G14" s="54" t="s">
        <v>27</v>
      </c>
      <c r="H14" s="55" t="s">
        <v>28</v>
      </c>
      <c r="I14" s="7" t="s">
        <v>60</v>
      </c>
      <c r="J14" s="7" t="s">
        <v>61</v>
      </c>
      <c r="K14" s="8" t="s">
        <v>62</v>
      </c>
      <c r="L14" t="s">
        <v>3</v>
      </c>
      <c r="M14" t="s">
        <v>4</v>
      </c>
      <c r="N14" t="s">
        <v>5</v>
      </c>
      <c r="O14" t="s">
        <v>6</v>
      </c>
      <c r="Q14" s="64" t="s">
        <v>69</v>
      </c>
    </row>
    <row r="15" spans="1:26" ht="17" customHeight="1" x14ac:dyDescent="0.2">
      <c r="C15" s="3" t="s">
        <v>7</v>
      </c>
      <c r="D15" s="97">
        <v>0</v>
      </c>
      <c r="E15" s="66" t="s">
        <v>91</v>
      </c>
      <c r="F15" s="67" t="s">
        <v>92</v>
      </c>
      <c r="G15" s="67" t="s">
        <v>93</v>
      </c>
      <c r="H15" s="68" t="s">
        <v>95</v>
      </c>
      <c r="I15" s="98"/>
      <c r="J15" s="98"/>
      <c r="K15" s="99"/>
      <c r="L15" s="4">
        <f>Start_date+Start_time</f>
        <v>45056.25</v>
      </c>
      <c r="M15" s="4">
        <f>L15+"1:00"</f>
        <v>45056.291666666664</v>
      </c>
      <c r="N15" s="5">
        <f>IF(ISBLANK(Distance),"",Open Control_1)</f>
        <v>45056.25</v>
      </c>
      <c r="O15" s="5">
        <f>IF(ISBLANK(Distance),"",Close Control_1)</f>
        <v>45056.291666666664</v>
      </c>
      <c r="Q15" s="64" t="s">
        <v>84</v>
      </c>
    </row>
    <row r="16" spans="1:26" ht="17" customHeight="1" x14ac:dyDescent="0.2">
      <c r="B16" s="72"/>
      <c r="C16" s="3" t="s">
        <v>8</v>
      </c>
      <c r="D16" s="23">
        <v>29.6</v>
      </c>
      <c r="E16" s="66" t="s">
        <v>96</v>
      </c>
      <c r="F16" s="67" t="s">
        <v>118</v>
      </c>
      <c r="G16" s="67" t="s">
        <v>117</v>
      </c>
      <c r="H16" s="68" t="s">
        <v>97</v>
      </c>
      <c r="I16" s="98" t="s">
        <v>98</v>
      </c>
      <c r="J16" s="98"/>
      <c r="K16" s="99" t="s">
        <v>99</v>
      </c>
      <c r="L16">
        <f>IF(ISBLANK(Distance),"",IF(Distance&gt;1000,(Distance-1000)/26+33.0847,(IF(Distance&gt;600,(Distance-600)/28+18.799,(IF(Distance&gt;400,(Distance-400)/30+12.1324,(IF(Distance&gt;200,(Distance-200)/32+5.8824,Distance/34))))))))</f>
        <v>0.87058823529411766</v>
      </c>
      <c r="M16">
        <f t="shared" ref="M16:M24" si="0">IF(ISBLANK(Distance),"",IF(Distance&gt;=brevet,IF(brevet&gt;1200,(brevet-1200)*75/1000+90,Max_time),IF(Distance&gt;1200,(Distance-1200)*75/1000+90,IF(Distance&gt;1000,(Distance-1000)/(1000/75)+75,IF(Distance&gt;600,(Distance-600)/(400/35)+40,IF(Distance&lt;=60,(Distance/20+1),Distance/15))))))</f>
        <v>2.48</v>
      </c>
      <c r="N16" s="5">
        <f>IF(ISBLANK(Distance),"",Open_time Control_1+(INT(Open)&amp;":"&amp;IF(ROUND(((Open-INT(Open))*60),0)&lt;10,0,"")&amp;ROUND(((Open-INT(Open))*60),0)))</f>
        <v>45056.286111111112</v>
      </c>
      <c r="O16" s="5">
        <f>IF(ISBLANK(Distance),"",Open_time Control_1+(INT(Close)&amp;":"&amp;IF(ROUND(((Close-INT(Close))*60),0)&lt;10,0,"")&amp;ROUND(((Close-INT(Close))*60),0)))</f>
        <v>45056.353472222225</v>
      </c>
      <c r="Q16" s="64" t="s">
        <v>70</v>
      </c>
    </row>
    <row r="17" spans="2:17" ht="17" customHeight="1" x14ac:dyDescent="0.2">
      <c r="B17" s="72"/>
      <c r="C17" s="3" t="s">
        <v>9</v>
      </c>
      <c r="D17" s="23">
        <v>89</v>
      </c>
      <c r="E17" s="66" t="s">
        <v>100</v>
      </c>
      <c r="F17" s="67" t="s">
        <v>118</v>
      </c>
      <c r="G17" s="67" t="s">
        <v>119</v>
      </c>
      <c r="H17" s="68" t="s">
        <v>101</v>
      </c>
      <c r="I17" s="98" t="s">
        <v>126</v>
      </c>
      <c r="J17" s="98"/>
      <c r="K17" s="98" t="s">
        <v>129</v>
      </c>
      <c r="L17">
        <f>IF(ISBLANK(Distance),"",IF(Distance&gt;1000,(Distance-1000)/26+33.0847,(IF(Distance&gt;600,(Distance-600)/28+18.799,(IF(Distance&gt;400,(Distance-400)/30+12.1324,(IF(Distance&gt;200,(Distance-200)/32+5.8824,Distance/34))))))))</f>
        <v>2.6176470588235294</v>
      </c>
      <c r="M17">
        <f t="shared" si="0"/>
        <v>5.9333333333333336</v>
      </c>
      <c r="N17" s="5">
        <f>IF(ISBLANK(Distance),"",Open_time Control_1+(INT(Open)&amp;":"&amp;IF(ROUND(((Open-INT(Open))*60),0)&lt;10,0,"")&amp;ROUND(((Open-INT(Open))*60),0)))</f>
        <v>45056.359027777777</v>
      </c>
      <c r="O17" s="5">
        <f>IF(ISBLANK(Distance),"",Open_time Control_1+(INT(Close)&amp;":"&amp;IF(ROUND(((Close-INT(Close))*60),0)&lt;10,0,"")&amp;ROUND(((Close-INT(Close))*60),0)))</f>
        <v>45056.49722222222</v>
      </c>
    </row>
    <row r="18" spans="2:17" ht="17" customHeight="1" x14ac:dyDescent="0.2">
      <c r="B18" s="72"/>
      <c r="C18" s="3" t="s">
        <v>10</v>
      </c>
      <c r="D18" s="23">
        <v>188.8</v>
      </c>
      <c r="E18" s="66" t="s">
        <v>124</v>
      </c>
      <c r="F18" s="67" t="s">
        <v>123</v>
      </c>
      <c r="G18" s="67" t="s">
        <v>125</v>
      </c>
      <c r="H18" s="68"/>
      <c r="I18" s="68"/>
      <c r="J18" s="98"/>
      <c r="K18" s="99"/>
      <c r="L18">
        <f t="shared" ref="L18:L24" si="1">IF(ISBLANK(Distance),"",IF(Distance&gt;1000,(Distance-1000)/26+33.0847,(IF(Distance&gt;600,(Distance-600)/28+18.799,(IF(Distance&gt;400,(Distance-400)/30+12.1324,(IF(Distance&gt;200,(Distance-200)/32+5.8824,Distance/34))))))))</f>
        <v>5.5529411764705889</v>
      </c>
      <c r="M18">
        <f t="shared" si="0"/>
        <v>12.586666666666668</v>
      </c>
      <c r="N18" s="5">
        <f>IF(ISBLANK(Distance),"",Open_time Control_1+(INT(Open)&amp;":"&amp;IF(ROUND(((Open-INT(Open))*60),0)&lt;10,0,"")&amp;ROUND(((Open-INT(Open))*60),0)))</f>
        <v>45056.481249999997</v>
      </c>
      <c r="O18" s="5">
        <f>IF(ISBLANK(Distance),"",Open_time Control_1+(INT(Close)&amp;":"&amp;IF(ROUND(((Close-INT(Close))*60),0)&lt;10,0,"")&amp;ROUND(((Close-INT(Close))*60),0)))</f>
        <v>45056.774305555555</v>
      </c>
    </row>
    <row r="19" spans="2:17" ht="17" customHeight="1" x14ac:dyDescent="0.2">
      <c r="B19" s="72"/>
      <c r="C19" s="3" t="s">
        <v>11</v>
      </c>
      <c r="D19" s="23">
        <v>234</v>
      </c>
      <c r="E19" s="66" t="s">
        <v>102</v>
      </c>
      <c r="F19" s="67" t="s">
        <v>118</v>
      </c>
      <c r="G19" s="67" t="s">
        <v>103</v>
      </c>
      <c r="H19" s="68" t="s">
        <v>120</v>
      </c>
      <c r="I19" s="98" t="s">
        <v>104</v>
      </c>
      <c r="J19" s="98"/>
      <c r="K19" s="99" t="s">
        <v>105</v>
      </c>
      <c r="L19">
        <f t="shared" si="1"/>
        <v>6.9448999999999996</v>
      </c>
      <c r="M19">
        <f t="shared" si="0"/>
        <v>15.6</v>
      </c>
      <c r="N19" s="5">
        <f>IF(ISBLANK(Distance),"",Open_time Control_1+(INT(Open)&amp;":"&amp;IF(ROUND(((Open-INT(Open))*60),0)&lt;10,0,"")&amp;ROUND(((Open-INT(Open))*60),0)))</f>
        <v>45056.539583333331</v>
      </c>
      <c r="O19" s="5">
        <f>IF(ISBLANK(Distance),"",Open_time Control_1+(INT(Close)&amp;":"&amp;IF(ROUND(((Close-INT(Close))*60),0)&lt;10,0,"")&amp;ROUND(((Close-INT(Close))*60),0)))</f>
        <v>45056.9</v>
      </c>
      <c r="Q19" s="77"/>
    </row>
    <row r="20" spans="2:17" ht="17" customHeight="1" x14ac:dyDescent="0.2">
      <c r="B20" s="72"/>
      <c r="C20" s="3" t="s">
        <v>12</v>
      </c>
      <c r="D20" s="23">
        <v>279.7</v>
      </c>
      <c r="E20" s="66" t="s">
        <v>106</v>
      </c>
      <c r="F20" s="67" t="s">
        <v>118</v>
      </c>
      <c r="G20" s="67" t="s">
        <v>108</v>
      </c>
      <c r="H20" s="67" t="s">
        <v>107</v>
      </c>
      <c r="I20" s="98" t="s">
        <v>121</v>
      </c>
      <c r="J20" s="98" t="s">
        <v>128</v>
      </c>
      <c r="K20" s="100" t="s">
        <v>127</v>
      </c>
      <c r="L20">
        <f t="shared" si="1"/>
        <v>8.3730249999999984</v>
      </c>
      <c r="M20">
        <f t="shared" si="0"/>
        <v>18.646666666666665</v>
      </c>
      <c r="N20" s="5">
        <f>IF(ISBLANK(Distance),"",Open_time Control_1+(INT(Open)&amp;":"&amp;IF(ROUND(((Open-INT(Open))*60),0)&lt;10,0,"")&amp;ROUND(((Open-INT(Open))*60),0)))</f>
        <v>45056.598611111112</v>
      </c>
      <c r="O20" s="5">
        <f>IF(ISBLANK(Distance),"",Open_time Control_1+(INT(Close)&amp;":"&amp;IF(ROUND(((Close-INT(Close))*60),0)&lt;10,0,"")&amp;ROUND(((Close-INT(Close))*60),0)))</f>
        <v>45057.027083333334</v>
      </c>
    </row>
    <row r="21" spans="2:17" ht="17" customHeight="1" x14ac:dyDescent="0.2">
      <c r="B21" s="72"/>
      <c r="C21" s="3" t="s">
        <v>13</v>
      </c>
      <c r="D21" s="23">
        <v>294.39999999999998</v>
      </c>
      <c r="E21" s="66" t="s">
        <v>110</v>
      </c>
      <c r="F21" s="67" t="s">
        <v>118</v>
      </c>
      <c r="G21" s="68" t="s">
        <v>112</v>
      </c>
      <c r="H21" s="67" t="s">
        <v>111</v>
      </c>
      <c r="I21" s="98" t="s">
        <v>113</v>
      </c>
      <c r="J21" s="98"/>
      <c r="K21" s="100"/>
      <c r="L21">
        <f t="shared" si="1"/>
        <v>8.8323999999999998</v>
      </c>
      <c r="M21">
        <f t="shared" si="0"/>
        <v>19.626666666666665</v>
      </c>
      <c r="N21" s="5">
        <f>IF(ISBLANK(Distance),"",Open_time Control_1+(INT(Open)&amp;":"&amp;IF(ROUND(((Open-INT(Open))*60),0)&lt;10,0,"")&amp;ROUND(((Open-INT(Open))*60),0)))</f>
        <v>45056.618055555555</v>
      </c>
      <c r="O21" s="5">
        <f>IF(ISBLANK(Distance),"",Open_time Control_1+(INT(Close)&amp;":"&amp;IF(ROUND(((Close-INT(Close))*60),0)&lt;10,0,"")&amp;ROUND(((Close-INT(Close))*60),0)))</f>
        <v>45057.068055555559</v>
      </c>
    </row>
    <row r="22" spans="2:17" ht="17" customHeight="1" x14ac:dyDescent="0.2">
      <c r="B22" s="72"/>
      <c r="C22" s="3" t="s">
        <v>14</v>
      </c>
      <c r="D22" s="23">
        <v>356.4</v>
      </c>
      <c r="E22" s="66" t="s">
        <v>114</v>
      </c>
      <c r="F22" s="67" t="s">
        <v>115</v>
      </c>
      <c r="G22" s="67" t="s">
        <v>116</v>
      </c>
      <c r="H22" s="68"/>
      <c r="I22" s="98" t="s">
        <v>122</v>
      </c>
      <c r="J22" s="98"/>
      <c r="K22" s="99"/>
      <c r="L22">
        <f t="shared" si="1"/>
        <v>10.7699</v>
      </c>
      <c r="M22">
        <f t="shared" si="0"/>
        <v>23.759999999999998</v>
      </c>
      <c r="N22" s="5">
        <f>IF(ISBLANK(Distance),"",Open_time Control_1+(INT(Open)&amp;":"&amp;IF(ROUND(((Open-INT(Open))*60),0)&lt;10,0,"")&amp;ROUND(((Open-INT(Open))*60),0)))</f>
        <v>45056.698611111111</v>
      </c>
      <c r="O22" s="5">
        <f>IF(ISBLANK(Distance),"",Open_time Control_1+(INT(Close)&amp;":"&amp;IF(ROUND(((Close-INT(Close))*60),0)&lt;10,0,"")&amp;ROUND(((Close-INT(Close))*60),0)))</f>
        <v>45057.240277777775</v>
      </c>
    </row>
    <row r="23" spans="2:17" ht="17" customHeight="1" x14ac:dyDescent="0.2">
      <c r="B23" s="72"/>
      <c r="C23" s="3" t="s">
        <v>15</v>
      </c>
      <c r="D23" s="23">
        <v>402.6</v>
      </c>
      <c r="E23" s="66" t="s">
        <v>91</v>
      </c>
      <c r="F23" s="67" t="s">
        <v>92</v>
      </c>
      <c r="G23" s="67" t="s">
        <v>93</v>
      </c>
      <c r="H23" s="68" t="s">
        <v>95</v>
      </c>
      <c r="I23" s="98" t="s">
        <v>122</v>
      </c>
      <c r="J23" s="98"/>
      <c r="K23" s="99"/>
      <c r="L23">
        <f t="shared" si="1"/>
        <v>12.219066666666668</v>
      </c>
      <c r="M23">
        <f t="shared" si="0"/>
        <v>27</v>
      </c>
      <c r="N23" s="5">
        <f>IF(ISBLANK(Distance),"",Open_time Control_1+(INT(Open)&amp;":"&amp;IF(ROUND(((Open-INT(Open))*60),0)&lt;10,0,"")&amp;ROUND(((Open-INT(Open))*60),0)))</f>
        <v>45056.759027777778</v>
      </c>
      <c r="O23" s="5">
        <f>IF(ISBLANK(Distance),"",Open_time Control_1+(INT(Close)&amp;":"&amp;IF(ROUND(((Close-INT(Close))*60),0)&lt;10,0,"")&amp;ROUND(((Close-INT(Close))*60),0)))</f>
        <v>45057.375</v>
      </c>
    </row>
    <row r="24" spans="2:17" ht="17" customHeight="1" thickBot="1" x14ac:dyDescent="0.2">
      <c r="B24" s="72"/>
      <c r="C24" s="3" t="s">
        <v>16</v>
      </c>
      <c r="D24" s="47"/>
      <c r="E24" s="69"/>
      <c r="F24" s="70"/>
      <c r="G24" s="70"/>
      <c r="H24" s="71"/>
      <c r="I24" s="70"/>
      <c r="J24" s="70"/>
      <c r="K24" s="71"/>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56"/>
      <c r="E25" s="57"/>
      <c r="F25" s="58"/>
      <c r="G25" s="58"/>
      <c r="H25" s="58"/>
      <c r="I25" s="58"/>
      <c r="J25" s="58"/>
      <c r="K25" s="59"/>
      <c r="N25" s="5"/>
      <c r="O25" s="5"/>
    </row>
    <row r="26" spans="2:17" ht="14" thickBot="1" x14ac:dyDescent="0.2">
      <c r="D26" s="101" t="s">
        <v>77</v>
      </c>
      <c r="E26" s="102"/>
      <c r="F26" s="102"/>
      <c r="G26" s="102"/>
      <c r="H26" s="102"/>
      <c r="I26" s="110" t="s">
        <v>72</v>
      </c>
      <c r="J26" s="102"/>
      <c r="K26" s="103"/>
    </row>
    <row r="27" spans="2:17" ht="14" thickBot="1" x14ac:dyDescent="0.2">
      <c r="D27" s="6" t="s">
        <v>24</v>
      </c>
      <c r="E27" s="7" t="s">
        <v>25</v>
      </c>
      <c r="F27" s="54" t="s">
        <v>26</v>
      </c>
      <c r="G27" s="54" t="s">
        <v>27</v>
      </c>
      <c r="H27" s="55" t="s">
        <v>28</v>
      </c>
      <c r="I27" s="7" t="s">
        <v>60</v>
      </c>
      <c r="J27" s="7" t="s">
        <v>61</v>
      </c>
      <c r="K27" s="8" t="s">
        <v>62</v>
      </c>
      <c r="L27" t="s">
        <v>3</v>
      </c>
      <c r="M27" t="s">
        <v>4</v>
      </c>
      <c r="N27" t="s">
        <v>5</v>
      </c>
      <c r="O27" t="s">
        <v>6</v>
      </c>
    </row>
    <row r="28" spans="2:17" ht="17" customHeight="1" x14ac:dyDescent="0.2">
      <c r="D28" s="23">
        <v>0</v>
      </c>
      <c r="E28" s="66" t="s">
        <v>124</v>
      </c>
      <c r="F28" s="67" t="s">
        <v>123</v>
      </c>
      <c r="G28" s="67" t="s">
        <v>125</v>
      </c>
      <c r="H28" s="67"/>
      <c r="I28" s="68"/>
      <c r="J28" s="98"/>
      <c r="K28" s="99"/>
      <c r="L28">
        <f>IF(ISBLANK(D28),"",IF(D28&gt;1000,(D28-1000)/26+33.0847,(IF(D28&gt;600,(D28-600)/28+18.799,(IF(D28&gt;400,(D28-400)/30+12.1324,(IF(D28&gt;200,(D28-200)/32+5.8824,D28/34))))))))</f>
        <v>0</v>
      </c>
      <c r="M28">
        <f t="shared" ref="M28:M37" si="2">IF(ISBLANK(D28),"",IF((D28=0),1,IF(D28&gt;=brevet,IF(brevet&gt;1200,(brevet-1200)*75/1000+90,Max_time),IF(D28&gt;1200,(D28-1200)*75/1000+90,IF(D28&gt;1000,(D28-1000)/(1000/75)+75,IF(D28&gt;600,(D28-600)/(400/35)+40,IF(D28&lt;=60,D28/20+1,D28/15)))))))</f>
        <v>1</v>
      </c>
      <c r="N28" s="5">
        <f>IF(ISBLANK(D28),"",Open_time Control_1+(INT(L28)&amp;":"&amp;IF(ROUND(((L28-INT(L28))*60),0)&lt;10,0,"")&amp;ROUND(((L28-INT(L28))*60),0)))</f>
        <v>45056.25</v>
      </c>
      <c r="O28" s="5">
        <f>IF(ISBLANK(D28),"",Open_time Control_1+(INT(M28)&amp;":"&amp;IF(ROUND(((M28-INT(M28))*60),0)&lt;10,0,"")&amp;ROUND(((M28-INT(M28))*60),0)))</f>
        <v>45056.291666666664</v>
      </c>
    </row>
    <row r="29" spans="2:17" ht="17" customHeight="1" x14ac:dyDescent="0.2">
      <c r="D29" s="23">
        <v>45.199999999999989</v>
      </c>
      <c r="E29" s="66" t="s">
        <v>102</v>
      </c>
      <c r="F29" s="67" t="s">
        <v>118</v>
      </c>
      <c r="G29" s="67" t="s">
        <v>103</v>
      </c>
      <c r="H29" s="68" t="s">
        <v>120</v>
      </c>
      <c r="I29" s="98" t="s">
        <v>104</v>
      </c>
      <c r="J29" s="98"/>
      <c r="K29" s="99" t="s">
        <v>105</v>
      </c>
      <c r="L29">
        <f t="shared" ref="L29:L37" si="3">IF(ISBLANK(D29),"",IF(D29&gt;1000,(D29-1000)/26+33.0847,(IF(D29&gt;600,(D29-600)/28+18.799,(IF(D29&gt;400,(D29-400)/30+12.1324,(IF(D29&gt;200,(D29-200)/32+5.8824,D29/34))))))))</f>
        <v>1.3294117647058821</v>
      </c>
      <c r="M29">
        <f t="shared" si="2"/>
        <v>3.2599999999999993</v>
      </c>
      <c r="N29" s="5">
        <f>IF(ISBLANK(D29),"",Open_time Control_1+(INT(L29)&amp;":"&amp;IF(ROUND(((L29-INT(L29))*60),0)&lt;10,0,"")&amp;ROUND(((L29-INT(L29))*60),0)))</f>
        <v>45056.305555555555</v>
      </c>
      <c r="O29" s="5">
        <f>IF(ISBLANK(D29),"",Open_time Control_1+(INT(M29)&amp;":"&amp;IF(ROUND(((M29-INT(M29))*60),0)&lt;10,0,"")&amp;ROUND(((M29-INT(M29))*60),0)))</f>
        <v>45056.386111111111</v>
      </c>
    </row>
    <row r="30" spans="2:17" ht="17" customHeight="1" x14ac:dyDescent="0.2">
      <c r="D30" s="23">
        <v>90.899999999999977</v>
      </c>
      <c r="E30" s="66" t="s">
        <v>106</v>
      </c>
      <c r="F30" s="67" t="s">
        <v>118</v>
      </c>
      <c r="G30" s="67" t="s">
        <v>108</v>
      </c>
      <c r="H30" s="67" t="s">
        <v>107</v>
      </c>
      <c r="I30" s="98" t="s">
        <v>121</v>
      </c>
      <c r="J30" s="98" t="s">
        <v>109</v>
      </c>
      <c r="K30" s="100" t="s">
        <v>127</v>
      </c>
      <c r="L30">
        <f t="shared" si="3"/>
        <v>2.6735294117647053</v>
      </c>
      <c r="M30">
        <f t="shared" si="2"/>
        <v>6.0599999999999987</v>
      </c>
      <c r="N30" s="5">
        <f>IF(ISBLANK(D30),"",Open_time Control_1+(INT(L30)&amp;":"&amp;IF(ROUND(((L30-INT(L30))*60),0)&lt;10,0,"")&amp;ROUND(((L30-INT(L30))*60),0)))</f>
        <v>45056.361111111109</v>
      </c>
      <c r="O30" s="5">
        <f>IF(ISBLANK(D30),"",Open_time Control_1+(INT(M30)&amp;":"&amp;IF(ROUND(((M30-INT(M30))*60),0)&lt;10,0,"")&amp;ROUND(((M30-INT(M30))*60),0)))</f>
        <v>45056.50277777778</v>
      </c>
    </row>
    <row r="31" spans="2:17" ht="17" customHeight="1" x14ac:dyDescent="0.2">
      <c r="D31" s="23">
        <v>105.59999999999997</v>
      </c>
      <c r="E31" s="66" t="s">
        <v>110</v>
      </c>
      <c r="F31" s="67" t="s">
        <v>118</v>
      </c>
      <c r="G31" s="68" t="s">
        <v>112</v>
      </c>
      <c r="H31" s="67" t="s">
        <v>111</v>
      </c>
      <c r="I31" s="98" t="s">
        <v>113</v>
      </c>
      <c r="J31" s="98"/>
      <c r="K31" s="100"/>
      <c r="L31">
        <f t="shared" si="3"/>
        <v>3.1058823529411757</v>
      </c>
      <c r="M31">
        <f t="shared" si="2"/>
        <v>7.0399999999999974</v>
      </c>
      <c r="N31" s="5">
        <f>IF(ISBLANK(D31),"",Open_time Control_1+(INT(L31)&amp;":"&amp;IF(ROUND(((L31-INT(L31))*60),0)&lt;10,0,"")&amp;ROUND(((L31-INT(L31))*60),0)))</f>
        <v>45056.379166666666</v>
      </c>
      <c r="O31" s="5">
        <f>IF(ISBLANK(D31),"",Open_time Control_1+(INT(M31)&amp;":"&amp;IF(ROUND(((M31-INT(M31))*60),0)&lt;10,0,"")&amp;ROUND(((M31-INT(M31))*60),0)))</f>
        <v>45056.543055555558</v>
      </c>
    </row>
    <row r="32" spans="2:17" ht="17" customHeight="1" x14ac:dyDescent="0.2">
      <c r="D32" s="23">
        <v>192.6</v>
      </c>
      <c r="E32" s="66" t="s">
        <v>100</v>
      </c>
      <c r="F32" s="67" t="s">
        <v>118</v>
      </c>
      <c r="G32" s="67" t="s">
        <v>119</v>
      </c>
      <c r="H32" s="68" t="s">
        <v>101</v>
      </c>
      <c r="I32" s="98" t="s">
        <v>126</v>
      </c>
      <c r="J32" s="98"/>
      <c r="K32" s="98" t="s">
        <v>129</v>
      </c>
      <c r="L32">
        <f t="shared" si="3"/>
        <v>5.6647058823529406</v>
      </c>
      <c r="M32">
        <f t="shared" si="2"/>
        <v>12.84</v>
      </c>
      <c r="N32" s="5">
        <f>IF(ISBLANK(D32),"",Open_time Control_1+(INT(L32)&amp;":"&amp;IF(ROUND(((L32-INT(L32))*60),0)&lt;10,0,"")&amp;ROUND(((L32-INT(L32))*60),0)))</f>
        <v>45056.486111111109</v>
      </c>
      <c r="O32" s="5">
        <f>IF(ISBLANK(D32),"",Open_time Control_1+(INT(M32)&amp;":"&amp;IF(ROUND(((M32-INT(M32))*60),0)&lt;10,0,"")&amp;ROUND(((M32-INT(M32))*60),0)))</f>
        <v>45056.784722222219</v>
      </c>
    </row>
    <row r="33" spans="4:15" ht="17" customHeight="1" x14ac:dyDescent="0.2">
      <c r="D33" s="23">
        <v>221.3</v>
      </c>
      <c r="E33" s="66" t="s">
        <v>91</v>
      </c>
      <c r="F33" s="67" t="s">
        <v>92</v>
      </c>
      <c r="G33" s="67" t="s">
        <v>93</v>
      </c>
      <c r="H33" s="68" t="s">
        <v>95</v>
      </c>
      <c r="I33" s="98"/>
      <c r="J33" s="98"/>
      <c r="K33" s="99"/>
      <c r="L33">
        <f t="shared" si="3"/>
        <v>6.548025</v>
      </c>
      <c r="M33">
        <f t="shared" si="2"/>
        <v>14.753333333333334</v>
      </c>
      <c r="N33" s="5">
        <f>IF(ISBLANK(D33),"",Open_time Control_1+(INT(L33)&amp;":"&amp;IF(ROUND(((L33-INT(L33))*60),0)&lt;10,0,"")&amp;ROUND(((L33-INT(L33))*60),0)))</f>
        <v>45056.522916666669</v>
      </c>
      <c r="O33" s="5">
        <f>IF(ISBLANK(D33),"",Open_time Control_1+(INT(M33)&amp;":"&amp;IF(ROUND(((M33-INT(M33))*60),0)&lt;10,0,"")&amp;ROUND(((M33-INT(M33))*60),0)))</f>
        <v>45056.864583333336</v>
      </c>
    </row>
    <row r="34" spans="4:15" ht="17" customHeight="1" x14ac:dyDescent="0.2">
      <c r="D34" s="23">
        <v>250.9</v>
      </c>
      <c r="E34" s="66" t="s">
        <v>96</v>
      </c>
      <c r="F34" s="67" t="s">
        <v>118</v>
      </c>
      <c r="G34" s="67" t="s">
        <v>117</v>
      </c>
      <c r="H34" s="68" t="s">
        <v>97</v>
      </c>
      <c r="I34" s="98" t="s">
        <v>98</v>
      </c>
      <c r="J34" s="98"/>
      <c r="K34" s="99" t="s">
        <v>99</v>
      </c>
      <c r="L34">
        <f t="shared" si="3"/>
        <v>7.4730249999999998</v>
      </c>
      <c r="M34">
        <f t="shared" si="2"/>
        <v>16.726666666666667</v>
      </c>
      <c r="N34" s="5">
        <f>IF(ISBLANK(D34),"",Open_time Control_1+(INT(L34)&amp;":"&amp;IF(ROUND(((L34-INT(L34))*60),0)&lt;10,0,"")&amp;ROUND(((L34-INT(L34))*60),0)))</f>
        <v>45056.561111111114</v>
      </c>
      <c r="O34" s="5">
        <f>IF(ISBLANK(D34),"",Open_time Control_1+(INT(M34)&amp;":"&amp;IF(ROUND(((M34-INT(M34))*60),0)&lt;10,0,"")&amp;ROUND(((M34-INT(M34))*60),0)))</f>
        <v>45056.947222222225</v>
      </c>
    </row>
    <row r="35" spans="4:15" ht="17" customHeight="1" x14ac:dyDescent="0.2">
      <c r="D35" s="23">
        <v>328.4</v>
      </c>
      <c r="E35" s="66" t="s">
        <v>114</v>
      </c>
      <c r="F35" s="67" t="s">
        <v>115</v>
      </c>
      <c r="G35" s="67"/>
      <c r="H35" s="67" t="s">
        <v>116</v>
      </c>
      <c r="I35" s="98"/>
      <c r="J35" s="98"/>
      <c r="K35" s="99"/>
      <c r="L35">
        <f t="shared" si="3"/>
        <v>9.8948999999999998</v>
      </c>
      <c r="M35">
        <f t="shared" si="2"/>
        <v>21.893333333333331</v>
      </c>
      <c r="N35" s="5">
        <f>IF(ISBLANK(D35),"",Open_time Control_1+(INT(L35)&amp;":"&amp;IF(ROUND(((L35-INT(L35))*60),0)&lt;10,0,"")&amp;ROUND(((L35-INT(L35))*60),0)))</f>
        <v>45056.662499999999</v>
      </c>
      <c r="O35" s="5">
        <f>IF(ISBLANK(D35),"",Open_time Control_1+(INT(M35)&amp;":"&amp;IF(ROUND(((M35-INT(M35))*60),0)&lt;10,0,"")&amp;ROUND(((M35-INT(M35))*60),0)))</f>
        <v>45057.162499999999</v>
      </c>
    </row>
    <row r="36" spans="4:15" ht="17" customHeight="1" x14ac:dyDescent="0.2">
      <c r="D36" s="23">
        <v>402.5</v>
      </c>
      <c r="E36" s="66" t="s">
        <v>124</v>
      </c>
      <c r="F36" s="67" t="s">
        <v>123</v>
      </c>
      <c r="G36" s="67" t="s">
        <v>125</v>
      </c>
      <c r="H36" s="67"/>
      <c r="I36" s="68"/>
      <c r="J36" s="98"/>
      <c r="K36" s="99"/>
      <c r="L36">
        <f t="shared" si="3"/>
        <v>12.215733333333334</v>
      </c>
      <c r="M36">
        <f t="shared" si="2"/>
        <v>27</v>
      </c>
      <c r="N36" s="5">
        <f>IF(ISBLANK(D36),"",Open_time Control_1+(INT(L36)&amp;":"&amp;IF(ROUND(((L36-INT(L36))*60),0)&lt;10,0,"")&amp;ROUND(((L36-INT(L36))*60),0)))</f>
        <v>45056.759027777778</v>
      </c>
      <c r="O36" s="5">
        <f>IF(ISBLANK(D36),"",Open_time Control_1+(INT(M36)&amp;":"&amp;IF(ROUND(((M36-INT(M36))*60),0)&lt;10,0,"")&amp;ROUND(((M36-INT(M36))*60),0)))</f>
        <v>45057.375</v>
      </c>
    </row>
    <row r="37" spans="4:15" ht="17" customHeight="1" thickBot="1" x14ac:dyDescent="0.2">
      <c r="D37" s="47"/>
      <c r="E37" s="69"/>
      <c r="F37" s="70"/>
      <c r="G37" s="70"/>
      <c r="H37" s="71"/>
      <c r="I37" s="70"/>
      <c r="J37" s="70"/>
      <c r="K37" s="71"/>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56"/>
      <c r="E38" s="57"/>
      <c r="F38" s="58"/>
      <c r="G38" s="58"/>
      <c r="H38" s="58"/>
      <c r="I38" s="58"/>
      <c r="J38" s="58"/>
      <c r="K38" s="59"/>
      <c r="N38" s="5"/>
      <c r="O38" s="5"/>
    </row>
    <row r="39" spans="4:15" ht="14" thickBot="1" x14ac:dyDescent="0.2">
      <c r="D39" s="101" t="s">
        <v>79</v>
      </c>
      <c r="E39" s="102"/>
      <c r="F39" s="102"/>
      <c r="G39" s="102"/>
      <c r="H39" s="102"/>
      <c r="I39" s="101" t="s">
        <v>78</v>
      </c>
      <c r="J39" s="102"/>
      <c r="K39" s="103"/>
    </row>
    <row r="40" spans="4:15" ht="14" thickBot="1" x14ac:dyDescent="0.2">
      <c r="D40" s="6" t="s">
        <v>24</v>
      </c>
      <c r="E40" s="7" t="s">
        <v>25</v>
      </c>
      <c r="F40" s="54" t="s">
        <v>26</v>
      </c>
      <c r="G40" s="54" t="s">
        <v>27</v>
      </c>
      <c r="H40" s="78" t="s">
        <v>28</v>
      </c>
      <c r="I40" s="7" t="s">
        <v>60</v>
      </c>
      <c r="J40" s="7" t="s">
        <v>61</v>
      </c>
      <c r="K40" s="8" t="s">
        <v>62</v>
      </c>
      <c r="L40" t="s">
        <v>3</v>
      </c>
      <c r="M40" t="s">
        <v>4</v>
      </c>
      <c r="N40" t="s">
        <v>5</v>
      </c>
      <c r="O40" t="s">
        <v>6</v>
      </c>
    </row>
    <row r="41" spans="4:15" ht="17" customHeight="1" x14ac:dyDescent="0.15">
      <c r="D41" s="23"/>
      <c r="E41" s="66"/>
      <c r="F41" s="67"/>
      <c r="G41" s="67"/>
      <c r="H41" s="68"/>
      <c r="I41" s="67"/>
      <c r="J41" s="67"/>
      <c r="K41" s="68"/>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3"/>
      <c r="E42" s="66"/>
      <c r="F42" s="67"/>
      <c r="G42" s="67"/>
      <c r="H42" s="68"/>
      <c r="I42" s="67"/>
      <c r="J42" s="67"/>
      <c r="K42" s="68"/>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3"/>
      <c r="E43" s="66"/>
      <c r="F43" s="67"/>
      <c r="G43" s="67"/>
      <c r="H43" s="68"/>
      <c r="I43" s="67"/>
      <c r="J43" s="67"/>
      <c r="K43" s="68"/>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2">
      <c r="D44" s="23"/>
      <c r="E44" s="66"/>
      <c r="F44" s="67"/>
      <c r="G44" s="67"/>
      <c r="H44" s="68"/>
      <c r="I44" s="98"/>
      <c r="J44" s="98"/>
      <c r="K44" s="98"/>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3"/>
      <c r="E45" s="66"/>
      <c r="F45" s="67"/>
      <c r="G45" s="67"/>
      <c r="H45" s="68"/>
      <c r="I45" s="67"/>
      <c r="J45" s="67"/>
      <c r="K45" s="68"/>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3"/>
      <c r="E46" s="66"/>
      <c r="F46" s="67"/>
      <c r="G46" s="67"/>
      <c r="H46" s="68"/>
      <c r="I46" s="67"/>
      <c r="J46" s="67"/>
      <c r="K46" s="68"/>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3"/>
      <c r="E47" s="66"/>
      <c r="F47" s="67"/>
      <c r="G47" s="67"/>
      <c r="H47" s="68"/>
      <c r="I47" s="67"/>
      <c r="J47" s="67"/>
      <c r="K47" s="68"/>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3"/>
      <c r="E48" s="66"/>
      <c r="F48" s="67"/>
      <c r="G48" s="67"/>
      <c r="H48" s="68"/>
      <c r="I48" s="67"/>
      <c r="J48" s="67"/>
      <c r="K48" s="68"/>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3"/>
      <c r="E49" s="66"/>
      <c r="F49" s="67"/>
      <c r="G49" s="67"/>
      <c r="H49" s="68"/>
      <c r="I49" s="67"/>
      <c r="J49" s="67"/>
      <c r="K49" s="68"/>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47"/>
      <c r="E50" s="69"/>
      <c r="F50" s="70"/>
      <c r="G50" s="70"/>
      <c r="H50" s="71"/>
      <c r="I50" s="70"/>
      <c r="J50" s="70"/>
      <c r="K50" s="71"/>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56"/>
      <c r="E51" s="57"/>
      <c r="F51" s="58"/>
      <c r="G51" s="58"/>
      <c r="H51" s="58"/>
      <c r="I51" s="58"/>
      <c r="J51" s="58"/>
      <c r="K51" s="59"/>
      <c r="N51" s="5"/>
      <c r="O51" s="5"/>
    </row>
    <row r="52" spans="4:15" ht="14" thickBot="1" x14ac:dyDescent="0.2">
      <c r="D52" s="101" t="s">
        <v>87</v>
      </c>
      <c r="E52" s="102"/>
      <c r="F52" s="102"/>
      <c r="G52" s="102"/>
      <c r="H52" s="102"/>
      <c r="I52" s="101" t="s">
        <v>88</v>
      </c>
      <c r="J52" s="102"/>
      <c r="K52" s="103"/>
    </row>
    <row r="53" spans="4:15" ht="14" thickBot="1" x14ac:dyDescent="0.2">
      <c r="D53" s="6" t="s">
        <v>24</v>
      </c>
      <c r="E53" s="7" t="s">
        <v>25</v>
      </c>
      <c r="F53" s="54" t="s">
        <v>26</v>
      </c>
      <c r="G53" s="54" t="s">
        <v>27</v>
      </c>
      <c r="H53" s="78" t="s">
        <v>28</v>
      </c>
      <c r="I53" s="7" t="s">
        <v>60</v>
      </c>
      <c r="J53" s="7" t="s">
        <v>61</v>
      </c>
      <c r="K53" s="8" t="s">
        <v>62</v>
      </c>
      <c r="L53" t="s">
        <v>3</v>
      </c>
      <c r="M53" t="s">
        <v>4</v>
      </c>
      <c r="N53" t="s">
        <v>5</v>
      </c>
      <c r="O53" t="s">
        <v>6</v>
      </c>
    </row>
    <row r="54" spans="4:15" ht="17" customHeight="1" x14ac:dyDescent="0.15">
      <c r="D54" s="23"/>
      <c r="E54" s="66"/>
      <c r="F54" s="67"/>
      <c r="G54" s="67"/>
      <c r="H54" s="68"/>
      <c r="I54" s="67"/>
      <c r="J54" s="67"/>
      <c r="K54" s="68"/>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3"/>
      <c r="E55" s="66"/>
      <c r="F55" s="67"/>
      <c r="G55" s="67"/>
      <c r="H55" s="68"/>
      <c r="I55" s="67"/>
      <c r="J55" s="67"/>
      <c r="K55" s="68"/>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3"/>
      <c r="E56" s="66"/>
      <c r="F56" s="67"/>
      <c r="G56" s="67"/>
      <c r="H56" s="68"/>
      <c r="I56" s="67"/>
      <c r="J56" s="67"/>
      <c r="K56" s="68"/>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3"/>
      <c r="E57" s="66"/>
      <c r="F57" s="67"/>
      <c r="G57" s="67"/>
      <c r="H57" s="68"/>
      <c r="I57" s="67"/>
      <c r="J57" s="67"/>
      <c r="K57" s="68"/>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3"/>
      <c r="E58" s="66"/>
      <c r="F58" s="67"/>
      <c r="G58" s="67"/>
      <c r="H58" s="68"/>
      <c r="I58" s="67"/>
      <c r="J58" s="67"/>
      <c r="K58" s="68"/>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3"/>
      <c r="E59" s="66"/>
      <c r="F59" s="67"/>
      <c r="G59" s="67"/>
      <c r="H59" s="68"/>
      <c r="I59" s="67"/>
      <c r="J59" s="67"/>
      <c r="K59" s="68"/>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3"/>
      <c r="E60" s="66"/>
      <c r="F60" s="67"/>
      <c r="G60" s="67"/>
      <c r="H60" s="68"/>
      <c r="I60" s="67"/>
      <c r="J60" s="67"/>
      <c r="K60" s="68"/>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3"/>
      <c r="E61" s="66"/>
      <c r="F61" s="67"/>
      <c r="G61" s="67"/>
      <c r="H61" s="68"/>
      <c r="I61" s="67"/>
      <c r="J61" s="67"/>
      <c r="K61" s="68"/>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3"/>
      <c r="E62" s="66"/>
      <c r="F62" s="67"/>
      <c r="G62" s="67"/>
      <c r="H62" s="68"/>
      <c r="I62" s="67"/>
      <c r="J62" s="67"/>
      <c r="K62" s="68"/>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47"/>
      <c r="E63" s="69"/>
      <c r="F63" s="70"/>
      <c r="G63" s="70"/>
      <c r="H63" s="71"/>
      <c r="I63" s="70"/>
      <c r="J63" s="70"/>
      <c r="K63" s="71"/>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hXqSV0bU1chupEFDmG8jcGyvWNS5PnswRem4CQMjxQ0nMAu2s0QEHhTqcZepwEmcZ4YXOuX/yUKRZfDjv3IWAw==" saltValue="rHiEE/Oer+IiCcmxqua5ww=="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14" zoomScale="92" zoomScaleNormal="92" zoomScalePageLayoutView="92" workbookViewId="0">
      <selection activeCell="F20" sqref="F20"/>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customWidth="1"/>
    <col min="9" max="9" width="12" customWidth="1"/>
    <col min="12" max="14" width="9" customWidth="1"/>
    <col min="18" max="19" width="8.83203125" customWidth="1"/>
  </cols>
  <sheetData>
    <row r="1" spans="1:22" ht="21" thickBot="1" x14ac:dyDescent="0.2">
      <c r="A1" s="118" t="s">
        <v>80</v>
      </c>
      <c r="B1" s="118"/>
      <c r="C1" s="118"/>
      <c r="D1" s="118"/>
      <c r="E1" s="118"/>
      <c r="F1" s="118"/>
      <c r="G1" s="118"/>
      <c r="H1" s="24" t="s">
        <v>29</v>
      </c>
    </row>
    <row r="2" spans="1:22" ht="33.75" customHeight="1" thickBot="1" x14ac:dyDescent="0.25">
      <c r="A2" s="65" t="s">
        <v>30</v>
      </c>
      <c r="B2" s="9" t="s">
        <v>3</v>
      </c>
      <c r="C2" s="9" t="s">
        <v>4</v>
      </c>
      <c r="D2" s="9" t="s">
        <v>25</v>
      </c>
      <c r="E2" s="9" t="s">
        <v>31</v>
      </c>
      <c r="F2" s="9" t="s">
        <v>59</v>
      </c>
      <c r="G2" s="65" t="s">
        <v>32</v>
      </c>
      <c r="H2" s="24" t="s">
        <v>29</v>
      </c>
      <c r="K2" s="117" t="s">
        <v>55</v>
      </c>
      <c r="L2" s="117"/>
      <c r="M2" s="117"/>
      <c r="N2" s="117"/>
      <c r="O2" s="117"/>
      <c r="P2" s="117"/>
      <c r="Q2" s="117"/>
      <c r="R2" s="117"/>
      <c r="S2" s="117"/>
      <c r="T2" s="117"/>
      <c r="U2" s="117"/>
    </row>
    <row r="3" spans="1:22" ht="36" customHeight="1" x14ac:dyDescent="0.45">
      <c r="A3" s="25"/>
      <c r="B3" s="26">
        <f>Control_1 Open_time</f>
        <v>45056.25</v>
      </c>
      <c r="C3" s="26">
        <f>Control_1 Close_time</f>
        <v>45056.291666666664</v>
      </c>
      <c r="D3" s="27"/>
      <c r="E3" s="28" t="str">
        <f>IF(ISBLANK(Control_1 Establishment_1),"",Control_1 Establishment_1)</f>
        <v>Tim Hortons</v>
      </c>
      <c r="F3" s="85" t="str">
        <f>IF(ISBLANK('Control Entry'!I15),"",'Control Entry'!I15)</f>
        <v/>
      </c>
      <c r="G3" s="86"/>
      <c r="H3" s="24" t="s">
        <v>29</v>
      </c>
      <c r="K3" s="14"/>
      <c r="O3" s="135" t="s">
        <v>33</v>
      </c>
      <c r="P3" s="135"/>
      <c r="Q3" s="135"/>
      <c r="R3" s="135"/>
      <c r="S3" s="75" t="str">
        <f>IF('Control Entry'!D28=0,"","#1")</f>
        <v/>
      </c>
      <c r="U3" s="38"/>
    </row>
    <row r="4" spans="1:22" ht="36" customHeight="1" x14ac:dyDescent="0.2">
      <c r="A4" s="34">
        <f>IF(ISBLANK(Distance Control_1),"",Control_1 Distance)</f>
        <v>0</v>
      </c>
      <c r="B4" s="35">
        <f>Control_1 Open_time</f>
        <v>45056.25</v>
      </c>
      <c r="C4" s="35">
        <f>Control_1 Close_time</f>
        <v>45056.291666666664</v>
      </c>
      <c r="D4" s="36" t="str">
        <f>IF(ISBLANK(Locale Control_1),"",Locale Control_1)</f>
        <v>NANAIMO</v>
      </c>
      <c r="E4" s="28" t="str">
        <f>IF(ISBLANK(Control_1 Establishment_2),"",Control_1 Establishment_2)</f>
        <v>Brooks Landing</v>
      </c>
      <c r="F4" s="85" t="str">
        <f>IF(ISBLANK('Control Entry'!J15),"",'Control Entry'!J15)</f>
        <v/>
      </c>
      <c r="G4" s="86"/>
      <c r="H4" s="24" t="s">
        <v>29</v>
      </c>
      <c r="K4" s="14"/>
      <c r="M4" s="120" t="str">
        <f>IF(ISBLANK(brevet),"",brevet&amp;" km Randonnée")</f>
        <v>400 km Randonnée</v>
      </c>
      <c r="N4" s="120"/>
      <c r="O4" s="120"/>
      <c r="P4" s="120"/>
      <c r="Q4" s="120"/>
      <c r="R4" s="120"/>
      <c r="S4" s="120"/>
      <c r="T4" s="120"/>
      <c r="U4" s="39"/>
    </row>
    <row r="5" spans="1:22" ht="36" customHeight="1" thickBot="1" x14ac:dyDescent="0.25">
      <c r="A5" s="29"/>
      <c r="B5" s="30">
        <f>Control_1 Open_time</f>
        <v>45056.25</v>
      </c>
      <c r="C5" s="30">
        <f>Control_1 Close_time</f>
        <v>45056.291666666664</v>
      </c>
      <c r="D5" s="31"/>
      <c r="E5" s="32" t="str">
        <f>IF(ISBLANK(Control_1 Establishment_3),"",Control_1 Establishment_3)</f>
        <v>Island Hwy @ Departure Bay Rd</v>
      </c>
      <c r="F5" s="90" t="str">
        <f>IF(ISBLANK('Control Entry'!K15),"",'Control Entry'!K15)</f>
        <v/>
      </c>
      <c r="G5" s="89"/>
      <c r="H5" s="24" t="s">
        <v>29</v>
      </c>
      <c r="K5" s="14"/>
      <c r="M5" s="15"/>
      <c r="N5" s="111" t="s">
        <v>47</v>
      </c>
      <c r="O5" s="111"/>
      <c r="P5" s="52">
        <f>IF(ISBLANK(Brevet_Number),"",Brevet_Number)</f>
        <v>5271</v>
      </c>
      <c r="Q5" s="53"/>
      <c r="R5" s="123">
        <f>IF(ISBLANK('Control Entry'!$B10),"",'Control Entry'!$B10)</f>
        <v>45056</v>
      </c>
      <c r="S5" s="123"/>
      <c r="T5" s="123"/>
      <c r="U5" s="123"/>
      <c r="V5" s="40"/>
    </row>
    <row r="6" spans="1:22" ht="36" customHeight="1" x14ac:dyDescent="0.2">
      <c r="A6" s="25"/>
      <c r="B6" s="26">
        <f>Control_2 Open_time</f>
        <v>45056.286111111112</v>
      </c>
      <c r="C6" s="26">
        <f>Control_2 Close_time</f>
        <v>45056.353472222225</v>
      </c>
      <c r="D6" s="33"/>
      <c r="E6" s="28" t="str">
        <f>IF(ISBLANK(Control_2 Establishment_1),"",Control_2 Establishment_1)</f>
        <v>INFORMATION</v>
      </c>
      <c r="F6" s="85" t="str">
        <f>IF(ISBLANK('Control Entry'!I16),"",'Control Entry'!I16)</f>
        <v>Green 49th Parallel sign</v>
      </c>
      <c r="G6" s="86"/>
      <c r="H6" s="24" t="s">
        <v>29</v>
      </c>
      <c r="K6" s="14"/>
      <c r="L6" s="138" t="str">
        <f>IF(ISBLANK(Brevet_Description),"",Brevet_Description)</f>
        <v>SRW Parallels with Latitude</v>
      </c>
      <c r="M6" s="138"/>
      <c r="N6" s="138"/>
      <c r="O6" s="138"/>
      <c r="P6" s="138"/>
      <c r="Q6" s="138"/>
      <c r="R6" s="138"/>
      <c r="S6" s="138"/>
      <c r="T6" s="138"/>
      <c r="U6" s="138"/>
    </row>
    <row r="7" spans="1:22" ht="36" customHeight="1" x14ac:dyDescent="0.2">
      <c r="A7" s="34">
        <f>IF(ISBLANK(Distance Control_2),"",Control_2 Distance)</f>
        <v>29.6</v>
      </c>
      <c r="B7" s="35">
        <f>Control_2 Open_time</f>
        <v>45056.286111111112</v>
      </c>
      <c r="C7" s="35">
        <f>Control_2 Close_time</f>
        <v>45056.353472222225</v>
      </c>
      <c r="D7" s="36" t="str">
        <f>IF(ISBLANK(Locale Control_2),"",Locale Control_2)</f>
        <v>LADYSMITH</v>
      </c>
      <c r="E7" s="48" t="str">
        <f>IF(ISBLANK(Control_2 Establishment_2),"",Control_2 Establishment_2)</f>
        <v>Aggie Hall Plaza by tractor</v>
      </c>
      <c r="F7" s="87" t="str">
        <f>IF(ISBLANK('Control Entry'!J16),"",'Control Entry'!J16)</f>
        <v/>
      </c>
      <c r="G7" s="86"/>
      <c r="H7" s="24" t="s">
        <v>29</v>
      </c>
      <c r="J7" s="74"/>
      <c r="L7" s="74"/>
    </row>
    <row r="8" spans="1:22" ht="36" customHeight="1" thickBot="1" x14ac:dyDescent="0.25">
      <c r="A8" s="29"/>
      <c r="B8" s="30">
        <f>Control_2 Open_time</f>
        <v>45056.286111111112</v>
      </c>
      <c r="C8" s="30">
        <f>Control_2 Close_time</f>
        <v>45056.353472222225</v>
      </c>
      <c r="D8" s="31"/>
      <c r="E8" s="73" t="str">
        <f>IF(ISBLANK(Control_2 Establishment_3),"",Control_2 Establishment_3)</f>
        <v>1st Ave @ Symonds St</v>
      </c>
      <c r="F8" s="88" t="str">
        <f>IF(ISBLANK('Control Entry'!K16),"",'Control Entry'!K16)</f>
        <v>The __________treaty of 1846?</v>
      </c>
      <c r="G8" s="89"/>
      <c r="H8" s="24" t="s">
        <v>29</v>
      </c>
      <c r="J8" s="15" t="s">
        <v>34</v>
      </c>
      <c r="L8" s="124"/>
      <c r="M8" s="124"/>
      <c r="N8" s="124"/>
      <c r="O8" s="124"/>
      <c r="P8" s="124"/>
      <c r="Q8" s="124"/>
      <c r="S8" s="41" t="s">
        <v>46</v>
      </c>
      <c r="T8" s="131"/>
      <c r="U8" s="131"/>
    </row>
    <row r="9" spans="1:22" ht="36" customHeight="1" thickBot="1" x14ac:dyDescent="0.3">
      <c r="A9" s="25"/>
      <c r="B9" s="26">
        <f>Control_3 Open_time</f>
        <v>45056.359027777777</v>
      </c>
      <c r="C9" s="26">
        <f>Control_3 Close_time</f>
        <v>45056.49722222222</v>
      </c>
      <c r="D9" s="33"/>
      <c r="E9" s="28" t="str">
        <f>IF(ISBLANK(Control_3 Establishment_1),"",Control_3 Establishment_1)</f>
        <v>INFORMATION</v>
      </c>
      <c r="F9" s="85" t="str">
        <f>IF(ISBLANK('Control Entry'!I17),"",'Control Entry'!I17)</f>
        <v>Bottom right bird</v>
      </c>
      <c r="G9" s="86"/>
      <c r="H9" s="24" t="s">
        <v>29</v>
      </c>
      <c r="J9" s="15" t="s">
        <v>35</v>
      </c>
      <c r="K9" s="15"/>
      <c r="L9" s="140" t="s">
        <v>54</v>
      </c>
      <c r="M9" s="140"/>
      <c r="N9" s="140"/>
      <c r="O9" s="140"/>
      <c r="P9" s="140"/>
      <c r="Q9" s="140"/>
      <c r="R9" s="140"/>
      <c r="S9" s="140"/>
      <c r="T9" s="140"/>
      <c r="U9" s="140"/>
    </row>
    <row r="10" spans="1:22" ht="36" customHeight="1" thickBot="1" x14ac:dyDescent="0.3">
      <c r="A10" s="34">
        <f>IF(ISBLANK(Distance Control_3),"",Control_3 Distance)</f>
        <v>89</v>
      </c>
      <c r="B10" s="35">
        <f>Control_3 Open_time</f>
        <v>45056.359027777777</v>
      </c>
      <c r="C10" s="35">
        <f>Control_3 Close_time</f>
        <v>45056.49722222222</v>
      </c>
      <c r="D10" s="36" t="str">
        <f>IF(ISBLANK(Locale Control_3),"",Locale Control_3)</f>
        <v>NANOOSE</v>
      </c>
      <c r="E10" s="28" t="str">
        <f>IF(ISBLANK(Control_3 Establishment_2),"",Control_3 Establishment_2)</f>
        <v>Beachcomber Regional Park</v>
      </c>
      <c r="F10" s="85" t="str">
        <f>IF(ISBLANK('Control Entry'!J17),"",'Control Entry'!J17)</f>
        <v/>
      </c>
      <c r="G10" s="86"/>
      <c r="H10" s="24" t="s">
        <v>29</v>
      </c>
      <c r="J10" s="15"/>
      <c r="K10" s="15"/>
      <c r="L10" s="133"/>
      <c r="M10" s="133"/>
      <c r="N10" s="133"/>
      <c r="O10" s="133"/>
      <c r="P10" s="133"/>
      <c r="Q10" s="133"/>
      <c r="R10" s="133"/>
      <c r="S10" s="133"/>
      <c r="T10" s="133"/>
      <c r="U10" s="133"/>
    </row>
    <row r="11" spans="1:22" ht="36" customHeight="1" thickBot="1" x14ac:dyDescent="0.3">
      <c r="A11" s="29"/>
      <c r="B11" s="30">
        <f>Control_3 Open_time</f>
        <v>45056.359027777777</v>
      </c>
      <c r="C11" s="30">
        <f>Control_3 Close_time</f>
        <v>45056.49722222222</v>
      </c>
      <c r="D11" s="31"/>
      <c r="E11" s="32" t="str">
        <f>IF(ISBLANK(Control_3 Establishment_3),"",Control_3 Establishment_3)</f>
        <v>Info sign @ 1326 Marina</v>
      </c>
      <c r="F11" s="90" t="str">
        <f>IF(ISBLANK('Control Entry'!K17),"",'Control Entry'!K17)</f>
        <v>Yellow ________Warbler?</v>
      </c>
      <c r="G11" s="89"/>
      <c r="H11" s="24" t="s">
        <v>29</v>
      </c>
      <c r="J11" s="15" t="s">
        <v>36</v>
      </c>
      <c r="K11" s="15"/>
      <c r="L11" s="133"/>
      <c r="M11" s="133"/>
      <c r="N11" s="133"/>
      <c r="O11" s="15"/>
      <c r="P11" s="15" t="s">
        <v>37</v>
      </c>
      <c r="Q11" s="15"/>
      <c r="R11" s="15"/>
      <c r="S11" s="121"/>
      <c r="T11" s="121"/>
      <c r="U11" s="121"/>
    </row>
    <row r="12" spans="1:22" ht="36" customHeight="1" thickBot="1" x14ac:dyDescent="0.3">
      <c r="A12" s="25"/>
      <c r="B12" s="26">
        <f>Control_4 Open_time</f>
        <v>45056.481249999997</v>
      </c>
      <c r="C12" s="26">
        <f>Control_4 Close_time</f>
        <v>45056.774305555555</v>
      </c>
      <c r="D12" s="33"/>
      <c r="E12" s="28" t="str">
        <f>IF(ISBLANK(Control_4 Establishment_1),"",Control_4 Establishment_1)</f>
        <v>STAFFED</v>
      </c>
      <c r="F12" s="85" t="str">
        <f>IF(ISBLANK('Control Entry'!I18),"",'Control Entry'!I18)</f>
        <v/>
      </c>
      <c r="G12" s="86"/>
      <c r="H12" s="24" t="s">
        <v>29</v>
      </c>
      <c r="J12" s="15" t="s">
        <v>38</v>
      </c>
      <c r="K12" s="15"/>
      <c r="L12" s="133"/>
      <c r="M12" s="133"/>
      <c r="N12" s="133"/>
      <c r="O12" s="15"/>
      <c r="P12" s="15" t="s">
        <v>39</v>
      </c>
      <c r="Q12" s="15"/>
      <c r="R12" s="15"/>
      <c r="S12" s="121"/>
      <c r="T12" s="121"/>
      <c r="U12" s="121"/>
    </row>
    <row r="13" spans="1:22" ht="36" customHeight="1" thickBot="1" x14ac:dyDescent="0.3">
      <c r="A13" s="34">
        <f>IF(ISBLANK(Distance Control_4),"",Control_4 Distance)</f>
        <v>188.8</v>
      </c>
      <c r="B13" s="35">
        <f>Control_4 Open_time</f>
        <v>45056.481249999997</v>
      </c>
      <c r="C13" s="35">
        <f>Control_4 Close_time</f>
        <v>45056.774305555555</v>
      </c>
      <c r="D13" s="36" t="str">
        <f>IF(ISBLANK(Locale Control_4),"",Locale Control_4)</f>
        <v>LITTLE RIVER</v>
      </c>
      <c r="E13" s="28" t="str">
        <f>IF(ISBLANK(Control_4 Establishment_2),"",Control_4 Establishment_2)</f>
        <v>1938 Singing Sands Rd</v>
      </c>
      <c r="F13" s="85" t="str">
        <f>IF(ISBLANK('Control Entry'!J18),"",'Control Entry'!J18)</f>
        <v/>
      </c>
      <c r="G13" s="86"/>
      <c r="H13" s="24" t="s">
        <v>29</v>
      </c>
      <c r="J13" s="15" t="s">
        <v>40</v>
      </c>
      <c r="L13" s="143"/>
      <c r="M13" s="143"/>
      <c r="N13" s="143"/>
      <c r="P13" s="15" t="s">
        <v>41</v>
      </c>
      <c r="Q13" s="15"/>
      <c r="R13" s="122"/>
      <c r="S13" s="122"/>
      <c r="T13" s="122"/>
      <c r="U13" s="122"/>
    </row>
    <row r="14" spans="1:22" ht="36" customHeight="1" thickBot="1" x14ac:dyDescent="0.25">
      <c r="A14" s="29"/>
      <c r="B14" s="30">
        <f>Control_4 Open_time</f>
        <v>45056.481249999997</v>
      </c>
      <c r="C14" s="30">
        <f>Control_4 Close_time</f>
        <v>45056.774305555555</v>
      </c>
      <c r="D14" s="31"/>
      <c r="E14" s="32" t="str">
        <f>IF(ISBLANK(Control_4 Establishment_3),"",Control_4 Establishment_3)</f>
        <v/>
      </c>
      <c r="F14" s="90" t="str">
        <f>IF(ISBLANK('Control Entry'!K18),"",'Control Entry'!K18)</f>
        <v/>
      </c>
      <c r="G14" s="89"/>
      <c r="H14" s="24" t="s">
        <v>29</v>
      </c>
    </row>
    <row r="15" spans="1:22" ht="36" customHeight="1" x14ac:dyDescent="0.2">
      <c r="A15" s="25"/>
      <c r="B15" s="26">
        <f>Control_5 Open_time</f>
        <v>45056.539583333331</v>
      </c>
      <c r="C15" s="26">
        <f>Control_5 Close_time</f>
        <v>45056.9</v>
      </c>
      <c r="D15" s="33"/>
      <c r="E15" s="28" t="str">
        <f>IF(ISBLANK(Control_5 Establishment_1),"",Control_5 Establishment_1)</f>
        <v>INFORMATION</v>
      </c>
      <c r="F15" s="85" t="str">
        <f>IF(ISBLANK('Control Entry'!I19),"",'Control Entry'!I19)</f>
        <v>Small blue sign 10 metres south</v>
      </c>
      <c r="G15" s="86"/>
      <c r="H15" s="24" t="s">
        <v>29</v>
      </c>
      <c r="J15" s="15"/>
      <c r="L15" s="137" t="s">
        <v>58</v>
      </c>
      <c r="M15" s="137"/>
      <c r="N15" s="137"/>
      <c r="O15" s="137"/>
      <c r="P15" s="137"/>
      <c r="Q15" s="137"/>
      <c r="R15" s="137"/>
      <c r="S15" s="137"/>
      <c r="T15" s="137"/>
      <c r="U15" s="137"/>
    </row>
    <row r="16" spans="1:22" ht="36" customHeight="1" thickBot="1" x14ac:dyDescent="0.25">
      <c r="A16" s="34">
        <f>IF(ISBLANK(Distance Control_5),"",Control_5 Distance)</f>
        <v>234</v>
      </c>
      <c r="B16" s="35">
        <f>Control_5 Open_time</f>
        <v>45056.539583333331</v>
      </c>
      <c r="C16" s="35">
        <f>Control_5 Close_time</f>
        <v>45056.9</v>
      </c>
      <c r="D16" s="36" t="str">
        <f>IF(ISBLANK(Locale Control_5),"",Locale Control_5)</f>
        <v>CAMPBELL RIVER</v>
      </c>
      <c r="E16" s="28" t="str">
        <f>IF(ISBLANK(Control_5 Establishment_2),"",Control_5 Establishment_2)</f>
        <v>50th Parallel Marker</v>
      </c>
      <c r="F16" s="85" t="str">
        <f>IF(ISBLANK('Control Entry'!J19),"",'Control Entry'!J19)</f>
        <v/>
      </c>
      <c r="G16" s="86"/>
      <c r="H16" s="24" t="s">
        <v>29</v>
      </c>
      <c r="L16" s="141"/>
      <c r="M16" s="141"/>
      <c r="N16" s="141"/>
      <c r="O16" s="141"/>
      <c r="P16" s="141"/>
      <c r="Q16" s="141"/>
      <c r="R16" s="141"/>
      <c r="S16" s="141"/>
      <c r="T16" s="141"/>
      <c r="U16" s="141"/>
    </row>
    <row r="17" spans="1:22" ht="36" customHeight="1" thickBot="1" x14ac:dyDescent="0.25">
      <c r="A17" s="29"/>
      <c r="B17" s="30">
        <f>Control_5 Open_time</f>
        <v>45056.539583333331</v>
      </c>
      <c r="C17" s="30">
        <f>Control_5 Close_time</f>
        <v>45056.9</v>
      </c>
      <c r="D17" s="31"/>
      <c r="E17" s="32" t="str">
        <f>IF(ISBLANK(Control_5 Establishment_3),"",Control_5 Establishment_3)</f>
        <v>Seawalk (Island Hwy 19A)</v>
      </c>
      <c r="F17" s="90" t="str">
        <f>IF(ISBLANK('Control Entry'!K19),"",'Control Entry'!K19)</f>
        <v>50th Parallel on this___________?</v>
      </c>
      <c r="G17" s="89"/>
      <c r="H17" s="24" t="s">
        <v>29</v>
      </c>
    </row>
    <row r="18" spans="1:22" ht="36" customHeight="1" x14ac:dyDescent="0.2">
      <c r="A18" s="25"/>
      <c r="B18" s="26">
        <f>Control_6 Open_time</f>
        <v>45056.598611111112</v>
      </c>
      <c r="C18" s="26">
        <f>Control_6 Close_time</f>
        <v>45057.027083333334</v>
      </c>
      <c r="D18" s="33"/>
      <c r="E18" s="28" t="str">
        <f>IF(ISBLANK(Control_6 Establishment_1),"",Control_6 Establishment_1)</f>
        <v>INFORMATION</v>
      </c>
      <c r="F18" s="85" t="str">
        <f>IF(ISBLANK('Control Entry'!I20),"",'Control Entry'!I20)</f>
        <v>Superbox 1 (left side)</v>
      </c>
      <c r="G18" s="86"/>
      <c r="H18" s="24" t="s">
        <v>29</v>
      </c>
    </row>
    <row r="19" spans="1:22" ht="36" customHeight="1" x14ac:dyDescent="0.2">
      <c r="A19" s="34">
        <f>IF(ISBLANK(Distance Control_6),"",Control_6 Distance)</f>
        <v>279.7</v>
      </c>
      <c r="B19" s="35">
        <f>Control_6 Open_time</f>
        <v>45056.598611111112</v>
      </c>
      <c r="C19" s="35">
        <f>Control_6 Close_time</f>
        <v>45057.027083333334</v>
      </c>
      <c r="D19" s="36" t="str">
        <f>IF(ISBLANK(Locale Control_6),"",Locale Control_6)</f>
        <v>COURTENAY</v>
      </c>
      <c r="E19" s="28" t="str">
        <f>IF(ISBLANK(Control_6 Establishment_2),"",Control_6 Establishment_2)</f>
        <v>Mailboxes</v>
      </c>
      <c r="F19" s="87" t="str">
        <f>IF(ISBLANK('Control Entry'!J20),"",'Control Entry'!J20)</f>
        <v xml:space="preserve">Number at bottom left </v>
      </c>
      <c r="G19" s="86"/>
      <c r="H19" s="24" t="s">
        <v>29</v>
      </c>
    </row>
    <row r="20" spans="1:22" ht="36" customHeight="1" thickBot="1" x14ac:dyDescent="0.25">
      <c r="A20" s="29"/>
      <c r="B20" s="30">
        <f>Control_6 Open_time</f>
        <v>45056.598611111112</v>
      </c>
      <c r="C20" s="30">
        <f>Control_6 Close_time</f>
        <v>45057.027083333334</v>
      </c>
      <c r="D20" s="31"/>
      <c r="E20" s="32" t="str">
        <f>IF(ISBLANK(Control_6 Establishment_3),"",Control_6 Establishment_3)</f>
        <v>Greaves Cr @ Piercy Rd</v>
      </c>
      <c r="F20" s="88" t="str">
        <f>IF(ISBLANK('Control Entry'!K20),"",'Control Entry'!K20)</f>
        <v>010___?</v>
      </c>
      <c r="G20" s="89"/>
      <c r="H20" s="24" t="s">
        <v>29</v>
      </c>
      <c r="J20" s="50" t="s">
        <v>44</v>
      </c>
      <c r="K20" s="50"/>
      <c r="L20" s="132">
        <f>IF(ISBLANK('Control Entry'!B12),"",'Control Entry'!B12)</f>
        <v>45056</v>
      </c>
      <c r="M20" s="132"/>
      <c r="N20" s="132"/>
      <c r="P20" s="15" t="s">
        <v>0</v>
      </c>
      <c r="Q20" s="15"/>
      <c r="S20" s="136">
        <f>IF(ISBLANK('Control Entry'!B13),"",'Control Entry'!B13)</f>
        <v>0.25</v>
      </c>
      <c r="T20" s="136"/>
      <c r="U20" s="136"/>
    </row>
    <row r="21" spans="1:22" ht="36" customHeight="1" x14ac:dyDescent="0.2">
      <c r="A21" s="25"/>
      <c r="B21" s="26">
        <f>Control_7 Open_time</f>
        <v>45056.618055555555</v>
      </c>
      <c r="C21" s="26">
        <f>Control_7 Close_time</f>
        <v>45057.068055555559</v>
      </c>
      <c r="D21" s="33"/>
      <c r="E21" s="28" t="str">
        <f>IF(ISBLANK(Control_7 Establishment_1),"",Control_7 Establishment_1)</f>
        <v>INFORMATION</v>
      </c>
      <c r="F21" s="85" t="str">
        <f>IF(ISBLANK('Control Entry'!I21),"",'Control Entry'!I21)</f>
        <v>How far to Museum?</v>
      </c>
      <c r="G21" s="86"/>
      <c r="H21" s="24" t="s">
        <v>29</v>
      </c>
      <c r="J21" s="50"/>
      <c r="K21" s="50"/>
      <c r="L21" s="44"/>
      <c r="M21" s="44"/>
      <c r="N21" s="44"/>
      <c r="P21" s="15"/>
      <c r="Q21" s="15"/>
      <c r="S21" s="51"/>
      <c r="T21" s="51"/>
      <c r="U21" s="51"/>
    </row>
    <row r="22" spans="1:22" ht="36" customHeight="1" thickBot="1" x14ac:dyDescent="0.25">
      <c r="A22" s="34">
        <f>IF(ISBLANK(Distance Control_7),"",Control_7 Distance)</f>
        <v>294.39999999999998</v>
      </c>
      <c r="B22" s="35">
        <f>Control_7 Open_time</f>
        <v>45056.618055555555</v>
      </c>
      <c r="C22" s="35">
        <f>Control_7 Close_time</f>
        <v>45057.068055555559</v>
      </c>
      <c r="D22" s="36" t="str">
        <f>IF(ISBLANK(Locale Control_7),"",Locale Control_7)</f>
        <v>CUMBERLAND</v>
      </c>
      <c r="E22" s="28" t="str">
        <f>IF(ISBLANK(Control_7 Establishment_2),"",Control_7 Establishment_2)</f>
        <v>Directional sign by ambulance hall</v>
      </c>
      <c r="F22" s="85" t="str">
        <f>IF(ISBLANK('Control Entry'!J21),"",'Control Entry'!J21)</f>
        <v/>
      </c>
      <c r="G22" s="86"/>
      <c r="H22" s="24" t="s">
        <v>29</v>
      </c>
      <c r="J22" s="50" t="s">
        <v>45</v>
      </c>
      <c r="K22" s="50"/>
      <c r="L22" s="142"/>
      <c r="M22" s="142"/>
      <c r="N22" s="142"/>
      <c r="P22" s="15" t="s">
        <v>1</v>
      </c>
      <c r="Q22" s="15"/>
      <c r="S22" s="139"/>
      <c r="T22" s="139"/>
      <c r="U22" s="139"/>
    </row>
    <row r="23" spans="1:22" ht="36" customHeight="1" thickBot="1" x14ac:dyDescent="0.25">
      <c r="A23" s="29"/>
      <c r="B23" s="30">
        <f>Control_7 Open_time</f>
        <v>45056.618055555555</v>
      </c>
      <c r="C23" s="30">
        <f>Control_7 Close_time</f>
        <v>45057.068055555559</v>
      </c>
      <c r="D23" s="31"/>
      <c r="E23" s="32" t="str">
        <f>IF(ISBLANK(Control_7 Establishment_3),"",Control_7 Establishment_3)</f>
        <v>4th St @ Dunsmuir Ave</v>
      </c>
      <c r="F23" s="90" t="str">
        <f>IF(ISBLANK('Control Entry'!K21),"",'Control Entry'!K21)</f>
        <v/>
      </c>
      <c r="G23" s="89"/>
      <c r="H23" s="24" t="s">
        <v>29</v>
      </c>
      <c r="J23" s="50"/>
      <c r="K23" s="50"/>
      <c r="L23" s="44"/>
      <c r="M23" s="44"/>
      <c r="N23" s="44"/>
      <c r="P23" s="15"/>
      <c r="Q23" s="15"/>
    </row>
    <row r="24" spans="1:22" ht="36" customHeight="1" thickBot="1" x14ac:dyDescent="0.25">
      <c r="A24" s="25"/>
      <c r="B24" s="26">
        <f>Control_8 Open_time</f>
        <v>45056.698611111111</v>
      </c>
      <c r="C24" s="26">
        <f>Control_8 Close_time</f>
        <v>45057.240277777775</v>
      </c>
      <c r="D24" s="33"/>
      <c r="E24" s="28" t="str">
        <f>IF(ISBLANK(Control_8 Establishment_1),"",Control_8 Establishment_1)</f>
        <v>Shell Gas</v>
      </c>
      <c r="F24" s="85" t="str">
        <f>IF(ISBLANK('Control Entry'!I22),"",'Control Entry'!I22)</f>
        <v>Self sign if closed</v>
      </c>
      <c r="G24" s="86"/>
      <c r="H24" s="24" t="s">
        <v>29</v>
      </c>
      <c r="J24" s="139"/>
      <c r="K24" s="139"/>
      <c r="L24" s="139"/>
      <c r="M24" s="139"/>
      <c r="N24" s="139"/>
      <c r="P24" s="15" t="s">
        <v>2</v>
      </c>
      <c r="Q24" s="15"/>
      <c r="S24" s="139"/>
      <c r="T24" s="139"/>
      <c r="U24" s="139"/>
    </row>
    <row r="25" spans="1:22" ht="36" customHeight="1" x14ac:dyDescent="0.2">
      <c r="A25" s="34">
        <f>IF(ISBLANK(Distance Control_8),"",Control_8 Distance)</f>
        <v>356.4</v>
      </c>
      <c r="B25" s="35">
        <f>Control_8 Open_time</f>
        <v>45056.698611111111</v>
      </c>
      <c r="C25" s="35">
        <f>Control_8 Close_time</f>
        <v>45057.240277777775</v>
      </c>
      <c r="D25" s="36" t="str">
        <f>IF(ISBLANK(Locale Control_8),"",Locale Control_8)</f>
        <v>QUALICUM BEACH</v>
      </c>
      <c r="E25" s="28" t="str">
        <f>IF(ISBLANK(Control_8 Establishment_2),"",Control_8 Establishment_2)</f>
        <v>Island Hwy @ Memorial Ave</v>
      </c>
      <c r="F25" s="85" t="str">
        <f>IF(ISBLANK('Control Entry'!J22),"",'Control Entry'!J22)</f>
        <v/>
      </c>
      <c r="G25" s="86"/>
      <c r="H25" s="24" t="s">
        <v>29</v>
      </c>
      <c r="J25" s="134" t="s">
        <v>17</v>
      </c>
      <c r="K25" s="134"/>
      <c r="L25" s="134"/>
      <c r="M25" s="134"/>
      <c r="N25" s="134"/>
      <c r="O25" s="46"/>
      <c r="P25" s="113"/>
      <c r="Q25" s="113"/>
      <c r="R25" s="46"/>
      <c r="S25" s="111"/>
      <c r="T25" s="111"/>
      <c r="U25" s="111"/>
      <c r="V25" s="111"/>
    </row>
    <row r="26" spans="1:22" ht="36" customHeight="1" thickBot="1" x14ac:dyDescent="0.25">
      <c r="A26" s="29"/>
      <c r="B26" s="30">
        <f>Control_8 Open_time</f>
        <v>45056.698611111111</v>
      </c>
      <c r="C26" s="30">
        <f>Control_8 Close_time</f>
        <v>45057.240277777775</v>
      </c>
      <c r="D26" s="31"/>
      <c r="E26" s="32" t="str">
        <f>IF(ISBLANK(Control_8 Establishment_3),"",Control_8 Establishment_3)</f>
        <v/>
      </c>
      <c r="F26" s="90" t="str">
        <f>IF(ISBLANK('Control Entry'!K22),"",'Control Entry'!K22)</f>
        <v/>
      </c>
      <c r="G26" s="89"/>
      <c r="H26" s="24" t="s">
        <v>29</v>
      </c>
    </row>
    <row r="27" spans="1:22" ht="36" customHeight="1" x14ac:dyDescent="0.2">
      <c r="A27" s="25"/>
      <c r="B27" s="26">
        <f>Control_9 Open_time</f>
        <v>45056.759027777778</v>
      </c>
      <c r="C27" s="26">
        <f>Control_9 Close_time</f>
        <v>45057.375</v>
      </c>
      <c r="D27" s="33"/>
      <c r="E27" s="28" t="str">
        <f>IF(ISBLANK(Control_9 Establishment_1),"",Control_9 Establishment_1)</f>
        <v>Tim Hortons</v>
      </c>
      <c r="F27" s="85" t="str">
        <f>IF(ISBLANK('Control Entry'!I23),"",'Control Entry'!I23)</f>
        <v>Self sign if closed</v>
      </c>
      <c r="G27" s="86"/>
      <c r="H27" s="24" t="s">
        <v>29</v>
      </c>
      <c r="K27" s="120" t="s">
        <v>56</v>
      </c>
      <c r="L27" s="113"/>
      <c r="M27" s="45" t="s">
        <v>57</v>
      </c>
      <c r="N27" s="113" t="s">
        <v>49</v>
      </c>
      <c r="O27" s="113"/>
      <c r="P27" s="113" t="s">
        <v>50</v>
      </c>
      <c r="Q27" s="113"/>
      <c r="R27" s="46" t="s">
        <v>51</v>
      </c>
      <c r="S27" s="111" t="s">
        <v>52</v>
      </c>
      <c r="T27" s="111"/>
      <c r="U27" s="111" t="s">
        <v>53</v>
      </c>
      <c r="V27" s="111"/>
    </row>
    <row r="28" spans="1:22" ht="36" customHeight="1" x14ac:dyDescent="0.2">
      <c r="A28" s="34">
        <f>IF(ISBLANK(Distance Control_9),"",Control_9 Distance)</f>
        <v>402.6</v>
      </c>
      <c r="B28" s="35">
        <f>Control_9 Open_time</f>
        <v>45056.759027777778</v>
      </c>
      <c r="C28" s="35">
        <f>Control_9 Close_time</f>
        <v>45057.375</v>
      </c>
      <c r="D28" s="36" t="str">
        <f>IF(ISBLANK(Locale Control_9),"",Locale Control_9)</f>
        <v>NANAIMO</v>
      </c>
      <c r="E28" s="28" t="str">
        <f>IF(ISBLANK(Control_9 Establishment_2),"",Control_9 Establishment_2)</f>
        <v>Brooks Landing</v>
      </c>
      <c r="F28" s="85" t="str">
        <f>IF(ISBLANK('Control Entry'!J23),"",'Control Entry'!J23)</f>
        <v/>
      </c>
      <c r="G28" s="86"/>
      <c r="H28" s="24" t="s">
        <v>29</v>
      </c>
    </row>
    <row r="29" spans="1:22" ht="36" customHeight="1" thickBot="1" x14ac:dyDescent="0.25">
      <c r="A29" s="29"/>
      <c r="B29" s="30">
        <f>Control_9 Open_time</f>
        <v>45056.759027777778</v>
      </c>
      <c r="C29" s="30">
        <f>Control_9 Close_time</f>
        <v>45057.375</v>
      </c>
      <c r="D29" s="31"/>
      <c r="E29" s="32" t="str">
        <f>IF(ISBLANK(Control_9 Establishment_3),"",Control_9 Establishment_3)</f>
        <v>Island Hwy @ Departure Bay Rd</v>
      </c>
      <c r="F29" s="90" t="str">
        <f>IF(ISBLANK('Control Entry'!K23),"",'Control Entry'!K23)</f>
        <v/>
      </c>
      <c r="G29" s="89"/>
      <c r="H29" s="24" t="s">
        <v>29</v>
      </c>
      <c r="M29" s="112" t="s">
        <v>42</v>
      </c>
      <c r="N29" s="112"/>
      <c r="O29" s="112"/>
      <c r="P29" s="112"/>
      <c r="Q29" s="112"/>
      <c r="R29" s="112"/>
      <c r="S29" s="112"/>
      <c r="T29" s="112"/>
      <c r="U29" s="49"/>
    </row>
    <row r="30" spans="1:22" ht="36" customHeight="1" x14ac:dyDescent="0.2">
      <c r="A30" s="25"/>
      <c r="B30" s="26" t="str">
        <f>Control_10 Open_time</f>
        <v/>
      </c>
      <c r="C30" s="26" t="str">
        <f>Control_10 Close_time</f>
        <v/>
      </c>
      <c r="D30" s="33"/>
      <c r="E30" s="28" t="str">
        <f>IF(ISBLANK(Control_10 Establishment_1),"",Control_10 Establishment_1)</f>
        <v/>
      </c>
      <c r="F30" s="85" t="str">
        <f>IF(ISBLANK('Control Entry'!I24),"",'Control Entry'!I24)</f>
        <v/>
      </c>
      <c r="G30" s="86"/>
      <c r="H30" s="24" t="s">
        <v>29</v>
      </c>
      <c r="M30" s="16"/>
      <c r="N30" s="18"/>
      <c r="O30" s="18"/>
      <c r="P30" s="19"/>
      <c r="Q30" s="16"/>
      <c r="R30" s="18"/>
      <c r="S30" s="18"/>
      <c r="T30" s="19"/>
    </row>
    <row r="31" spans="1:22" ht="36" customHeight="1" x14ac:dyDescent="0.2">
      <c r="A31" s="34" t="str">
        <f>IF(ISBLANK(Distance Control_10),"",Control_10 Distance)</f>
        <v/>
      </c>
      <c r="B31" s="35" t="str">
        <f>Control_10 Open_time</f>
        <v/>
      </c>
      <c r="C31" s="35" t="str">
        <f>Control_10 Close_time</f>
        <v/>
      </c>
      <c r="D31" s="36" t="str">
        <f>IF(ISBLANK(Locale Control_10),"",Locale Control_10)</f>
        <v/>
      </c>
      <c r="E31" s="28" t="str">
        <f>IF(ISBLANK(Control_10 Establishment_2),"",Control_10 Establishment_2)</f>
        <v/>
      </c>
      <c r="F31" s="85" t="str">
        <f>IF(ISBLANK('Control Entry'!J24),"",'Control Entry'!J24)</f>
        <v/>
      </c>
      <c r="G31" s="86"/>
      <c r="H31" s="24" t="s">
        <v>29</v>
      </c>
      <c r="M31" s="17"/>
      <c r="P31" s="20"/>
      <c r="Q31" s="17"/>
      <c r="T31" s="20"/>
    </row>
    <row r="32" spans="1:22" ht="36" customHeight="1" thickBot="1" x14ac:dyDescent="0.25">
      <c r="A32" s="29"/>
      <c r="B32" s="30" t="str">
        <f>Control_10 Open_time</f>
        <v/>
      </c>
      <c r="C32" s="30" t="str">
        <f>Control_10 Close_time</f>
        <v/>
      </c>
      <c r="D32" s="31"/>
      <c r="E32" s="32" t="str">
        <f>IF(ISBLANK(Control_10 Establishment_3),"",Control_10 Establishment_3)</f>
        <v/>
      </c>
      <c r="F32" s="90" t="str">
        <f>IF(ISBLANK('Control Entry'!K24),"",'Control Entry'!K24)</f>
        <v/>
      </c>
      <c r="G32" s="89"/>
      <c r="H32" s="24" t="s">
        <v>29</v>
      </c>
      <c r="M32" s="125" t="s">
        <v>82</v>
      </c>
      <c r="N32" s="126"/>
      <c r="O32" s="126"/>
      <c r="P32" s="127"/>
      <c r="Q32" s="128">
        <f>'Control Entry'!B3</f>
        <v>44874</v>
      </c>
      <c r="R32" s="129"/>
      <c r="S32" s="129"/>
      <c r="T32" s="130"/>
    </row>
    <row r="33" spans="1:22" ht="36" customHeight="1" x14ac:dyDescent="0.2">
      <c r="A33" s="119" t="s">
        <v>43</v>
      </c>
      <c r="B33" s="119"/>
      <c r="C33" s="119"/>
      <c r="D33" s="119"/>
      <c r="E33" s="119"/>
      <c r="F33" s="119"/>
      <c r="G33" s="119"/>
      <c r="H33" s="37"/>
      <c r="I33" s="37"/>
      <c r="M33" s="114" t="s">
        <v>86</v>
      </c>
      <c r="N33" s="115"/>
      <c r="O33" s="115"/>
      <c r="P33" s="115"/>
      <c r="Q33" s="116">
        <f>'Control Entry'!B4</f>
        <v>45042</v>
      </c>
      <c r="R33" s="117"/>
      <c r="S33" s="117"/>
      <c r="T33" s="117"/>
      <c r="V33" s="44"/>
    </row>
    <row r="34" spans="1:22" ht="36" customHeight="1" x14ac:dyDescent="0.2">
      <c r="A34"/>
      <c r="O34" s="15"/>
      <c r="P34" s="15"/>
      <c r="Q34" s="15"/>
      <c r="R34" s="42"/>
    </row>
    <row r="35" spans="1:22" ht="36" customHeight="1" x14ac:dyDescent="0.2">
      <c r="A35"/>
      <c r="N35" s="112"/>
      <c r="O35" s="112"/>
      <c r="P35" s="112"/>
      <c r="Q35" s="112"/>
      <c r="R35" s="112"/>
      <c r="S35" s="112"/>
      <c r="T35" s="112"/>
      <c r="U35" s="11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35:U35"/>
    <mergeCell ref="M29:T29"/>
    <mergeCell ref="N27:O27"/>
    <mergeCell ref="P27:Q27"/>
    <mergeCell ref="S27:T27"/>
    <mergeCell ref="U27:V27"/>
    <mergeCell ref="M33:P33"/>
    <mergeCell ref="Q33:T3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customWidth="1"/>
    <col min="9" max="9" width="12" customWidth="1"/>
    <col min="12" max="14" width="9" customWidth="1"/>
    <col min="18" max="18" width="8.83203125" customWidth="1"/>
    <col min="19" max="19" width="9" customWidth="1"/>
  </cols>
  <sheetData>
    <row r="1" spans="1:22" ht="21" thickBot="1" x14ac:dyDescent="0.2">
      <c r="A1" s="118" t="s">
        <v>74</v>
      </c>
      <c r="B1" s="118"/>
      <c r="C1" s="118"/>
      <c r="D1" s="118"/>
      <c r="E1" s="118"/>
      <c r="F1" s="118"/>
      <c r="G1" s="118"/>
      <c r="H1" s="24" t="s">
        <v>29</v>
      </c>
    </row>
    <row r="2" spans="1:22" ht="33.75" customHeight="1" thickBot="1" x14ac:dyDescent="0.25">
      <c r="A2" s="65" t="s">
        <v>30</v>
      </c>
      <c r="B2" s="9" t="s">
        <v>3</v>
      </c>
      <c r="C2" s="9" t="s">
        <v>4</v>
      </c>
      <c r="D2" s="9" t="s">
        <v>25</v>
      </c>
      <c r="E2" s="9" t="s">
        <v>31</v>
      </c>
      <c r="F2" s="9" t="s">
        <v>59</v>
      </c>
      <c r="G2" s="65" t="s">
        <v>32</v>
      </c>
      <c r="H2" s="24" t="s">
        <v>29</v>
      </c>
      <c r="K2" s="117" t="s">
        <v>55</v>
      </c>
      <c r="L2" s="117"/>
      <c r="M2" s="117"/>
      <c r="N2" s="117"/>
      <c r="O2" s="117"/>
      <c r="P2" s="117"/>
      <c r="Q2" s="117"/>
      <c r="R2" s="117"/>
      <c r="S2" s="117"/>
      <c r="T2" s="117"/>
      <c r="U2" s="117"/>
    </row>
    <row r="3" spans="1:22" ht="36" customHeight="1" x14ac:dyDescent="0.45">
      <c r="A3" s="25"/>
      <c r="B3" s="26">
        <f>'Control Entry'!N28</f>
        <v>45056.25</v>
      </c>
      <c r="C3" s="26">
        <f>'Control Entry'!O28</f>
        <v>45056.291666666664</v>
      </c>
      <c r="D3" s="27"/>
      <c r="E3" s="28" t="str">
        <f>IF(ISBLANK('Control Entry'!F28),"",'Control Entry'!F28)</f>
        <v>STAFFED</v>
      </c>
      <c r="F3" s="85" t="str">
        <f>IF(ISBLANK('Control Entry'!I28),"",'Control Entry'!I28)</f>
        <v/>
      </c>
      <c r="G3" s="86"/>
      <c r="H3" s="24" t="s">
        <v>29</v>
      </c>
      <c r="K3" s="14"/>
      <c r="O3" s="135" t="s">
        <v>73</v>
      </c>
      <c r="P3" s="135"/>
      <c r="Q3" s="135"/>
      <c r="R3" s="135"/>
      <c r="S3" s="75" t="str">
        <f>IF('Control Entry'!D28=0,"","#2")</f>
        <v/>
      </c>
      <c r="U3" s="38"/>
    </row>
    <row r="4" spans="1:22" ht="36" customHeight="1" x14ac:dyDescent="0.2">
      <c r="A4" s="34">
        <f>IF(ISBLANK('Control Entry'!D28),"",'Control Entry'!D28)</f>
        <v>0</v>
      </c>
      <c r="B4" s="35">
        <f>'Control Entry'!N28</f>
        <v>45056.25</v>
      </c>
      <c r="C4" s="35">
        <f>'Control Entry'!O28</f>
        <v>45056.291666666664</v>
      </c>
      <c r="D4" s="36" t="str">
        <f>IF(ISBLANK('Control Entry'!E28),"",'Control Entry'!E28)</f>
        <v>LITTLE RIVER</v>
      </c>
      <c r="E4" s="28" t="str">
        <f>IF(ISBLANK('Control Entry'!G28),"",'Control Entry'!G28)</f>
        <v>1938 Singing Sands Rd</v>
      </c>
      <c r="F4" s="85" t="str">
        <f>IF(ISBLANK('Control Entry'!J28),"",'Control Entry'!J28)</f>
        <v/>
      </c>
      <c r="G4" s="86"/>
      <c r="H4" s="24" t="s">
        <v>29</v>
      </c>
      <c r="K4" s="14"/>
      <c r="M4" s="120" t="str">
        <f>IF(ISBLANK(brevet),"",brevet&amp;" km Randonnée")</f>
        <v>400 km Randonnée</v>
      </c>
      <c r="N4" s="120"/>
      <c r="O4" s="120"/>
      <c r="P4" s="120"/>
      <c r="Q4" s="120"/>
      <c r="R4" s="120"/>
      <c r="S4" s="120"/>
      <c r="T4" s="120"/>
      <c r="U4" s="39"/>
    </row>
    <row r="5" spans="1:22" ht="36" customHeight="1" thickBot="1" x14ac:dyDescent="0.25">
      <c r="A5" s="29"/>
      <c r="B5" s="30">
        <f>'Control Entry'!N28</f>
        <v>45056.25</v>
      </c>
      <c r="C5" s="30">
        <f>'Control Entry'!O28</f>
        <v>45056.291666666664</v>
      </c>
      <c r="D5" s="31"/>
      <c r="E5" s="32" t="str">
        <f>IF(ISBLANK('Control Entry'!H28),"",'Control Entry'!H28)</f>
        <v/>
      </c>
      <c r="F5" s="90" t="str">
        <f>IF(ISBLANK('Control Entry'!K28),"",'Control Entry'!K28)</f>
        <v/>
      </c>
      <c r="G5" s="89"/>
      <c r="H5" s="24" t="s">
        <v>29</v>
      </c>
      <c r="K5" s="14"/>
      <c r="M5" s="15"/>
      <c r="N5" s="111" t="s">
        <v>47</v>
      </c>
      <c r="O5" s="111"/>
      <c r="P5" s="52">
        <f>IF(ISBLANK(Brevet_Number),"",Brevet_Number)</f>
        <v>5271</v>
      </c>
      <c r="Q5" s="53"/>
      <c r="R5" s="123">
        <f>IF(ISBLANK('Control Entry'!$B10),"",'Control Entry'!$B10)</f>
        <v>45056</v>
      </c>
      <c r="S5" s="123"/>
      <c r="T5" s="123"/>
      <c r="U5" s="123"/>
      <c r="V5" s="40"/>
    </row>
    <row r="6" spans="1:22" ht="36" customHeight="1" x14ac:dyDescent="0.2">
      <c r="A6" s="25"/>
      <c r="B6" s="26">
        <f>'Control Entry'!N29</f>
        <v>45056.305555555555</v>
      </c>
      <c r="C6" s="26">
        <f>'Control Entry'!O29</f>
        <v>45056.386111111111</v>
      </c>
      <c r="D6" s="33"/>
      <c r="E6" s="28" t="str">
        <f>IF(ISBLANK('Control Entry'!F29),"",'Control Entry'!F29)</f>
        <v>INFORMATION</v>
      </c>
      <c r="F6" s="85" t="str">
        <f>IF(ISBLANK('Control Entry'!I29),"",'Control Entry'!I29)</f>
        <v>Small blue sign 10 metres south</v>
      </c>
      <c r="G6" s="86"/>
      <c r="H6" s="24" t="s">
        <v>29</v>
      </c>
      <c r="K6" s="14"/>
      <c r="L6" s="138" t="str">
        <f>IF(ISBLANK(Brevet_Description),"",Brevet_Description)</f>
        <v>SRW Parallels with Latitude</v>
      </c>
      <c r="M6" s="138"/>
      <c r="N6" s="138"/>
      <c r="O6" s="138"/>
      <c r="P6" s="138"/>
      <c r="Q6" s="138"/>
      <c r="R6" s="138"/>
      <c r="S6" s="138"/>
      <c r="T6" s="138"/>
      <c r="U6" s="138"/>
    </row>
    <row r="7" spans="1:22" ht="36" customHeight="1" x14ac:dyDescent="0.2">
      <c r="A7" s="34">
        <f>IF(ISBLANK('Control Entry'!D29),"",'Control Entry'!D29)</f>
        <v>45.199999999999989</v>
      </c>
      <c r="B7" s="35">
        <f>'Control Entry'!N29</f>
        <v>45056.305555555555</v>
      </c>
      <c r="C7" s="35">
        <f>'Control Entry'!O29</f>
        <v>45056.386111111111</v>
      </c>
      <c r="D7" s="36" t="str">
        <f>IF(ISBLANK('Control Entry'!E29),"",'Control Entry'!E29)</f>
        <v>CAMPBELL RIVER</v>
      </c>
      <c r="E7" s="28" t="str">
        <f>IF(ISBLANK('Control Entry'!G29),"",'Control Entry'!G29)</f>
        <v>50th Parallel Marker</v>
      </c>
      <c r="F7" s="85" t="str">
        <f>IF(ISBLANK('Control Entry'!J29),"",'Control Entry'!J29)</f>
        <v/>
      </c>
      <c r="G7" s="86"/>
      <c r="H7" s="24" t="s">
        <v>29</v>
      </c>
    </row>
    <row r="8" spans="1:22" ht="36" customHeight="1" thickBot="1" x14ac:dyDescent="0.25">
      <c r="A8" s="29"/>
      <c r="B8" s="30">
        <f>'Control Entry'!N29</f>
        <v>45056.305555555555</v>
      </c>
      <c r="C8" s="30">
        <f>'Control Entry'!O29</f>
        <v>45056.386111111111</v>
      </c>
      <c r="D8" s="31"/>
      <c r="E8" s="32" t="str">
        <f>IF(ISBLANK('Control Entry'!H29),"",'Control Entry'!H29)</f>
        <v>Seawalk (Island Hwy 19A)</v>
      </c>
      <c r="F8" s="90" t="str">
        <f>IF(ISBLANK('Control Entry'!K29),"",'Control Entry'!K29)</f>
        <v>50th Parallel on this___________?</v>
      </c>
      <c r="G8" s="89"/>
      <c r="H8" s="24" t="s">
        <v>29</v>
      </c>
      <c r="J8" s="15" t="s">
        <v>34</v>
      </c>
      <c r="L8" s="124"/>
      <c r="M8" s="124"/>
      <c r="N8" s="124"/>
      <c r="O8" s="124"/>
      <c r="P8" s="124"/>
      <c r="Q8" s="124"/>
      <c r="S8" s="41" t="s">
        <v>46</v>
      </c>
      <c r="T8" s="131"/>
      <c r="U8" s="131"/>
    </row>
    <row r="9" spans="1:22" ht="36" customHeight="1" thickBot="1" x14ac:dyDescent="0.3">
      <c r="A9" s="25"/>
      <c r="B9" s="26">
        <f>'Control Entry'!N30</f>
        <v>45056.361111111109</v>
      </c>
      <c r="C9" s="26">
        <f>'Control Entry'!O30</f>
        <v>45056.50277777778</v>
      </c>
      <c r="D9" s="33"/>
      <c r="E9" s="28" t="str">
        <f>IF(ISBLANK('Control Entry'!F30),"",'Control Entry'!F30)</f>
        <v>INFORMATION</v>
      </c>
      <c r="F9" s="85" t="str">
        <f>IF(ISBLANK('Control Entry'!I30),"",'Control Entry'!I30)</f>
        <v>Superbox 1 (left side)</v>
      </c>
      <c r="G9" s="86"/>
      <c r="H9" s="24" t="s">
        <v>29</v>
      </c>
      <c r="J9" s="15" t="s">
        <v>35</v>
      </c>
      <c r="K9" s="15"/>
      <c r="L9" s="140" t="s">
        <v>54</v>
      </c>
      <c r="M9" s="140"/>
      <c r="N9" s="140"/>
      <c r="O9" s="140"/>
      <c r="P9" s="140"/>
      <c r="Q9" s="140"/>
      <c r="R9" s="140"/>
      <c r="S9" s="140"/>
      <c r="T9" s="140"/>
      <c r="U9" s="140"/>
    </row>
    <row r="10" spans="1:22" ht="36" customHeight="1" thickBot="1" x14ac:dyDescent="0.3">
      <c r="A10" s="34">
        <f>IF(ISBLANK('Control Entry'!D30),"",'Control Entry'!D30)</f>
        <v>90.899999999999977</v>
      </c>
      <c r="B10" s="35">
        <f>'Control Entry'!N30</f>
        <v>45056.361111111109</v>
      </c>
      <c r="C10" s="35">
        <f>'Control Entry'!O30</f>
        <v>45056.50277777778</v>
      </c>
      <c r="D10" s="36" t="str">
        <f>IF(ISBLANK('Control Entry'!E30),"",'Control Entry'!E30)</f>
        <v>COURTENAY</v>
      </c>
      <c r="E10" s="28" t="str">
        <f>IF(ISBLANK('Control Entry'!G30),"",'Control Entry'!G30)</f>
        <v>Mailboxes</v>
      </c>
      <c r="F10" s="85" t="str">
        <f>IF(ISBLANK('Control Entry'!J30),"",'Control Entry'!J30)</f>
        <v>Number at bottom left ?</v>
      </c>
      <c r="G10" s="86"/>
      <c r="H10" s="24" t="s">
        <v>29</v>
      </c>
      <c r="J10" s="15"/>
      <c r="K10" s="15"/>
      <c r="L10" s="133"/>
      <c r="M10" s="133"/>
      <c r="N10" s="133"/>
      <c r="O10" s="133"/>
      <c r="P10" s="133"/>
      <c r="Q10" s="133"/>
      <c r="R10" s="133"/>
      <c r="S10" s="133"/>
      <c r="T10" s="133"/>
      <c r="U10" s="133"/>
    </row>
    <row r="11" spans="1:22" ht="36" customHeight="1" thickBot="1" x14ac:dyDescent="0.3">
      <c r="A11" s="29"/>
      <c r="B11" s="30">
        <f>'Control Entry'!N30</f>
        <v>45056.361111111109</v>
      </c>
      <c r="C11" s="30">
        <f>'Control Entry'!O30</f>
        <v>45056.50277777778</v>
      </c>
      <c r="D11" s="31"/>
      <c r="E11" s="32" t="str">
        <f>IF(ISBLANK('Control Entry'!H30),"",'Control Entry'!H30)</f>
        <v>Greaves Cr @ Piercy Rd</v>
      </c>
      <c r="F11" s="90" t="str">
        <f>IF(ISBLANK('Control Entry'!K30),"",'Control Entry'!K30)</f>
        <v>010___?</v>
      </c>
      <c r="G11" s="89"/>
      <c r="H11" s="24" t="s">
        <v>29</v>
      </c>
      <c r="J11" s="15" t="s">
        <v>36</v>
      </c>
      <c r="K11" s="15"/>
      <c r="L11" s="133"/>
      <c r="M11" s="133"/>
      <c r="N11" s="133"/>
      <c r="O11" s="15"/>
      <c r="P11" s="15" t="s">
        <v>37</v>
      </c>
      <c r="Q11" s="15"/>
      <c r="R11" s="15"/>
      <c r="S11" s="121"/>
      <c r="T11" s="121"/>
      <c r="U11" s="121"/>
    </row>
    <row r="12" spans="1:22" ht="36" customHeight="1" thickBot="1" x14ac:dyDescent="0.3">
      <c r="A12" s="25"/>
      <c r="B12" s="26">
        <f>'Control Entry'!N31</f>
        <v>45056.379166666666</v>
      </c>
      <c r="C12" s="26">
        <f>'Control Entry'!O31</f>
        <v>45056.543055555558</v>
      </c>
      <c r="D12" s="33"/>
      <c r="E12" s="28" t="str">
        <f>IF(ISBLANK('Control Entry'!F31),"",'Control Entry'!F31)</f>
        <v>INFORMATION</v>
      </c>
      <c r="F12" s="85" t="str">
        <f>IF(ISBLANK('Control Entry'!I31),"",'Control Entry'!I31)</f>
        <v>How far to Museum?</v>
      </c>
      <c r="G12" s="86"/>
      <c r="H12" s="24" t="s">
        <v>29</v>
      </c>
      <c r="J12" s="15" t="s">
        <v>38</v>
      </c>
      <c r="K12" s="15"/>
      <c r="L12" s="133"/>
      <c r="M12" s="133"/>
      <c r="N12" s="133"/>
      <c r="O12" s="15"/>
      <c r="P12" s="15" t="s">
        <v>39</v>
      </c>
      <c r="Q12" s="15"/>
      <c r="R12" s="15"/>
      <c r="S12" s="121"/>
      <c r="T12" s="121"/>
      <c r="U12" s="121"/>
    </row>
    <row r="13" spans="1:22" ht="36" customHeight="1" thickBot="1" x14ac:dyDescent="0.3">
      <c r="A13" s="34">
        <f>IF(ISBLANK('Control Entry'!D31),"",'Control Entry'!D31)</f>
        <v>105.59999999999997</v>
      </c>
      <c r="B13" s="35">
        <f>'Control Entry'!N31</f>
        <v>45056.379166666666</v>
      </c>
      <c r="C13" s="35">
        <f>'Control Entry'!O31</f>
        <v>45056.543055555558</v>
      </c>
      <c r="D13" s="36" t="str">
        <f>IF(ISBLANK('Control Entry'!E31),"",'Control Entry'!E31)</f>
        <v>CUMBERLAND</v>
      </c>
      <c r="E13" s="28" t="str">
        <f>IF(ISBLANK('Control Entry'!G31),"",'Control Entry'!G31)</f>
        <v>Directional sign by ambulance hall</v>
      </c>
      <c r="F13" s="85" t="str">
        <f>IF(ISBLANK('Control Entry'!J31),"",'Control Entry'!J31)</f>
        <v/>
      </c>
      <c r="G13" s="86"/>
      <c r="H13" s="24" t="s">
        <v>29</v>
      </c>
      <c r="J13" s="15" t="s">
        <v>40</v>
      </c>
      <c r="L13" s="143"/>
      <c r="M13" s="143"/>
      <c r="N13" s="143"/>
      <c r="P13" s="15" t="s">
        <v>41</v>
      </c>
      <c r="Q13" s="15"/>
      <c r="R13" s="122"/>
      <c r="S13" s="122"/>
      <c r="T13" s="122"/>
      <c r="U13" s="122"/>
    </row>
    <row r="14" spans="1:22" ht="36" customHeight="1" thickBot="1" x14ac:dyDescent="0.25">
      <c r="A14" s="29"/>
      <c r="B14" s="30">
        <f>'Control Entry'!N31</f>
        <v>45056.379166666666</v>
      </c>
      <c r="C14" s="30">
        <f>'Control Entry'!O31</f>
        <v>45056.543055555558</v>
      </c>
      <c r="D14" s="31"/>
      <c r="E14" s="32" t="str">
        <f>IF(ISBLANK('Control Entry'!H31),"",'Control Entry'!H31)</f>
        <v>4th St @ Dunsmuir Ave</v>
      </c>
      <c r="F14" s="90" t="str">
        <f>IF(ISBLANK('Control Entry'!K31),"",'Control Entry'!K31)</f>
        <v/>
      </c>
      <c r="G14" s="89"/>
      <c r="H14" s="24" t="s">
        <v>29</v>
      </c>
    </row>
    <row r="15" spans="1:22" ht="36" customHeight="1" x14ac:dyDescent="0.2">
      <c r="A15" s="25"/>
      <c r="B15" s="26">
        <f>'Control Entry'!N32</f>
        <v>45056.486111111109</v>
      </c>
      <c r="C15" s="26">
        <f>'Control Entry'!O32</f>
        <v>45056.784722222219</v>
      </c>
      <c r="D15" s="33"/>
      <c r="E15" s="28" t="str">
        <f>IF(ISBLANK('Control Entry'!F32),"",'Control Entry'!F32)</f>
        <v>INFORMATION</v>
      </c>
      <c r="F15" s="85" t="str">
        <f>IF(ISBLANK('Control Entry'!I32),"",'Control Entry'!I32)</f>
        <v>Bottom right bird</v>
      </c>
      <c r="G15" s="86"/>
      <c r="H15" s="24" t="s">
        <v>29</v>
      </c>
      <c r="J15" s="15"/>
      <c r="L15" s="137" t="s">
        <v>58</v>
      </c>
      <c r="M15" s="137"/>
      <c r="N15" s="137"/>
      <c r="O15" s="137"/>
      <c r="P15" s="137"/>
      <c r="Q15" s="137"/>
      <c r="R15" s="137"/>
      <c r="S15" s="137"/>
      <c r="T15" s="137"/>
      <c r="U15" s="137"/>
    </row>
    <row r="16" spans="1:22" ht="36" customHeight="1" thickBot="1" x14ac:dyDescent="0.25">
      <c r="A16" s="34">
        <f>IF(ISBLANK('Control Entry'!D32),"",'Control Entry'!D32)</f>
        <v>192.6</v>
      </c>
      <c r="B16" s="35">
        <f>'Control Entry'!N32</f>
        <v>45056.486111111109</v>
      </c>
      <c r="C16" s="35">
        <f>'Control Entry'!O32</f>
        <v>45056.784722222219</v>
      </c>
      <c r="D16" s="36" t="str">
        <f>IF(ISBLANK('Control Entry'!E32),"",'Control Entry'!E32)</f>
        <v>NANOOSE</v>
      </c>
      <c r="E16" s="28" t="str">
        <f>IF(ISBLANK('Control Entry'!G32),"",'Control Entry'!G32)</f>
        <v>Beachcomber Regional Park</v>
      </c>
      <c r="F16" s="85" t="str">
        <f>IF(ISBLANK('Control Entry'!J32),"",'Control Entry'!J32)</f>
        <v/>
      </c>
      <c r="G16" s="86"/>
      <c r="H16" s="24" t="s">
        <v>29</v>
      </c>
      <c r="L16" s="141"/>
      <c r="M16" s="141"/>
      <c r="N16" s="141"/>
      <c r="O16" s="141"/>
      <c r="P16" s="141"/>
      <c r="Q16" s="141"/>
      <c r="R16" s="141"/>
      <c r="S16" s="141"/>
      <c r="T16" s="141"/>
      <c r="U16" s="141"/>
    </row>
    <row r="17" spans="1:22" ht="36" customHeight="1" thickBot="1" x14ac:dyDescent="0.25">
      <c r="A17" s="29"/>
      <c r="B17" s="30">
        <f>'Control Entry'!N32</f>
        <v>45056.486111111109</v>
      </c>
      <c r="C17" s="30">
        <f>'Control Entry'!O32</f>
        <v>45056.784722222219</v>
      </c>
      <c r="D17" s="31"/>
      <c r="E17" s="32" t="str">
        <f>IF(ISBLANK('Control Entry'!H32),"",'Control Entry'!H32)</f>
        <v>Info sign @ 1326 Marina</v>
      </c>
      <c r="F17" s="90" t="str">
        <f>IF(ISBLANK('Control Entry'!K32),"",'Control Entry'!K32)</f>
        <v>Yellow ________Warbler?</v>
      </c>
      <c r="G17" s="89"/>
      <c r="H17" s="24" t="s">
        <v>29</v>
      </c>
    </row>
    <row r="18" spans="1:22" ht="36" customHeight="1" x14ac:dyDescent="0.2">
      <c r="A18" s="25"/>
      <c r="B18" s="26">
        <f>'Control Entry'!N33</f>
        <v>45056.522916666669</v>
      </c>
      <c r="C18" s="26">
        <f>'Control Entry'!O33</f>
        <v>45056.864583333336</v>
      </c>
      <c r="D18" s="33"/>
      <c r="E18" s="28" t="str">
        <f>IF(ISBLANK('Control Entry'!F33),"",'Control Entry'!F33)</f>
        <v>Tim Hortons</v>
      </c>
      <c r="F18" s="85" t="str">
        <f>IF(ISBLANK('Control Entry'!I33),"",'Control Entry'!I33)</f>
        <v/>
      </c>
      <c r="G18" s="86"/>
      <c r="H18" s="24" t="s">
        <v>29</v>
      </c>
    </row>
    <row r="19" spans="1:22" ht="36" customHeight="1" x14ac:dyDescent="0.2">
      <c r="A19" s="34">
        <f>IF(ISBLANK('Control Entry'!D33),"",'Control Entry'!D33)</f>
        <v>221.3</v>
      </c>
      <c r="B19" s="35">
        <f>'Control Entry'!N33</f>
        <v>45056.522916666669</v>
      </c>
      <c r="C19" s="35">
        <f>'Control Entry'!O33</f>
        <v>45056.864583333336</v>
      </c>
      <c r="D19" s="36" t="str">
        <f>IF(ISBLANK('Control Entry'!E33),"",'Control Entry'!E33)</f>
        <v>NANAIMO</v>
      </c>
      <c r="E19" s="28" t="str">
        <f>IF(ISBLANK('Control Entry'!G33),"",'Control Entry'!G33)</f>
        <v>Brooks Landing</v>
      </c>
      <c r="F19" s="85" t="str">
        <f>IF(ISBLANK('Control Entry'!J33),"",'Control Entry'!J33)</f>
        <v/>
      </c>
      <c r="G19" s="86"/>
      <c r="H19" s="24" t="s">
        <v>29</v>
      </c>
    </row>
    <row r="20" spans="1:22" ht="36" customHeight="1" thickBot="1" x14ac:dyDescent="0.25">
      <c r="A20" s="29"/>
      <c r="B20" s="30">
        <f>'Control Entry'!N33</f>
        <v>45056.522916666669</v>
      </c>
      <c r="C20" s="30">
        <f>'Control Entry'!O33</f>
        <v>45056.864583333336</v>
      </c>
      <c r="D20" s="31"/>
      <c r="E20" s="32" t="str">
        <f>IF(ISBLANK('Control Entry'!H33),"",'Control Entry'!H33)</f>
        <v>Island Hwy @ Departure Bay Rd</v>
      </c>
      <c r="F20" s="90" t="str">
        <f>IF(ISBLANK('Control Entry'!K33),"",'Control Entry'!K33)</f>
        <v/>
      </c>
      <c r="G20" s="89"/>
      <c r="H20" s="24" t="s">
        <v>29</v>
      </c>
      <c r="J20" s="50" t="s">
        <v>44</v>
      </c>
      <c r="K20" s="50"/>
      <c r="L20" s="144">
        <f>IF(ISBLANK('Control Entry'!B12),"",'Control Entry'!B12)</f>
        <v>45056</v>
      </c>
      <c r="M20" s="144"/>
      <c r="N20" s="144"/>
      <c r="P20" s="15" t="s">
        <v>0</v>
      </c>
      <c r="Q20" s="15"/>
      <c r="S20" s="136">
        <f>IF(ISBLANK('Control Entry'!B13),"",'Control Entry'!B13)</f>
        <v>0.25</v>
      </c>
      <c r="T20" s="136"/>
      <c r="U20" s="136"/>
    </row>
    <row r="21" spans="1:22" ht="36" customHeight="1" x14ac:dyDescent="0.2">
      <c r="A21" s="25"/>
      <c r="B21" s="26">
        <f>'Control Entry'!N34</f>
        <v>45056.561111111114</v>
      </c>
      <c r="C21" s="26">
        <f>'Control Entry'!O34</f>
        <v>45056.947222222225</v>
      </c>
      <c r="D21" s="33"/>
      <c r="E21" s="28" t="str">
        <f>IF(ISBLANK('Control Entry'!F34),"",'Control Entry'!F34)</f>
        <v>INFORMATION</v>
      </c>
      <c r="F21" s="85" t="str">
        <f>IF(ISBLANK('Control Entry'!I34),"",'Control Entry'!I34)</f>
        <v>Green 49th Parallel sign</v>
      </c>
      <c r="G21" s="86"/>
      <c r="H21" s="24" t="s">
        <v>29</v>
      </c>
      <c r="J21" s="138" t="s">
        <v>90</v>
      </c>
      <c r="K21" s="138"/>
      <c r="L21" s="138"/>
      <c r="M21" s="138"/>
      <c r="N21" s="138"/>
      <c r="O21" s="138"/>
      <c r="P21" s="138"/>
      <c r="Q21" s="138"/>
      <c r="R21" s="138"/>
      <c r="S21" s="138"/>
      <c r="T21" s="138"/>
      <c r="U21" s="138"/>
    </row>
    <row r="22" spans="1:22" ht="36" customHeight="1" thickBot="1" x14ac:dyDescent="0.25">
      <c r="A22" s="34">
        <f>IF(ISBLANK('Control Entry'!D34),"",'Control Entry'!D34)</f>
        <v>250.9</v>
      </c>
      <c r="B22" s="35">
        <f>'Control Entry'!N34</f>
        <v>45056.561111111114</v>
      </c>
      <c r="C22" s="35">
        <f>'Control Entry'!O34</f>
        <v>45056.947222222225</v>
      </c>
      <c r="D22" s="36" t="str">
        <f>IF(ISBLANK('Control Entry'!E34),"",'Control Entry'!E34)</f>
        <v>LADYSMITH</v>
      </c>
      <c r="E22" s="28" t="str">
        <f>IF(ISBLANK('Control Entry'!G34),"",'Control Entry'!G34)</f>
        <v>Aggie Hall Plaza by tractor</v>
      </c>
      <c r="F22" s="85" t="str">
        <f>IF(ISBLANK('Control Entry'!J34),"",'Control Entry'!J34)</f>
        <v/>
      </c>
      <c r="G22" s="86"/>
      <c r="H22" s="24" t="s">
        <v>29</v>
      </c>
      <c r="J22" s="50" t="s">
        <v>45</v>
      </c>
      <c r="K22" s="50"/>
      <c r="L22" s="142"/>
      <c r="M22" s="142"/>
      <c r="N22" s="142"/>
      <c r="P22" s="15" t="s">
        <v>1</v>
      </c>
      <c r="Q22" s="15"/>
      <c r="S22" s="139"/>
      <c r="T22" s="139"/>
      <c r="U22" s="139"/>
    </row>
    <row r="23" spans="1:22" ht="36" customHeight="1" thickBot="1" x14ac:dyDescent="0.25">
      <c r="A23" s="29"/>
      <c r="B23" s="30">
        <f>'Control Entry'!N34</f>
        <v>45056.561111111114</v>
      </c>
      <c r="C23" s="30">
        <f>'Control Entry'!O34</f>
        <v>45056.947222222225</v>
      </c>
      <c r="D23" s="31"/>
      <c r="E23" s="32" t="str">
        <f>IF(ISBLANK('Control Entry'!H34),"",'Control Entry'!H34)</f>
        <v>1st Ave @ Symonds St</v>
      </c>
      <c r="F23" s="90" t="str">
        <f>IF(ISBLANK('Control Entry'!K34),"",'Control Entry'!K34)</f>
        <v>The __________treaty of 1846?</v>
      </c>
      <c r="G23" s="89"/>
      <c r="H23" s="24" t="s">
        <v>29</v>
      </c>
      <c r="J23" s="50"/>
      <c r="K23" s="50"/>
      <c r="L23" s="44"/>
      <c r="M23" s="44"/>
      <c r="N23" s="44"/>
      <c r="P23" s="15"/>
      <c r="Q23" s="15"/>
    </row>
    <row r="24" spans="1:22" ht="36" customHeight="1" thickBot="1" x14ac:dyDescent="0.25">
      <c r="A24" s="25"/>
      <c r="B24" s="26">
        <f>'Control Entry'!N35</f>
        <v>45056.662499999999</v>
      </c>
      <c r="C24" s="26">
        <f>'Control Entry'!O35</f>
        <v>45057.162499999999</v>
      </c>
      <c r="D24" s="33"/>
      <c r="E24" s="28" t="str">
        <f>IF(ISBLANK('Control Entry'!F35),"",'Control Entry'!F35)</f>
        <v>Shell Gas</v>
      </c>
      <c r="F24" s="85" t="str">
        <f>IF(ISBLANK('Control Entry'!I35),"",'Control Entry'!I35)</f>
        <v/>
      </c>
      <c r="G24" s="86"/>
      <c r="H24" s="24" t="s">
        <v>29</v>
      </c>
      <c r="J24" s="139"/>
      <c r="K24" s="139"/>
      <c r="L24" s="139"/>
      <c r="M24" s="139"/>
      <c r="N24" s="139"/>
      <c r="P24" s="15" t="s">
        <v>2</v>
      </c>
      <c r="Q24" s="15"/>
      <c r="S24" s="139"/>
      <c r="T24" s="139"/>
      <c r="U24" s="139"/>
    </row>
    <row r="25" spans="1:22" ht="36" customHeight="1" x14ac:dyDescent="0.2">
      <c r="A25" s="34">
        <f>IF(ISBLANK('Control Entry'!D35),"",'Control Entry'!D35)</f>
        <v>328.4</v>
      </c>
      <c r="B25" s="35">
        <f>'Control Entry'!N35</f>
        <v>45056.662499999999</v>
      </c>
      <c r="C25" s="35">
        <f>'Control Entry'!O35</f>
        <v>45057.162499999999</v>
      </c>
      <c r="D25" s="36" t="str">
        <f>IF(ISBLANK('Control Entry'!E35),"",'Control Entry'!E35)</f>
        <v>QUALICUM BEACH</v>
      </c>
      <c r="E25" s="28" t="str">
        <f>IF(ISBLANK('Control Entry'!G35),"",'Control Entry'!G35)</f>
        <v/>
      </c>
      <c r="F25" s="85" t="str">
        <f>IF(ISBLANK('Control Entry'!J35),"",'Control Entry'!J35)</f>
        <v/>
      </c>
      <c r="G25" s="86"/>
      <c r="H25" s="24" t="s">
        <v>29</v>
      </c>
      <c r="J25" s="134" t="s">
        <v>17</v>
      </c>
      <c r="K25" s="134"/>
      <c r="L25" s="134"/>
      <c r="M25" s="134"/>
      <c r="N25" s="134"/>
      <c r="O25" s="46"/>
      <c r="P25" s="113"/>
      <c r="Q25" s="113"/>
      <c r="R25" s="46"/>
      <c r="S25" s="111"/>
      <c r="T25" s="111"/>
      <c r="U25" s="111"/>
      <c r="V25" s="111"/>
    </row>
    <row r="26" spans="1:22" ht="36" customHeight="1" thickBot="1" x14ac:dyDescent="0.25">
      <c r="A26" s="29"/>
      <c r="B26" s="30">
        <f>'Control Entry'!N35</f>
        <v>45056.662499999999</v>
      </c>
      <c r="C26" s="30">
        <f>'Control Entry'!O35</f>
        <v>45057.162499999999</v>
      </c>
      <c r="D26" s="31"/>
      <c r="E26" s="32" t="str">
        <f>IF(ISBLANK('Control Entry'!H35),"",'Control Entry'!H35)</f>
        <v>Island Hwy @ Memorial Ave</v>
      </c>
      <c r="F26" s="90" t="str">
        <f>IF(ISBLANK('Control Entry'!K35),"",'Control Entry'!K35)</f>
        <v/>
      </c>
      <c r="G26" s="89"/>
      <c r="H26" s="24" t="s">
        <v>29</v>
      </c>
    </row>
    <row r="27" spans="1:22" ht="36" customHeight="1" x14ac:dyDescent="0.2">
      <c r="A27" s="25"/>
      <c r="B27" s="26">
        <f>'Control Entry'!N36</f>
        <v>45056.759027777778</v>
      </c>
      <c r="C27" s="26">
        <f>'Control Entry'!O36</f>
        <v>45057.375</v>
      </c>
      <c r="D27" s="33"/>
      <c r="E27" s="28" t="str">
        <f>IF(ISBLANK('Control Entry'!F36),"",'Control Entry'!F36)</f>
        <v>STAFFED</v>
      </c>
      <c r="F27" s="85" t="str">
        <f>IF(ISBLANK('Control Entry'!I36),"",'Control Entry'!I36)</f>
        <v/>
      </c>
      <c r="G27" s="86"/>
      <c r="H27" s="24" t="s">
        <v>29</v>
      </c>
      <c r="K27" s="120" t="s">
        <v>56</v>
      </c>
      <c r="L27" s="113"/>
      <c r="M27" s="45" t="s">
        <v>57</v>
      </c>
      <c r="N27" s="113" t="s">
        <v>49</v>
      </c>
      <c r="O27" s="113"/>
      <c r="P27" s="113" t="s">
        <v>50</v>
      </c>
      <c r="Q27" s="113"/>
      <c r="R27" s="46" t="s">
        <v>51</v>
      </c>
      <c r="S27" s="111" t="s">
        <v>52</v>
      </c>
      <c r="T27" s="111"/>
      <c r="U27" s="111" t="s">
        <v>53</v>
      </c>
      <c r="V27" s="111"/>
    </row>
    <row r="28" spans="1:22" ht="36" customHeight="1" x14ac:dyDescent="0.2">
      <c r="A28" s="34">
        <f>IF(ISBLANK('Control Entry'!D36),"",'Control Entry'!D36)</f>
        <v>402.5</v>
      </c>
      <c r="B28" s="35">
        <f>'Control Entry'!N36</f>
        <v>45056.759027777778</v>
      </c>
      <c r="C28" s="35">
        <f>'Control Entry'!O36</f>
        <v>45057.375</v>
      </c>
      <c r="D28" s="36" t="str">
        <f>IF(ISBLANK('Control Entry'!E36),"",'Control Entry'!E36)</f>
        <v>LITTLE RIVER</v>
      </c>
      <c r="E28" s="28" t="str">
        <f>IF(ISBLANK('Control Entry'!G36),"",'Control Entry'!G36)</f>
        <v>1938 Singing Sands Rd</v>
      </c>
      <c r="F28" s="85" t="str">
        <f>IF(ISBLANK('Control Entry'!J36),"",'Control Entry'!J36)</f>
        <v/>
      </c>
      <c r="G28" s="86"/>
      <c r="H28" s="24" t="s">
        <v>29</v>
      </c>
    </row>
    <row r="29" spans="1:22" ht="36" customHeight="1" thickBot="1" x14ac:dyDescent="0.25">
      <c r="A29" s="29"/>
      <c r="B29" s="30">
        <f>'Control Entry'!N36</f>
        <v>45056.759027777778</v>
      </c>
      <c r="C29" s="30">
        <f>'Control Entry'!O36</f>
        <v>45057.375</v>
      </c>
      <c r="D29" s="31"/>
      <c r="E29" s="32" t="str">
        <f>IF(ISBLANK('Control Entry'!H36),"",'Control Entry'!H36)</f>
        <v/>
      </c>
      <c r="F29" s="90" t="str">
        <f>IF(ISBLANK('Control Entry'!K36),"",'Control Entry'!K36)</f>
        <v/>
      </c>
      <c r="G29" s="89"/>
      <c r="H29" s="24" t="s">
        <v>29</v>
      </c>
      <c r="M29" s="112" t="s">
        <v>42</v>
      </c>
      <c r="N29" s="112"/>
      <c r="O29" s="112"/>
      <c r="P29" s="112"/>
      <c r="Q29" s="112"/>
      <c r="R29" s="112"/>
      <c r="S29" s="112"/>
      <c r="T29" s="112"/>
      <c r="U29" s="49"/>
    </row>
    <row r="30" spans="1:22" ht="36" customHeight="1" x14ac:dyDescent="0.2">
      <c r="A30" s="25"/>
      <c r="B30" s="26" t="str">
        <f>'Control Entry'!N37</f>
        <v/>
      </c>
      <c r="C30" s="26" t="str">
        <f>'Control Entry'!O37</f>
        <v/>
      </c>
      <c r="D30" s="33"/>
      <c r="E30" s="28" t="str">
        <f>IF(ISBLANK('Control Entry'!F37),"",'Control Entry'!F37)</f>
        <v/>
      </c>
      <c r="F30" s="85" t="str">
        <f>IF(ISBLANK('Control Entry'!I37),"",'Control Entry'!I37)</f>
        <v/>
      </c>
      <c r="G30" s="86"/>
      <c r="H30" s="24" t="s">
        <v>29</v>
      </c>
      <c r="M30" s="16"/>
      <c r="N30" s="18"/>
      <c r="O30" s="18"/>
      <c r="P30" s="19"/>
      <c r="Q30" s="16"/>
      <c r="R30" s="18"/>
      <c r="S30" s="18"/>
      <c r="T30" s="19"/>
    </row>
    <row r="31" spans="1:22" ht="36" customHeight="1" x14ac:dyDescent="0.2">
      <c r="A31" s="34" t="str">
        <f>IF(ISBLANK('Control Entry'!D37),"",'Control Entry'!D37)</f>
        <v/>
      </c>
      <c r="B31" s="35" t="str">
        <f>'Control Entry'!N37</f>
        <v/>
      </c>
      <c r="C31" s="35" t="str">
        <f>'Control Entry'!O37</f>
        <v/>
      </c>
      <c r="D31" s="36" t="str">
        <f>IF(ISBLANK('Control Entry'!E37),"",'Control Entry'!E37)</f>
        <v/>
      </c>
      <c r="E31" s="28" t="str">
        <f>IF(ISBLANK('Control Entry'!G37),"",'Control Entry'!G37)</f>
        <v/>
      </c>
      <c r="F31" s="85" t="str">
        <f>IF(ISBLANK('Control Entry'!J37),"",'Control Entry'!J37)</f>
        <v/>
      </c>
      <c r="G31" s="86"/>
      <c r="H31" s="24" t="s">
        <v>29</v>
      </c>
      <c r="M31" s="17"/>
      <c r="P31" s="20"/>
      <c r="Q31" s="17"/>
      <c r="T31" s="20"/>
    </row>
    <row r="32" spans="1:22" ht="36" customHeight="1" thickBot="1" x14ac:dyDescent="0.25">
      <c r="A32" s="29"/>
      <c r="B32" s="30" t="str">
        <f>'Control Entry'!N37</f>
        <v/>
      </c>
      <c r="C32" s="30" t="str">
        <f>'Control Entry'!O37</f>
        <v/>
      </c>
      <c r="D32" s="31"/>
      <c r="E32" s="32" t="str">
        <f>IF(ISBLANK('Control Entry'!H37),"",'Control Entry'!H37)</f>
        <v/>
      </c>
      <c r="F32" s="90" t="str">
        <f>IF(ISBLANK('Control Entry'!K37),"",'Control Entry'!K37)</f>
        <v/>
      </c>
      <c r="G32" s="89"/>
      <c r="H32" s="24" t="s">
        <v>29</v>
      </c>
      <c r="M32" s="125" t="s">
        <v>82</v>
      </c>
      <c r="N32" s="126"/>
      <c r="O32" s="126"/>
      <c r="P32" s="127"/>
      <c r="Q32" s="128">
        <f>'Control Entry'!B3</f>
        <v>44874</v>
      </c>
      <c r="R32" s="129"/>
      <c r="S32" s="129"/>
      <c r="T32" s="130"/>
    </row>
    <row r="33" spans="1:22" ht="36" customHeight="1" x14ac:dyDescent="0.2">
      <c r="A33" s="119" t="s">
        <v>43</v>
      </c>
      <c r="B33" s="119"/>
      <c r="C33" s="119"/>
      <c r="D33" s="119"/>
      <c r="E33" s="119"/>
      <c r="F33" s="119"/>
      <c r="G33" s="119"/>
      <c r="H33" s="37"/>
      <c r="I33" s="37"/>
      <c r="M33" s="114" t="s">
        <v>86</v>
      </c>
      <c r="N33" s="115"/>
      <c r="O33" s="115"/>
      <c r="P33" s="115"/>
      <c r="Q33" s="116">
        <f>'Control Entry'!B4</f>
        <v>45042</v>
      </c>
      <c r="R33" s="117"/>
      <c r="S33" s="117"/>
      <c r="T33" s="117"/>
      <c r="V33" s="44"/>
    </row>
    <row r="34" spans="1:22" ht="36" customHeight="1" x14ac:dyDescent="0.2">
      <c r="A34"/>
      <c r="O34" s="15"/>
      <c r="P34" s="15"/>
      <c r="Q34" s="15"/>
      <c r="R34" s="42"/>
    </row>
    <row r="35" spans="1:22" ht="36" customHeight="1" x14ac:dyDescent="0.2">
      <c r="A35"/>
      <c r="N35" s="112"/>
      <c r="O35" s="112"/>
      <c r="P35" s="112"/>
      <c r="Q35" s="112"/>
      <c r="R35" s="112"/>
      <c r="S35" s="112"/>
      <c r="T35" s="112"/>
      <c r="U35" s="11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L16:U16"/>
    <mergeCell ref="L22:N22"/>
    <mergeCell ref="S22:U22"/>
    <mergeCell ref="L11:N11"/>
    <mergeCell ref="S11:U11"/>
    <mergeCell ref="L12:N12"/>
    <mergeCell ref="S12:U12"/>
    <mergeCell ref="L13:N13"/>
    <mergeCell ref="R13:U13"/>
    <mergeCell ref="J21:U21"/>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s>
  <phoneticPr fontId="16" type="noConversion"/>
  <conditionalFormatting sqref="J22:N22">
    <cfRule type="expression" dxfId="14" priority="2">
      <formula>$S$3="#2"</formula>
    </cfRule>
  </conditionalFormatting>
  <conditionalFormatting sqref="J21:U21">
    <cfRule type="expression" dxfId="13" priority="1">
      <formula>$S$3&lt;&gt;"#2"</formula>
    </cfRule>
  </conditionalFormatting>
  <conditionalFormatting sqref="K27:V27">
    <cfRule type="expression" dxfId="12" priority="3">
      <formula>$S$3="#2"</formula>
    </cfRule>
  </conditionalFormatting>
  <conditionalFormatting sqref="P22:U24">
    <cfRule type="expression" dxfId="11" priority="4">
      <formula>$S$3="#2"</formula>
    </cfRule>
  </conditionalFormatting>
  <printOptions horizontalCentered="1" verticalCentered="1"/>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F1"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customWidth="1"/>
    <col min="9" max="9" width="12" customWidth="1"/>
    <col min="12" max="14" width="9" customWidth="1"/>
    <col min="18" max="18" width="8.83203125" customWidth="1"/>
    <col min="19" max="19" width="9" customWidth="1"/>
  </cols>
  <sheetData>
    <row r="1" spans="1:22" ht="21" thickBot="1" x14ac:dyDescent="0.2">
      <c r="A1" s="118" t="s">
        <v>74</v>
      </c>
      <c r="B1" s="118"/>
      <c r="C1" s="118"/>
      <c r="D1" s="118"/>
      <c r="E1" s="118"/>
      <c r="F1" s="118"/>
      <c r="G1" s="118"/>
      <c r="H1" s="24" t="s">
        <v>29</v>
      </c>
    </row>
    <row r="2" spans="1:22" ht="33.75" customHeight="1" thickBot="1" x14ac:dyDescent="0.25">
      <c r="A2" s="65" t="s">
        <v>30</v>
      </c>
      <c r="B2" s="9" t="s">
        <v>3</v>
      </c>
      <c r="C2" s="9" t="s">
        <v>4</v>
      </c>
      <c r="D2" s="9" t="s">
        <v>25</v>
      </c>
      <c r="E2" s="9" t="s">
        <v>31</v>
      </c>
      <c r="F2" s="9" t="s">
        <v>59</v>
      </c>
      <c r="G2" s="65" t="s">
        <v>32</v>
      </c>
      <c r="H2" s="24" t="s">
        <v>29</v>
      </c>
      <c r="K2" s="117" t="s">
        <v>55</v>
      </c>
      <c r="L2" s="117"/>
      <c r="M2" s="117"/>
      <c r="N2" s="117"/>
      <c r="O2" s="117"/>
      <c r="P2" s="117"/>
      <c r="Q2" s="117"/>
      <c r="R2" s="117"/>
      <c r="S2" s="117"/>
      <c r="T2" s="117"/>
      <c r="U2" s="117"/>
    </row>
    <row r="3" spans="1:22" ht="36" customHeight="1" x14ac:dyDescent="0.45">
      <c r="A3" s="25"/>
      <c r="B3" s="26" t="str">
        <f>'Control Entry'!N41</f>
        <v/>
      </c>
      <c r="C3" s="26" t="str">
        <f>'Control Entry'!O41</f>
        <v/>
      </c>
      <c r="D3" s="27"/>
      <c r="E3" s="28" t="str">
        <f>IF(ISBLANK('Control Entry'!F41),"",'Control Entry'!F41)</f>
        <v/>
      </c>
      <c r="F3" s="85" t="str">
        <f>IF(ISBLANK('Control Entry'!I41),"",'Control Entry'!I41)</f>
        <v/>
      </c>
      <c r="G3" s="86"/>
      <c r="H3" s="24" t="s">
        <v>29</v>
      </c>
      <c r="K3" s="14"/>
      <c r="O3" s="135" t="s">
        <v>73</v>
      </c>
      <c r="P3" s="135"/>
      <c r="Q3" s="135"/>
      <c r="R3" s="135"/>
      <c r="S3" s="75" t="str">
        <f>IF('Control Entry'!D41&lt;&gt;0,"#3",IF(AND('Control Entry'!D41=0,'Control Entry'!D54&lt;&gt;0),"#1",""))</f>
        <v/>
      </c>
      <c r="T3" s="76"/>
      <c r="U3" s="38"/>
    </row>
    <row r="4" spans="1:22" ht="36" customHeight="1" x14ac:dyDescent="0.2">
      <c r="A4" s="34" t="str">
        <f>IF(ISBLANK('Control Entry'!D41),"",'Control Entry'!D41)</f>
        <v/>
      </c>
      <c r="B4" s="35" t="str">
        <f>'Control Entry'!N41</f>
        <v/>
      </c>
      <c r="C4" s="35" t="str">
        <f>'Control Entry'!O41</f>
        <v/>
      </c>
      <c r="D4" s="36" t="str">
        <f>IF(ISBLANK('Control Entry'!E41),"",'Control Entry'!E41)</f>
        <v/>
      </c>
      <c r="E4" s="28" t="str">
        <f>IF(ISBLANK('Control Entry'!G41),"",'Control Entry'!G41)</f>
        <v/>
      </c>
      <c r="F4" s="85" t="str">
        <f>IF(ISBLANK('Control Entry'!J41),"",'Control Entry'!J41)</f>
        <v/>
      </c>
      <c r="G4" s="86"/>
      <c r="H4" s="24" t="s">
        <v>29</v>
      </c>
      <c r="K4" s="14"/>
      <c r="M4" s="120" t="str">
        <f>IF(ISBLANK(brevet),"",brevet&amp;" km Randonnée")</f>
        <v>400 km Randonnée</v>
      </c>
      <c r="N4" s="120"/>
      <c r="O4" s="120"/>
      <c r="P4" s="120"/>
      <c r="Q4" s="120"/>
      <c r="R4" s="120"/>
      <c r="S4" s="120"/>
      <c r="T4" s="120"/>
      <c r="U4" s="39"/>
    </row>
    <row r="5" spans="1:22" ht="36" customHeight="1" thickBot="1" x14ac:dyDescent="0.25">
      <c r="A5" s="29"/>
      <c r="B5" s="30" t="str">
        <f>'Control Entry'!N41</f>
        <v/>
      </c>
      <c r="C5" s="30" t="str">
        <f>'Control Entry'!O41</f>
        <v/>
      </c>
      <c r="D5" s="31"/>
      <c r="E5" s="32" t="str">
        <f>IF(ISBLANK('Control Entry'!H41),"",'Control Entry'!H41)</f>
        <v/>
      </c>
      <c r="F5" s="90" t="str">
        <f>IF(ISBLANK('Control Entry'!K41),"",'Control Entry'!K41)</f>
        <v/>
      </c>
      <c r="G5" s="89"/>
      <c r="H5" s="24" t="s">
        <v>29</v>
      </c>
      <c r="K5" s="14"/>
      <c r="M5" s="15"/>
      <c r="N5" s="111" t="s">
        <v>47</v>
      </c>
      <c r="O5" s="111"/>
      <c r="P5" s="52">
        <f>IF(ISBLANK(Brevet_Number),"",Brevet_Number)</f>
        <v>5271</v>
      </c>
      <c r="Q5" s="53"/>
      <c r="R5" s="123">
        <f>IF(ISBLANK('Control Entry'!$B10),"",'Control Entry'!$B10)</f>
        <v>45056</v>
      </c>
      <c r="S5" s="123"/>
      <c r="T5" s="123"/>
      <c r="U5" s="123"/>
      <c r="V5" s="40"/>
    </row>
    <row r="6" spans="1:22" ht="36" customHeight="1" x14ac:dyDescent="0.2">
      <c r="A6" s="25"/>
      <c r="B6" s="26" t="str">
        <f>'Control Entry'!N42</f>
        <v/>
      </c>
      <c r="C6" s="26" t="str">
        <f>'Control Entry'!O42</f>
        <v/>
      </c>
      <c r="D6" s="33"/>
      <c r="E6" s="28" t="str">
        <f>IF(ISBLANK('Control Entry'!F42),"",'Control Entry'!F42)</f>
        <v/>
      </c>
      <c r="F6" s="85" t="str">
        <f>IF(ISBLANK('Control Entry'!I42),"",'Control Entry'!I42)</f>
        <v/>
      </c>
      <c r="G6" s="86"/>
      <c r="H6" s="24" t="s">
        <v>29</v>
      </c>
      <c r="K6" s="14"/>
      <c r="L6" s="138" t="str">
        <f>IF(ISBLANK(Brevet_Description),"",Brevet_Description)</f>
        <v>SRW Parallels with Latitude</v>
      </c>
      <c r="M6" s="138"/>
      <c r="N6" s="138"/>
      <c r="O6" s="138"/>
      <c r="P6" s="138"/>
      <c r="Q6" s="138"/>
      <c r="R6" s="138"/>
      <c r="S6" s="138"/>
      <c r="T6" s="138"/>
      <c r="U6" s="138"/>
    </row>
    <row r="7" spans="1:22" ht="36" customHeight="1" x14ac:dyDescent="0.2">
      <c r="A7" s="34" t="str">
        <f>IF(ISBLANK('Control Entry'!D42),"",'Control Entry'!D42)</f>
        <v/>
      </c>
      <c r="B7" s="35" t="str">
        <f>'Control Entry'!N42</f>
        <v/>
      </c>
      <c r="C7" s="35" t="str">
        <f>'Control Entry'!O42</f>
        <v/>
      </c>
      <c r="D7" s="36" t="str">
        <f>IF(ISBLANK('Control Entry'!E42),"",'Control Entry'!E42)</f>
        <v/>
      </c>
      <c r="E7" s="28" t="str">
        <f>IF(ISBLANK('Control Entry'!G42),"",'Control Entry'!G42)</f>
        <v/>
      </c>
      <c r="F7" s="85" t="str">
        <f>IF(ISBLANK('Control Entry'!J42),"",'Control Entry'!J42)</f>
        <v/>
      </c>
      <c r="G7" s="86"/>
      <c r="H7" s="24" t="s">
        <v>29</v>
      </c>
    </row>
    <row r="8" spans="1:22" ht="36" customHeight="1" thickBot="1" x14ac:dyDescent="0.25">
      <c r="A8" s="29"/>
      <c r="B8" s="30" t="str">
        <f>'Control Entry'!N42</f>
        <v/>
      </c>
      <c r="C8" s="30" t="str">
        <f>'Control Entry'!O42</f>
        <v/>
      </c>
      <c r="D8" s="31"/>
      <c r="E8" s="32" t="str">
        <f>IF(ISBLANK('Control Entry'!H42),"",'Control Entry'!H42)</f>
        <v/>
      </c>
      <c r="F8" s="90" t="str">
        <f>IF(ISBLANK('Control Entry'!K42),"",'Control Entry'!K42)</f>
        <v/>
      </c>
      <c r="G8" s="89"/>
      <c r="H8" s="24" t="s">
        <v>29</v>
      </c>
      <c r="J8" s="15" t="s">
        <v>34</v>
      </c>
      <c r="L8" s="124"/>
      <c r="M8" s="124"/>
      <c r="N8" s="124"/>
      <c r="O8" s="124"/>
      <c r="P8" s="124"/>
      <c r="Q8" s="124"/>
      <c r="S8" s="41" t="s">
        <v>46</v>
      </c>
      <c r="T8" s="131"/>
      <c r="U8" s="131"/>
    </row>
    <row r="9" spans="1:22" ht="36" customHeight="1" thickBot="1" x14ac:dyDescent="0.3">
      <c r="A9" s="25"/>
      <c r="B9" s="26" t="str">
        <f>'Control Entry'!N43</f>
        <v/>
      </c>
      <c r="C9" s="26" t="str">
        <f>'Control Entry'!O43</f>
        <v/>
      </c>
      <c r="D9" s="33"/>
      <c r="E9" s="28" t="str">
        <f>IF(ISBLANK('Control Entry'!F43),"",'Control Entry'!F43)</f>
        <v/>
      </c>
      <c r="F9" s="85" t="str">
        <f>IF(ISBLANK('Control Entry'!I43),"",'Control Entry'!I43)</f>
        <v/>
      </c>
      <c r="G9" s="86"/>
      <c r="H9" s="24" t="s">
        <v>29</v>
      </c>
      <c r="J9" s="15" t="s">
        <v>35</v>
      </c>
      <c r="K9" s="15"/>
      <c r="L9" s="140" t="s">
        <v>54</v>
      </c>
      <c r="M9" s="140"/>
      <c r="N9" s="140"/>
      <c r="O9" s="140"/>
      <c r="P9" s="140"/>
      <c r="Q9" s="140"/>
      <c r="R9" s="140"/>
      <c r="S9" s="140"/>
      <c r="T9" s="140"/>
      <c r="U9" s="140"/>
    </row>
    <row r="10" spans="1:22" ht="36" customHeight="1" thickBot="1" x14ac:dyDescent="0.3">
      <c r="A10" s="34" t="str">
        <f>IF(ISBLANK('Control Entry'!D43),"",'Control Entry'!D43)</f>
        <v/>
      </c>
      <c r="B10" s="35" t="str">
        <f>'Control Entry'!N43</f>
        <v/>
      </c>
      <c r="C10" s="35" t="str">
        <f>'Control Entry'!O43</f>
        <v/>
      </c>
      <c r="D10" s="36" t="str">
        <f>IF(ISBLANK('Control Entry'!E43),"",'Control Entry'!E43)</f>
        <v/>
      </c>
      <c r="E10" s="28" t="str">
        <f>IF(ISBLANK('Control Entry'!G43),"",'Control Entry'!G43)</f>
        <v/>
      </c>
      <c r="F10" s="85" t="str">
        <f>IF(ISBLANK('Control Entry'!J43),"",'Control Entry'!J43)</f>
        <v/>
      </c>
      <c r="G10" s="86"/>
      <c r="H10" s="24" t="s">
        <v>29</v>
      </c>
      <c r="J10" s="15"/>
      <c r="K10" s="15"/>
      <c r="L10" s="133"/>
      <c r="M10" s="133"/>
      <c r="N10" s="133"/>
      <c r="O10" s="133"/>
      <c r="P10" s="133"/>
      <c r="Q10" s="133"/>
      <c r="R10" s="133"/>
      <c r="S10" s="133"/>
      <c r="T10" s="133"/>
      <c r="U10" s="133"/>
    </row>
    <row r="11" spans="1:22" ht="36" customHeight="1" thickBot="1" x14ac:dyDescent="0.3">
      <c r="A11" s="29"/>
      <c r="B11" s="30" t="str">
        <f>'Control Entry'!N43</f>
        <v/>
      </c>
      <c r="C11" s="30" t="str">
        <f>'Control Entry'!O43</f>
        <v/>
      </c>
      <c r="D11" s="31"/>
      <c r="E11" s="32" t="str">
        <f>IF(ISBLANK('Control Entry'!H43),"",'Control Entry'!H43)</f>
        <v/>
      </c>
      <c r="F11" s="90" t="str">
        <f>IF(ISBLANK('Control Entry'!K43),"",'Control Entry'!K43)</f>
        <v/>
      </c>
      <c r="G11" s="89"/>
      <c r="H11" s="24" t="s">
        <v>29</v>
      </c>
      <c r="J11" s="15" t="s">
        <v>36</v>
      </c>
      <c r="K11" s="15"/>
      <c r="L11" s="133"/>
      <c r="M11" s="133"/>
      <c r="N11" s="133"/>
      <c r="O11" s="15"/>
      <c r="P11" s="15" t="s">
        <v>37</v>
      </c>
      <c r="Q11" s="15"/>
      <c r="R11" s="15"/>
      <c r="S11" s="121"/>
      <c r="T11" s="121"/>
      <c r="U11" s="121"/>
    </row>
    <row r="12" spans="1:22" ht="36" customHeight="1" thickBot="1" x14ac:dyDescent="0.3">
      <c r="A12" s="25"/>
      <c r="B12" s="26" t="str">
        <f>'Control Entry'!N44</f>
        <v/>
      </c>
      <c r="C12" s="26" t="str">
        <f>'Control Entry'!O44</f>
        <v/>
      </c>
      <c r="D12" s="33"/>
      <c r="E12" s="28" t="str">
        <f>IF(ISBLANK('Control Entry'!F44),"",'Control Entry'!F44)</f>
        <v/>
      </c>
      <c r="F12" s="85" t="str">
        <f>IF(ISBLANK('Control Entry'!I44),"",'Control Entry'!I44)</f>
        <v/>
      </c>
      <c r="G12" s="86"/>
      <c r="H12" s="24" t="s">
        <v>29</v>
      </c>
      <c r="J12" s="15" t="s">
        <v>38</v>
      </c>
      <c r="K12" s="15"/>
      <c r="L12" s="133"/>
      <c r="M12" s="133"/>
      <c r="N12" s="133"/>
      <c r="O12" s="15"/>
      <c r="P12" s="15" t="s">
        <v>39</v>
      </c>
      <c r="Q12" s="15"/>
      <c r="R12" s="15"/>
      <c r="S12" s="121"/>
      <c r="T12" s="121"/>
      <c r="U12" s="121"/>
    </row>
    <row r="13" spans="1:22" ht="36" customHeight="1" thickBot="1" x14ac:dyDescent="0.3">
      <c r="A13" s="34" t="str">
        <f>IF(ISBLANK('Control Entry'!D44),"",'Control Entry'!D44)</f>
        <v/>
      </c>
      <c r="B13" s="35" t="str">
        <f>'Control Entry'!N44</f>
        <v/>
      </c>
      <c r="C13" s="35" t="str">
        <f>'Control Entry'!O44</f>
        <v/>
      </c>
      <c r="D13" s="36" t="str">
        <f>IF(ISBLANK('Control Entry'!E44),"",'Control Entry'!E44)</f>
        <v/>
      </c>
      <c r="E13" s="28" t="str">
        <f>IF(ISBLANK('Control Entry'!G44),"",'Control Entry'!G44)</f>
        <v/>
      </c>
      <c r="F13" s="85" t="str">
        <f>IF(ISBLANK('Control Entry'!J44),"",'Control Entry'!J44)</f>
        <v/>
      </c>
      <c r="G13" s="86"/>
      <c r="H13" s="24" t="s">
        <v>29</v>
      </c>
      <c r="J13" s="15" t="s">
        <v>40</v>
      </c>
      <c r="L13" s="143"/>
      <c r="M13" s="143"/>
      <c r="N13" s="143"/>
      <c r="P13" s="15" t="s">
        <v>41</v>
      </c>
      <c r="Q13" s="15"/>
      <c r="R13" s="122"/>
      <c r="S13" s="122"/>
      <c r="T13" s="122"/>
      <c r="U13" s="122"/>
    </row>
    <row r="14" spans="1:22" ht="36" customHeight="1" thickBot="1" x14ac:dyDescent="0.25">
      <c r="A14" s="29"/>
      <c r="B14" s="30" t="str">
        <f>'Control Entry'!N44</f>
        <v/>
      </c>
      <c r="C14" s="30" t="str">
        <f>'Control Entry'!O44</f>
        <v/>
      </c>
      <c r="D14" s="31"/>
      <c r="E14" s="32" t="str">
        <f>IF(ISBLANK('Control Entry'!H44),"",'Control Entry'!H44)</f>
        <v/>
      </c>
      <c r="F14" s="90" t="str">
        <f>IF(ISBLANK('Control Entry'!K44),"",'Control Entry'!K44)</f>
        <v/>
      </c>
      <c r="G14" s="89"/>
      <c r="H14" s="24" t="s">
        <v>29</v>
      </c>
    </row>
    <row r="15" spans="1:22" ht="36" customHeight="1" x14ac:dyDescent="0.2">
      <c r="A15" s="25"/>
      <c r="B15" s="26" t="str">
        <f>'Control Entry'!N45</f>
        <v/>
      </c>
      <c r="C15" s="26" t="str">
        <f>'Control Entry'!O45</f>
        <v/>
      </c>
      <c r="D15" s="33"/>
      <c r="E15" s="28" t="str">
        <f>IF(ISBLANK('Control Entry'!F45),"",'Control Entry'!F45)</f>
        <v/>
      </c>
      <c r="F15" s="85" t="str">
        <f>IF(ISBLANK('Control Entry'!I45),"",'Control Entry'!I45)</f>
        <v/>
      </c>
      <c r="G15" s="86"/>
      <c r="H15" s="24" t="s">
        <v>29</v>
      </c>
      <c r="J15" s="15"/>
      <c r="L15" s="137" t="s">
        <v>58</v>
      </c>
      <c r="M15" s="137"/>
      <c r="N15" s="137"/>
      <c r="O15" s="137"/>
      <c r="P15" s="137"/>
      <c r="Q15" s="137"/>
      <c r="R15" s="137"/>
      <c r="S15" s="137"/>
      <c r="T15" s="137"/>
      <c r="U15" s="137"/>
    </row>
    <row r="16" spans="1:22" ht="36" customHeight="1" thickBot="1" x14ac:dyDescent="0.25">
      <c r="A16" s="34" t="str">
        <f>IF(ISBLANK('Control Entry'!D45),"",'Control Entry'!D45)</f>
        <v/>
      </c>
      <c r="B16" s="35" t="str">
        <f>'Control Entry'!N45</f>
        <v/>
      </c>
      <c r="C16" s="35" t="str">
        <f>'Control Entry'!O45</f>
        <v/>
      </c>
      <c r="D16" s="36" t="str">
        <f>IF(ISBLANK('Control Entry'!E45),"",'Control Entry'!E45)</f>
        <v/>
      </c>
      <c r="E16" s="28" t="str">
        <f>IF(ISBLANK('Control Entry'!G45),"",'Control Entry'!G45)</f>
        <v/>
      </c>
      <c r="F16" s="85" t="str">
        <f>IF(ISBLANK('Control Entry'!J45),"",'Control Entry'!J45)</f>
        <v/>
      </c>
      <c r="G16" s="86"/>
      <c r="H16" s="24" t="s">
        <v>29</v>
      </c>
      <c r="L16" s="145"/>
      <c r="M16" s="145"/>
      <c r="N16" s="145"/>
      <c r="O16" s="145"/>
      <c r="P16" s="145"/>
      <c r="Q16" s="145"/>
      <c r="R16" s="145"/>
      <c r="S16" s="145"/>
      <c r="T16" s="145"/>
      <c r="U16" s="145"/>
    </row>
    <row r="17" spans="1:22" ht="36" customHeight="1" thickBot="1" x14ac:dyDescent="0.25">
      <c r="A17" s="29"/>
      <c r="B17" s="30" t="str">
        <f>'Control Entry'!N45</f>
        <v/>
      </c>
      <c r="C17" s="30" t="str">
        <f>'Control Entry'!O45</f>
        <v/>
      </c>
      <c r="D17" s="31"/>
      <c r="E17" s="32" t="str">
        <f>IF(ISBLANK('Control Entry'!H45),"",'Control Entry'!H45)</f>
        <v/>
      </c>
      <c r="F17" s="90" t="str">
        <f>IF(ISBLANK('Control Entry'!K45),"",'Control Entry'!K45)</f>
        <v/>
      </c>
      <c r="G17" s="89"/>
      <c r="H17" s="24" t="s">
        <v>29</v>
      </c>
    </row>
    <row r="18" spans="1:22" ht="36" customHeight="1" x14ac:dyDescent="0.2">
      <c r="A18" s="25"/>
      <c r="B18" s="26" t="str">
        <f>'Control Entry'!N46</f>
        <v/>
      </c>
      <c r="C18" s="26" t="str">
        <f>'Control Entry'!O46</f>
        <v/>
      </c>
      <c r="D18" s="33"/>
      <c r="E18" s="28" t="str">
        <f>IF(ISBLANK('Control Entry'!F46),"",'Control Entry'!F46)</f>
        <v/>
      </c>
      <c r="F18" s="85" t="str">
        <f>IF(ISBLANK('Control Entry'!I46),"",'Control Entry'!I46)</f>
        <v/>
      </c>
      <c r="G18" s="86"/>
      <c r="H18" s="24" t="s">
        <v>29</v>
      </c>
    </row>
    <row r="19" spans="1:22" ht="36" customHeight="1" x14ac:dyDescent="0.2">
      <c r="A19" s="34" t="str">
        <f>IF(ISBLANK('Control Entry'!D46),"",'Control Entry'!D46)</f>
        <v/>
      </c>
      <c r="B19" s="35" t="str">
        <f>'Control Entry'!N46</f>
        <v/>
      </c>
      <c r="C19" s="35" t="str">
        <f>'Control Entry'!O46</f>
        <v/>
      </c>
      <c r="D19" s="36" t="str">
        <f>IF(ISBLANK('Control Entry'!E46),"",'Control Entry'!E46)</f>
        <v/>
      </c>
      <c r="E19" s="28" t="str">
        <f>IF(ISBLANK('Control Entry'!G46),"",'Control Entry'!G46)</f>
        <v/>
      </c>
      <c r="F19" s="85" t="str">
        <f>IF(ISBLANK('Control Entry'!J46),"",'Control Entry'!J46)</f>
        <v/>
      </c>
      <c r="G19" s="86"/>
      <c r="H19" s="24" t="s">
        <v>29</v>
      </c>
    </row>
    <row r="20" spans="1:22" ht="36" customHeight="1" thickBot="1" x14ac:dyDescent="0.25">
      <c r="A20" s="29"/>
      <c r="B20" s="30" t="str">
        <f>'Control Entry'!N46</f>
        <v/>
      </c>
      <c r="C20" s="30" t="str">
        <f>'Control Entry'!O46</f>
        <v/>
      </c>
      <c r="D20" s="31"/>
      <c r="E20" s="32" t="str">
        <f>IF(ISBLANK('Control Entry'!H46),"",'Control Entry'!H46)</f>
        <v/>
      </c>
      <c r="F20" s="90" t="str">
        <f>IF(ISBLANK('Control Entry'!K46),"",'Control Entry'!K46)</f>
        <v/>
      </c>
      <c r="G20" s="89"/>
      <c r="H20" s="24" t="s">
        <v>29</v>
      </c>
      <c r="J20" s="50" t="s">
        <v>44</v>
      </c>
      <c r="K20" s="50"/>
      <c r="L20" s="132">
        <f>IF(ISBLANK('Control Entry'!B12),"",'Control Entry'!B12)</f>
        <v>45056</v>
      </c>
      <c r="M20" s="132"/>
      <c r="N20" s="132"/>
      <c r="P20" s="15" t="s">
        <v>0</v>
      </c>
      <c r="Q20" s="15"/>
      <c r="S20" s="136">
        <f>IF(ISBLANK('Control Entry'!B13),"",'Control Entry'!B13)</f>
        <v>0.25</v>
      </c>
      <c r="T20" s="136"/>
      <c r="U20" s="136"/>
    </row>
    <row r="21" spans="1:22" ht="36" customHeight="1" x14ac:dyDescent="0.2">
      <c r="A21" s="25"/>
      <c r="B21" s="26" t="str">
        <f>'Control Entry'!N47</f>
        <v/>
      </c>
      <c r="C21" s="26" t="str">
        <f>'Control Entry'!O47</f>
        <v/>
      </c>
      <c r="D21" s="33"/>
      <c r="E21" s="28" t="str">
        <f>IF(ISBLANK('Control Entry'!F47),"",'Control Entry'!F47)</f>
        <v/>
      </c>
      <c r="F21" s="85" t="str">
        <f>IF(ISBLANK('Control Entry'!I47),"",'Control Entry'!I47)</f>
        <v/>
      </c>
      <c r="G21" s="86"/>
      <c r="H21" s="24" t="s">
        <v>29</v>
      </c>
      <c r="J21" s="138" t="s">
        <v>90</v>
      </c>
      <c r="K21" s="138"/>
      <c r="L21" s="138"/>
      <c r="M21" s="138"/>
      <c r="N21" s="138"/>
      <c r="O21" s="138"/>
      <c r="P21" s="138"/>
      <c r="Q21" s="138"/>
      <c r="R21" s="138"/>
      <c r="S21" s="138"/>
      <c r="T21" s="138"/>
      <c r="U21" s="138"/>
    </row>
    <row r="22" spans="1:22" ht="36" customHeight="1" thickBot="1" x14ac:dyDescent="0.25">
      <c r="A22" s="34" t="str">
        <f>IF(ISBLANK('Control Entry'!D47),"",'Control Entry'!D47)</f>
        <v/>
      </c>
      <c r="B22" s="35" t="str">
        <f>'Control Entry'!N47</f>
        <v/>
      </c>
      <c r="C22" s="35" t="str">
        <f>'Control Entry'!O47</f>
        <v/>
      </c>
      <c r="D22" s="36" t="str">
        <f>IF(ISBLANK('Control Entry'!E47),"",'Control Entry'!E47)</f>
        <v/>
      </c>
      <c r="E22" s="28" t="str">
        <f>IF(ISBLANK('Control Entry'!G47),"",'Control Entry'!G47)</f>
        <v/>
      </c>
      <c r="F22" s="85" t="str">
        <f>IF(ISBLANK('Control Entry'!J47),"",'Control Entry'!J47)</f>
        <v/>
      </c>
      <c r="G22" s="86"/>
      <c r="H22" s="24" t="s">
        <v>29</v>
      </c>
      <c r="J22" s="50" t="s">
        <v>45</v>
      </c>
      <c r="K22" s="50"/>
      <c r="L22" s="91"/>
      <c r="M22" s="91"/>
      <c r="N22" s="91"/>
      <c r="P22" s="15" t="s">
        <v>1</v>
      </c>
      <c r="Q22" s="15"/>
      <c r="S22" s="139"/>
      <c r="T22" s="139"/>
      <c r="U22" s="139"/>
    </row>
    <row r="23" spans="1:22" ht="36" customHeight="1" thickBot="1" x14ac:dyDescent="0.25">
      <c r="A23" s="29"/>
      <c r="B23" s="30" t="str">
        <f>'Control Entry'!N47</f>
        <v/>
      </c>
      <c r="C23" s="30" t="str">
        <f>'Control Entry'!O47</f>
        <v/>
      </c>
      <c r="D23" s="31"/>
      <c r="E23" s="32" t="str">
        <f>IF(ISBLANK('Control Entry'!H47),"",'Control Entry'!H47)</f>
        <v/>
      </c>
      <c r="F23" s="90" t="str">
        <f>IF(ISBLANK('Control Entry'!K47),"",'Control Entry'!K47)</f>
        <v/>
      </c>
      <c r="G23" s="89"/>
      <c r="H23" s="24" t="s">
        <v>29</v>
      </c>
      <c r="J23" s="50"/>
      <c r="K23" s="50"/>
      <c r="L23" s="44"/>
      <c r="M23" s="44"/>
      <c r="N23" s="44"/>
      <c r="P23" s="15"/>
      <c r="Q23" s="15"/>
    </row>
    <row r="24" spans="1:22" ht="36" customHeight="1" thickBot="1" x14ac:dyDescent="0.25">
      <c r="A24" s="25"/>
      <c r="B24" s="26" t="str">
        <f>'Control Entry'!N48</f>
        <v/>
      </c>
      <c r="C24" s="26" t="str">
        <f>'Control Entry'!O48</f>
        <v/>
      </c>
      <c r="D24" s="33"/>
      <c r="E24" s="28" t="str">
        <f>IF(ISBLANK('Control Entry'!F48),"",'Control Entry'!F48)</f>
        <v/>
      </c>
      <c r="F24" s="85" t="str">
        <f>IF(ISBLANK('Control Entry'!I48),"",'Control Entry'!I48)</f>
        <v/>
      </c>
      <c r="G24" s="86"/>
      <c r="H24" s="24" t="s">
        <v>29</v>
      </c>
      <c r="J24" s="139"/>
      <c r="K24" s="139"/>
      <c r="L24" s="139"/>
      <c r="M24" s="139"/>
      <c r="N24" s="139"/>
      <c r="P24" s="15" t="s">
        <v>2</v>
      </c>
      <c r="Q24" s="15"/>
      <c r="S24" s="139"/>
      <c r="T24" s="139"/>
      <c r="U24" s="139"/>
    </row>
    <row r="25" spans="1:22" ht="36" customHeight="1" x14ac:dyDescent="0.2">
      <c r="A25" s="34" t="str">
        <f>IF(ISBLANK('Control Entry'!D48),"",'Control Entry'!D48)</f>
        <v/>
      </c>
      <c r="B25" s="35" t="str">
        <f>'Control Entry'!N48</f>
        <v/>
      </c>
      <c r="C25" s="35" t="str">
        <f>'Control Entry'!O48</f>
        <v/>
      </c>
      <c r="D25" s="36" t="str">
        <f>IF(ISBLANK('Control Entry'!E48),"",'Control Entry'!E48)</f>
        <v/>
      </c>
      <c r="E25" s="28" t="str">
        <f>IF(ISBLANK('Control Entry'!G48),"",'Control Entry'!G48)</f>
        <v/>
      </c>
      <c r="F25" s="85" t="str">
        <f>IF(ISBLANK('Control Entry'!J48),"",'Control Entry'!J48)</f>
        <v/>
      </c>
      <c r="G25" s="86"/>
      <c r="H25" s="24" t="s">
        <v>29</v>
      </c>
      <c r="J25" s="134" t="s">
        <v>17</v>
      </c>
      <c r="K25" s="134"/>
      <c r="L25" s="134"/>
      <c r="M25" s="134"/>
      <c r="N25" s="134"/>
      <c r="O25" s="46"/>
      <c r="P25" s="113"/>
      <c r="Q25" s="113"/>
      <c r="R25" s="46"/>
      <c r="S25" s="111"/>
      <c r="T25" s="111"/>
      <c r="U25" s="111"/>
      <c r="V25" s="111"/>
    </row>
    <row r="26" spans="1:22" ht="36" customHeight="1" thickBot="1" x14ac:dyDescent="0.25">
      <c r="A26" s="29"/>
      <c r="B26" s="30" t="str">
        <f>'Control Entry'!N48</f>
        <v/>
      </c>
      <c r="C26" s="30" t="str">
        <f>'Control Entry'!O48</f>
        <v/>
      </c>
      <c r="D26" s="31"/>
      <c r="E26" s="32" t="str">
        <f>IF(ISBLANK('Control Entry'!H48),"",'Control Entry'!H48)</f>
        <v/>
      </c>
      <c r="F26" s="90" t="str">
        <f>IF(ISBLANK('Control Entry'!K48),"",'Control Entry'!K48)</f>
        <v/>
      </c>
      <c r="G26" s="89"/>
      <c r="H26" s="24" t="s">
        <v>29</v>
      </c>
    </row>
    <row r="27" spans="1:22" ht="36" customHeight="1" x14ac:dyDescent="0.2">
      <c r="A27" s="25"/>
      <c r="B27" s="26" t="str">
        <f>'Control Entry'!N49</f>
        <v/>
      </c>
      <c r="C27" s="26" t="str">
        <f>'Control Entry'!O49</f>
        <v/>
      </c>
      <c r="D27" s="33"/>
      <c r="E27" s="28" t="str">
        <f>IF(ISBLANK('Control Entry'!F49),"",'Control Entry'!F49)</f>
        <v/>
      </c>
      <c r="F27" s="85" t="str">
        <f>IF(ISBLANK('Control Entry'!I49),"",'Control Entry'!I49)</f>
        <v/>
      </c>
      <c r="G27" s="86"/>
      <c r="H27" s="24" t="s">
        <v>29</v>
      </c>
      <c r="K27" s="120" t="s">
        <v>56</v>
      </c>
      <c r="L27" s="113"/>
      <c r="M27" s="45" t="s">
        <v>57</v>
      </c>
      <c r="N27" s="113" t="s">
        <v>49</v>
      </c>
      <c r="O27" s="113"/>
      <c r="P27" s="113" t="s">
        <v>50</v>
      </c>
      <c r="Q27" s="113"/>
      <c r="R27" s="46" t="s">
        <v>51</v>
      </c>
      <c r="S27" s="111" t="s">
        <v>52</v>
      </c>
      <c r="T27" s="111"/>
      <c r="U27" s="111" t="s">
        <v>53</v>
      </c>
      <c r="V27" s="111"/>
    </row>
    <row r="28" spans="1:22" ht="36" customHeight="1" x14ac:dyDescent="0.2">
      <c r="A28" s="34" t="str">
        <f>IF(ISBLANK('Control Entry'!D49),"",'Control Entry'!D49)</f>
        <v/>
      </c>
      <c r="B28" s="35" t="str">
        <f>'Control Entry'!N49</f>
        <v/>
      </c>
      <c r="C28" s="35" t="str">
        <f>'Control Entry'!O49</f>
        <v/>
      </c>
      <c r="D28" s="36" t="str">
        <f>IF(ISBLANK('Control Entry'!E49),"",'Control Entry'!E49)</f>
        <v/>
      </c>
      <c r="E28" s="28" t="str">
        <f>IF(ISBLANK('Control Entry'!G49),"",'Control Entry'!G49)</f>
        <v/>
      </c>
      <c r="F28" s="85" t="str">
        <f>IF(ISBLANK('Control Entry'!J49),"",'Control Entry'!J49)</f>
        <v/>
      </c>
      <c r="G28" s="86"/>
      <c r="H28" s="24" t="s">
        <v>29</v>
      </c>
    </row>
    <row r="29" spans="1:22" ht="36" customHeight="1" thickBot="1" x14ac:dyDescent="0.25">
      <c r="A29" s="29"/>
      <c r="B29" s="30" t="str">
        <f>'Control Entry'!N49</f>
        <v/>
      </c>
      <c r="C29" s="30" t="str">
        <f>'Control Entry'!O49</f>
        <v/>
      </c>
      <c r="D29" s="31"/>
      <c r="E29" s="32" t="str">
        <f>IF(ISBLANK('Control Entry'!H49),"",'Control Entry'!H49)</f>
        <v/>
      </c>
      <c r="F29" s="90" t="str">
        <f>IF(ISBLANK('Control Entry'!K49),"",'Control Entry'!K49)</f>
        <v/>
      </c>
      <c r="G29" s="89"/>
      <c r="H29" s="24" t="s">
        <v>29</v>
      </c>
      <c r="M29" s="112" t="s">
        <v>42</v>
      </c>
      <c r="N29" s="112"/>
      <c r="O29" s="112"/>
      <c r="P29" s="112"/>
      <c r="Q29" s="112"/>
      <c r="R29" s="112"/>
      <c r="S29" s="112"/>
      <c r="T29" s="112"/>
      <c r="U29" s="49"/>
    </row>
    <row r="30" spans="1:22" ht="36" customHeight="1" x14ac:dyDescent="0.2">
      <c r="A30" s="25"/>
      <c r="B30" s="26" t="str">
        <f>'Control Entry'!N50</f>
        <v/>
      </c>
      <c r="C30" s="26" t="str">
        <f>'Control Entry'!O50</f>
        <v/>
      </c>
      <c r="D30" s="33"/>
      <c r="E30" s="28" t="str">
        <f>IF(ISBLANK('Control Entry'!F50),"",'Control Entry'!F50)</f>
        <v/>
      </c>
      <c r="F30" s="85" t="str">
        <f>IF(ISBLANK('Control Entry'!I50),"",'Control Entry'!I50)</f>
        <v/>
      </c>
      <c r="G30" s="86"/>
      <c r="H30" s="24" t="s">
        <v>29</v>
      </c>
      <c r="M30" s="16"/>
      <c r="N30" s="18"/>
      <c r="O30" s="18"/>
      <c r="P30" s="19"/>
      <c r="Q30" s="16"/>
      <c r="R30" s="18"/>
      <c r="S30" s="18"/>
      <c r="T30" s="19"/>
    </row>
    <row r="31" spans="1:22" ht="36" customHeight="1" x14ac:dyDescent="0.2">
      <c r="A31" s="34" t="str">
        <f>IF(ISBLANK('Control Entry'!D50),"",'Control Entry'!D50)</f>
        <v/>
      </c>
      <c r="B31" s="35" t="str">
        <f>'Control Entry'!N50</f>
        <v/>
      </c>
      <c r="C31" s="35" t="str">
        <f>'Control Entry'!O50</f>
        <v/>
      </c>
      <c r="D31" s="36" t="str">
        <f>IF(ISBLANK('Control Entry'!E50),"",'Control Entry'!E50)</f>
        <v/>
      </c>
      <c r="E31" s="28" t="str">
        <f>IF(ISBLANK('Control Entry'!G50),"",'Control Entry'!G50)</f>
        <v/>
      </c>
      <c r="F31" s="85" t="str">
        <f>IF(ISBLANK('Control Entry'!J50),"",'Control Entry'!J50)</f>
        <v/>
      </c>
      <c r="G31" s="86"/>
      <c r="H31" s="24" t="s">
        <v>29</v>
      </c>
      <c r="M31" s="17"/>
      <c r="P31" s="20"/>
      <c r="Q31" s="17"/>
      <c r="T31" s="20"/>
    </row>
    <row r="32" spans="1:22" ht="36" customHeight="1" thickBot="1" x14ac:dyDescent="0.25">
      <c r="A32" s="29"/>
      <c r="B32" s="30" t="str">
        <f>'Control Entry'!N50</f>
        <v/>
      </c>
      <c r="C32" s="30" t="str">
        <f>'Control Entry'!O50</f>
        <v/>
      </c>
      <c r="D32" s="31"/>
      <c r="E32" s="32" t="str">
        <f>IF(ISBLANK('Control Entry'!H50),"",'Control Entry'!H50)</f>
        <v/>
      </c>
      <c r="F32" s="90" t="str">
        <f>IF(ISBLANK('Control Entry'!K50),"",'Control Entry'!K50)</f>
        <v/>
      </c>
      <c r="G32" s="89"/>
      <c r="H32" s="24" t="s">
        <v>29</v>
      </c>
      <c r="M32" s="125" t="s">
        <v>82</v>
      </c>
      <c r="N32" s="126"/>
      <c r="O32" s="126"/>
      <c r="P32" s="127"/>
      <c r="Q32" s="128">
        <f>'Control Entry'!B3</f>
        <v>44874</v>
      </c>
      <c r="R32" s="129"/>
      <c r="S32" s="129"/>
      <c r="T32" s="130"/>
    </row>
    <row r="33" spans="1:22" ht="36" customHeight="1" x14ac:dyDescent="0.2">
      <c r="A33" s="119" t="s">
        <v>43</v>
      </c>
      <c r="B33" s="119"/>
      <c r="C33" s="119"/>
      <c r="D33" s="119"/>
      <c r="E33" s="119"/>
      <c r="F33" s="119"/>
      <c r="G33" s="119"/>
      <c r="H33" s="37"/>
      <c r="I33" s="37"/>
      <c r="M33" s="114" t="s">
        <v>86</v>
      </c>
      <c r="N33" s="115"/>
      <c r="O33" s="115"/>
      <c r="P33" s="115"/>
      <c r="Q33" s="116">
        <f>'Control Entry'!B4</f>
        <v>45042</v>
      </c>
      <c r="R33" s="117"/>
      <c r="S33" s="117"/>
      <c r="T33" s="117"/>
      <c r="U33" s="82"/>
      <c r="V33" s="44"/>
    </row>
    <row r="34" spans="1:22" ht="36" customHeight="1" x14ac:dyDescent="0.2">
      <c r="A34"/>
      <c r="O34" s="15"/>
      <c r="P34" s="15"/>
      <c r="Q34" s="15"/>
      <c r="R34" s="42"/>
    </row>
    <row r="35" spans="1:22" ht="36" customHeight="1" x14ac:dyDescent="0.2">
      <c r="A35"/>
      <c r="N35" s="112"/>
      <c r="O35" s="112"/>
      <c r="P35" s="112"/>
      <c r="Q35" s="112"/>
      <c r="R35" s="112"/>
      <c r="S35" s="112"/>
      <c r="T35" s="112"/>
      <c r="U35" s="11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S22:U22"/>
    <mergeCell ref="J24:N24"/>
    <mergeCell ref="S24:U24"/>
    <mergeCell ref="S11:U11"/>
    <mergeCell ref="L12:N12"/>
    <mergeCell ref="S12:U12"/>
    <mergeCell ref="L13:N13"/>
    <mergeCell ref="R13:U13"/>
    <mergeCell ref="J21:U2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s>
  <conditionalFormatting sqref="J22:N22">
    <cfRule type="expression" dxfId="10" priority="3">
      <formula>$S$3="#3"</formula>
    </cfRule>
  </conditionalFormatting>
  <conditionalFormatting sqref="J21:U21">
    <cfRule type="expression" dxfId="9" priority="1">
      <formula>$S$3&lt;&gt;"#3"</formula>
    </cfRule>
  </conditionalFormatting>
  <conditionalFormatting sqref="K27:V27">
    <cfRule type="expression" dxfId="8" priority="2">
      <formula>$S$3="#3"</formula>
    </cfRule>
  </conditionalFormatting>
  <conditionalFormatting sqref="P22:U24">
    <cfRule type="expression" dxfId="7" priority="4">
      <formula>$S$3="#3"</formula>
    </cfRule>
  </conditionalFormatting>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G1"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customWidth="1"/>
    <col min="9" max="9" width="12" customWidth="1"/>
    <col min="12" max="14" width="9" customWidth="1"/>
    <col min="18" max="18" width="8.83203125" customWidth="1"/>
    <col min="19" max="19" width="9" customWidth="1"/>
  </cols>
  <sheetData>
    <row r="1" spans="1:22" ht="21" thickBot="1" x14ac:dyDescent="0.2">
      <c r="A1" s="118" t="s">
        <v>74</v>
      </c>
      <c r="B1" s="118"/>
      <c r="C1" s="118"/>
      <c r="D1" s="118"/>
      <c r="E1" s="118"/>
      <c r="F1" s="118"/>
      <c r="G1" s="118"/>
      <c r="H1" s="24" t="s">
        <v>29</v>
      </c>
    </row>
    <row r="2" spans="1:22" ht="33.75" customHeight="1" thickBot="1" x14ac:dyDescent="0.25">
      <c r="A2" s="65" t="s">
        <v>30</v>
      </c>
      <c r="B2" s="9" t="s">
        <v>3</v>
      </c>
      <c r="C2" s="9" t="s">
        <v>4</v>
      </c>
      <c r="D2" s="9" t="s">
        <v>25</v>
      </c>
      <c r="E2" s="9" t="s">
        <v>31</v>
      </c>
      <c r="F2" s="9" t="s">
        <v>59</v>
      </c>
      <c r="G2" s="65" t="s">
        <v>32</v>
      </c>
      <c r="H2" s="24" t="s">
        <v>29</v>
      </c>
      <c r="K2" s="117" t="s">
        <v>55</v>
      </c>
      <c r="L2" s="117"/>
      <c r="M2" s="117"/>
      <c r="N2" s="117"/>
      <c r="O2" s="117"/>
      <c r="P2" s="117"/>
      <c r="Q2" s="117"/>
      <c r="R2" s="117"/>
      <c r="S2" s="117"/>
      <c r="T2" s="117"/>
      <c r="U2" s="117"/>
    </row>
    <row r="3" spans="1:22" ht="36" customHeight="1" x14ac:dyDescent="0.45">
      <c r="A3" s="25"/>
      <c r="B3" s="26" t="str">
        <f>'Control Entry'!N54</f>
        <v/>
      </c>
      <c r="C3" s="26" t="str">
        <f>'Control Entry'!O54</f>
        <v/>
      </c>
      <c r="D3" s="27"/>
      <c r="E3" s="28" t="str">
        <f>IF(ISBLANK('Control Entry'!F54),"",'Control Entry'!F54)</f>
        <v/>
      </c>
      <c r="F3" s="85" t="str">
        <f>IF(ISBLANK('Control Entry'!I54),"",'Control Entry'!I54)</f>
        <v/>
      </c>
      <c r="G3" s="86"/>
      <c r="H3" s="24" t="s">
        <v>29</v>
      </c>
      <c r="K3" s="14"/>
      <c r="O3" s="135" t="s">
        <v>73</v>
      </c>
      <c r="P3" s="135"/>
      <c r="Q3" s="135"/>
      <c r="R3" s="135"/>
      <c r="S3" s="75" t="str">
        <f>IF(AND('Control Entry'!D41=0,'Control Entry'!D54&lt;&gt;0),"#2",IF('Control Entry'!D54=0,"","#4"))</f>
        <v/>
      </c>
      <c r="T3" s="76"/>
      <c r="U3" s="38"/>
    </row>
    <row r="4" spans="1:22" ht="36" customHeight="1" x14ac:dyDescent="0.2">
      <c r="A4" s="34" t="str">
        <f>IF(ISBLANK('Control Entry'!D54),"",'Control Entry'!D54)</f>
        <v/>
      </c>
      <c r="B4" s="35" t="str">
        <f>'Control Entry'!N54</f>
        <v/>
      </c>
      <c r="C4" s="35" t="str">
        <f>'Control Entry'!O54</f>
        <v/>
      </c>
      <c r="D4" s="36" t="str">
        <f>IF(ISBLANK('Control Entry'!E54),"",'Control Entry'!E54)</f>
        <v/>
      </c>
      <c r="E4" s="28" t="str">
        <f>IF(ISBLANK('Control Entry'!G54),"",'Control Entry'!G54)</f>
        <v/>
      </c>
      <c r="F4" s="85" t="str">
        <f>IF(ISBLANK('Control Entry'!J54),"",'Control Entry'!J54)</f>
        <v/>
      </c>
      <c r="G4" s="86"/>
      <c r="H4" s="24" t="s">
        <v>29</v>
      </c>
      <c r="K4" s="14"/>
      <c r="M4" s="120" t="str">
        <f>IF(ISBLANK(brevet),"",brevet&amp;" km Randonnée")</f>
        <v>400 km Randonnée</v>
      </c>
      <c r="N4" s="120"/>
      <c r="O4" s="120"/>
      <c r="P4" s="120"/>
      <c r="Q4" s="120"/>
      <c r="R4" s="120"/>
      <c r="S4" s="120"/>
      <c r="T4" s="120"/>
      <c r="U4" s="39"/>
    </row>
    <row r="5" spans="1:22" ht="36" customHeight="1" thickBot="1" x14ac:dyDescent="0.25">
      <c r="A5" s="29"/>
      <c r="B5" s="30" t="str">
        <f>'Control Entry'!N54</f>
        <v/>
      </c>
      <c r="C5" s="30" t="str">
        <f>'Control Entry'!O54</f>
        <v/>
      </c>
      <c r="D5" s="31"/>
      <c r="E5" s="32" t="str">
        <f>IF(ISBLANK('Control Entry'!H54),"",'Control Entry'!H54)</f>
        <v/>
      </c>
      <c r="F5" s="90" t="str">
        <f>IF(ISBLANK('Control Entry'!K54),"",'Control Entry'!K54)</f>
        <v/>
      </c>
      <c r="G5" s="89"/>
      <c r="H5" s="24" t="s">
        <v>29</v>
      </c>
      <c r="K5" s="14"/>
      <c r="M5" s="15"/>
      <c r="N5" s="111" t="s">
        <v>47</v>
      </c>
      <c r="O5" s="111"/>
      <c r="P5" s="52">
        <f>IF(ISBLANK(Brevet_Number),"",Brevet_Number)</f>
        <v>5271</v>
      </c>
      <c r="Q5" s="53"/>
      <c r="R5" s="123">
        <f>IF(ISBLANK('Control Entry'!$B10),"",'Control Entry'!$B10)</f>
        <v>45056</v>
      </c>
      <c r="S5" s="123"/>
      <c r="T5" s="123"/>
      <c r="U5" s="123"/>
      <c r="V5" s="40"/>
    </row>
    <row r="6" spans="1:22" ht="36" customHeight="1" x14ac:dyDescent="0.2">
      <c r="A6" s="25"/>
      <c r="B6" s="26" t="str">
        <f>'Control Entry'!N55</f>
        <v/>
      </c>
      <c r="C6" s="26" t="str">
        <f>'Control Entry'!O55</f>
        <v/>
      </c>
      <c r="D6" s="33"/>
      <c r="E6" s="28" t="str">
        <f>IF(ISBLANK('Control Entry'!F55),"",'Control Entry'!F55)</f>
        <v/>
      </c>
      <c r="F6" s="85" t="str">
        <f>IF(ISBLANK('Control Entry'!I55),"",'Control Entry'!I55)</f>
        <v/>
      </c>
      <c r="G6" s="86"/>
      <c r="H6" s="24" t="s">
        <v>29</v>
      </c>
      <c r="K6" s="14"/>
      <c r="L6" s="138" t="str">
        <f>IF(ISBLANK(Brevet_Description),"",Brevet_Description)</f>
        <v>SRW Parallels with Latitude</v>
      </c>
      <c r="M6" s="138"/>
      <c r="N6" s="138"/>
      <c r="O6" s="138"/>
      <c r="P6" s="138"/>
      <c r="Q6" s="138"/>
      <c r="R6" s="138"/>
      <c r="S6" s="138"/>
      <c r="T6" s="138"/>
      <c r="U6" s="138"/>
    </row>
    <row r="7" spans="1:22" ht="36" customHeight="1" x14ac:dyDescent="0.2">
      <c r="A7" s="34" t="str">
        <f>IF(ISBLANK('Control Entry'!D55),"",'Control Entry'!D55)</f>
        <v/>
      </c>
      <c r="B7" s="35" t="str">
        <f>'Control Entry'!N55</f>
        <v/>
      </c>
      <c r="C7" s="35" t="str">
        <f>'Control Entry'!O55</f>
        <v/>
      </c>
      <c r="D7" s="36" t="str">
        <f>IF(ISBLANK('Control Entry'!E55),"",'Control Entry'!E55)</f>
        <v/>
      </c>
      <c r="E7" s="28" t="str">
        <f>IF(ISBLANK('Control Entry'!G55),"",'Control Entry'!G55)</f>
        <v/>
      </c>
      <c r="F7" s="85" t="str">
        <f>IF(ISBLANK('Control Entry'!J55),"",'Control Entry'!J55)</f>
        <v/>
      </c>
      <c r="G7" s="86"/>
      <c r="H7" s="24" t="s">
        <v>29</v>
      </c>
    </row>
    <row r="8" spans="1:22" ht="36" customHeight="1" thickBot="1" x14ac:dyDescent="0.25">
      <c r="A8" s="29"/>
      <c r="B8" s="30" t="str">
        <f>'Control Entry'!N55</f>
        <v/>
      </c>
      <c r="C8" s="30" t="str">
        <f>'Control Entry'!O55</f>
        <v/>
      </c>
      <c r="D8" s="31"/>
      <c r="E8" s="32" t="str">
        <f>IF(ISBLANK('Control Entry'!H55),"",'Control Entry'!H55)</f>
        <v/>
      </c>
      <c r="F8" s="90" t="str">
        <f>IF(ISBLANK('Control Entry'!K55),"",'Control Entry'!K55)</f>
        <v/>
      </c>
      <c r="G8" s="89"/>
      <c r="H8" s="24" t="s">
        <v>29</v>
      </c>
      <c r="J8" s="15" t="s">
        <v>34</v>
      </c>
      <c r="L8" s="124"/>
      <c r="M8" s="124"/>
      <c r="N8" s="124"/>
      <c r="O8" s="124"/>
      <c r="P8" s="124"/>
      <c r="Q8" s="124"/>
      <c r="S8" s="41" t="s">
        <v>46</v>
      </c>
      <c r="T8" s="131"/>
      <c r="U8" s="131"/>
    </row>
    <row r="9" spans="1:22" ht="36" customHeight="1" thickBot="1" x14ac:dyDescent="0.3">
      <c r="A9" s="25"/>
      <c r="B9" s="26" t="str">
        <f>'Control Entry'!N56</f>
        <v/>
      </c>
      <c r="C9" s="26" t="str">
        <f>'Control Entry'!O56</f>
        <v/>
      </c>
      <c r="D9" s="33"/>
      <c r="E9" s="28" t="str">
        <f>IF(ISBLANK('Control Entry'!F56),"",'Control Entry'!F56)</f>
        <v/>
      </c>
      <c r="F9" s="85" t="str">
        <f>IF(ISBLANK('Control Entry'!I56),"",'Control Entry'!I56)</f>
        <v/>
      </c>
      <c r="G9" s="86"/>
      <c r="H9" s="24" t="s">
        <v>29</v>
      </c>
      <c r="J9" s="15" t="s">
        <v>35</v>
      </c>
      <c r="K9" s="15"/>
      <c r="L9" s="140" t="s">
        <v>54</v>
      </c>
      <c r="M9" s="140"/>
      <c r="N9" s="140"/>
      <c r="O9" s="140"/>
      <c r="P9" s="140"/>
      <c r="Q9" s="140"/>
      <c r="R9" s="140"/>
      <c r="S9" s="140"/>
      <c r="T9" s="140"/>
      <c r="U9" s="140"/>
    </row>
    <row r="10" spans="1:22" ht="36" customHeight="1" thickBot="1" x14ac:dyDescent="0.3">
      <c r="A10" s="34" t="str">
        <f>IF(ISBLANK('Control Entry'!D56),"",'Control Entry'!D56)</f>
        <v/>
      </c>
      <c r="B10" s="35" t="str">
        <f>'Control Entry'!N56</f>
        <v/>
      </c>
      <c r="C10" s="35" t="str">
        <f>'Control Entry'!O56</f>
        <v/>
      </c>
      <c r="D10" s="36" t="str">
        <f>IF(ISBLANK('Control Entry'!E56),"",'Control Entry'!E56)</f>
        <v/>
      </c>
      <c r="E10" s="28" t="str">
        <f>IF(ISBLANK('Control Entry'!G56),"",'Control Entry'!G56)</f>
        <v/>
      </c>
      <c r="F10" s="85" t="str">
        <f>IF(ISBLANK('Control Entry'!J56),"",'Control Entry'!J56)</f>
        <v/>
      </c>
      <c r="G10" s="86"/>
      <c r="H10" s="24" t="s">
        <v>29</v>
      </c>
      <c r="J10" s="15"/>
      <c r="K10" s="15"/>
      <c r="L10" s="133"/>
      <c r="M10" s="133"/>
      <c r="N10" s="133"/>
      <c r="O10" s="133"/>
      <c r="P10" s="133"/>
      <c r="Q10" s="133"/>
      <c r="R10" s="133"/>
      <c r="S10" s="133"/>
      <c r="T10" s="133"/>
      <c r="U10" s="133"/>
    </row>
    <row r="11" spans="1:22" ht="36" customHeight="1" thickBot="1" x14ac:dyDescent="0.3">
      <c r="A11" s="29"/>
      <c r="B11" s="30" t="str">
        <f>'Control Entry'!N56</f>
        <v/>
      </c>
      <c r="C11" s="30" t="str">
        <f>'Control Entry'!O56</f>
        <v/>
      </c>
      <c r="D11" s="31"/>
      <c r="E11" s="32" t="str">
        <f>IF(ISBLANK('Control Entry'!H56),"",'Control Entry'!H56)</f>
        <v/>
      </c>
      <c r="F11" s="90" t="str">
        <f>IF(ISBLANK('Control Entry'!K56),"",'Control Entry'!K56)</f>
        <v/>
      </c>
      <c r="G11" s="89"/>
      <c r="H11" s="24" t="s">
        <v>29</v>
      </c>
      <c r="J11" s="15" t="s">
        <v>36</v>
      </c>
      <c r="K11" s="15"/>
      <c r="L11" s="133"/>
      <c r="M11" s="133"/>
      <c r="N11" s="133"/>
      <c r="O11" s="15"/>
      <c r="P11" s="15" t="s">
        <v>37</v>
      </c>
      <c r="Q11" s="15"/>
      <c r="R11" s="15"/>
      <c r="S11" s="121"/>
      <c r="T11" s="121"/>
      <c r="U11" s="121"/>
    </row>
    <row r="12" spans="1:22" ht="36" customHeight="1" thickBot="1" x14ac:dyDescent="0.3">
      <c r="A12" s="25"/>
      <c r="B12" s="26" t="str">
        <f>'Control Entry'!N57</f>
        <v/>
      </c>
      <c r="C12" s="26" t="str">
        <f>'Control Entry'!O57</f>
        <v/>
      </c>
      <c r="D12" s="33"/>
      <c r="E12" s="28" t="str">
        <f>IF(ISBLANK('Control Entry'!F57),"",'Control Entry'!F57)</f>
        <v/>
      </c>
      <c r="F12" s="85" t="str">
        <f>IF(ISBLANK('Control Entry'!I57),"",'Control Entry'!I57)</f>
        <v/>
      </c>
      <c r="G12" s="86"/>
      <c r="H12" s="24" t="s">
        <v>29</v>
      </c>
      <c r="J12" s="15" t="s">
        <v>38</v>
      </c>
      <c r="K12" s="15"/>
      <c r="L12" s="133"/>
      <c r="M12" s="133"/>
      <c r="N12" s="133"/>
      <c r="O12" s="15"/>
      <c r="P12" s="15" t="s">
        <v>39</v>
      </c>
      <c r="Q12" s="15"/>
      <c r="R12" s="15"/>
      <c r="S12" s="121"/>
      <c r="T12" s="121"/>
      <c r="U12" s="121"/>
    </row>
    <row r="13" spans="1:22" ht="36" customHeight="1" thickBot="1" x14ac:dyDescent="0.3">
      <c r="A13" s="34" t="str">
        <f>IF(ISBLANK('Control Entry'!D57),"",'Control Entry'!D57)</f>
        <v/>
      </c>
      <c r="B13" s="35" t="str">
        <f>'Control Entry'!N57</f>
        <v/>
      </c>
      <c r="C13" s="35" t="str">
        <f>'Control Entry'!O57</f>
        <v/>
      </c>
      <c r="D13" s="36" t="str">
        <f>IF(ISBLANK('Control Entry'!E57),"",'Control Entry'!E57)</f>
        <v/>
      </c>
      <c r="E13" s="28" t="str">
        <f>IF(ISBLANK('Control Entry'!G57),"",'Control Entry'!G57)</f>
        <v/>
      </c>
      <c r="F13" s="85" t="str">
        <f>IF(ISBLANK('Control Entry'!J57),"",'Control Entry'!J57)</f>
        <v/>
      </c>
      <c r="G13" s="86"/>
      <c r="H13" s="24" t="s">
        <v>29</v>
      </c>
      <c r="J13" s="15" t="s">
        <v>40</v>
      </c>
      <c r="L13" s="143"/>
      <c r="M13" s="143"/>
      <c r="N13" s="143"/>
      <c r="P13" s="15" t="s">
        <v>41</v>
      </c>
      <c r="Q13" s="15"/>
      <c r="R13" s="122"/>
      <c r="S13" s="122"/>
      <c r="T13" s="122"/>
      <c r="U13" s="122"/>
    </row>
    <row r="14" spans="1:22" ht="36" customHeight="1" thickBot="1" x14ac:dyDescent="0.25">
      <c r="A14" s="29"/>
      <c r="B14" s="30" t="str">
        <f>'Control Entry'!N57</f>
        <v/>
      </c>
      <c r="C14" s="30" t="str">
        <f>'Control Entry'!O57</f>
        <v/>
      </c>
      <c r="D14" s="31"/>
      <c r="E14" s="32" t="str">
        <f>IF(ISBLANK('Control Entry'!H57),"",'Control Entry'!H57)</f>
        <v/>
      </c>
      <c r="F14" s="90" t="str">
        <f>IF(ISBLANK('Control Entry'!K57),"",'Control Entry'!K57)</f>
        <v/>
      </c>
      <c r="G14" s="89"/>
      <c r="H14" s="24" t="s">
        <v>29</v>
      </c>
    </row>
    <row r="15" spans="1:22" ht="36" customHeight="1" x14ac:dyDescent="0.2">
      <c r="A15" s="25"/>
      <c r="B15" s="26" t="str">
        <f>'Control Entry'!N58</f>
        <v/>
      </c>
      <c r="C15" s="26" t="str">
        <f>'Control Entry'!O58</f>
        <v/>
      </c>
      <c r="D15" s="33"/>
      <c r="E15" s="28" t="str">
        <f>IF(ISBLANK('Control Entry'!F58),"",'Control Entry'!F58)</f>
        <v/>
      </c>
      <c r="F15" s="85" t="str">
        <f>IF(ISBLANK('Control Entry'!I58),"",'Control Entry'!I58)</f>
        <v/>
      </c>
      <c r="G15" s="86"/>
      <c r="H15" s="24" t="s">
        <v>29</v>
      </c>
      <c r="J15" s="15"/>
      <c r="L15" s="137" t="s">
        <v>58</v>
      </c>
      <c r="M15" s="137"/>
      <c r="N15" s="137"/>
      <c r="O15" s="137"/>
      <c r="P15" s="137"/>
      <c r="Q15" s="137"/>
      <c r="R15" s="137"/>
      <c r="S15" s="137"/>
      <c r="T15" s="137"/>
      <c r="U15" s="137"/>
    </row>
    <row r="16" spans="1:22" ht="36" customHeight="1" thickBot="1" x14ac:dyDescent="0.25">
      <c r="A16" s="34" t="str">
        <f>IF(ISBLANK('Control Entry'!D58),"",'Control Entry'!D58)</f>
        <v/>
      </c>
      <c r="B16" s="35" t="str">
        <f>'Control Entry'!N58</f>
        <v/>
      </c>
      <c r="C16" s="35" t="str">
        <f>'Control Entry'!O58</f>
        <v/>
      </c>
      <c r="D16" s="36" t="str">
        <f>IF(ISBLANK('Control Entry'!E58),"",'Control Entry'!E58)</f>
        <v/>
      </c>
      <c r="E16" s="28" t="str">
        <f>IF(ISBLANK('Control Entry'!G58),"",'Control Entry'!G58)</f>
        <v/>
      </c>
      <c r="F16" s="85" t="str">
        <f>IF(ISBLANK('Control Entry'!J58),"",'Control Entry'!J58)</f>
        <v/>
      </c>
      <c r="G16" s="86"/>
      <c r="H16" s="24" t="s">
        <v>29</v>
      </c>
      <c r="L16" s="145"/>
      <c r="M16" s="145"/>
      <c r="N16" s="145"/>
      <c r="O16" s="145"/>
      <c r="P16" s="145"/>
      <c r="Q16" s="145"/>
      <c r="R16" s="145"/>
      <c r="S16" s="145"/>
      <c r="T16" s="145"/>
      <c r="U16" s="145"/>
    </row>
    <row r="17" spans="1:22" ht="36" customHeight="1" thickBot="1" x14ac:dyDescent="0.25">
      <c r="A17" s="29"/>
      <c r="B17" s="30" t="str">
        <f>'Control Entry'!N58</f>
        <v/>
      </c>
      <c r="C17" s="30" t="str">
        <f>'Control Entry'!O58</f>
        <v/>
      </c>
      <c r="D17" s="31"/>
      <c r="E17" s="32" t="str">
        <f>IF(ISBLANK('Control Entry'!H58),"",'Control Entry'!H58)</f>
        <v/>
      </c>
      <c r="F17" s="90" t="str">
        <f>IF(ISBLANK('Control Entry'!K58),"",'Control Entry'!K58)</f>
        <v/>
      </c>
      <c r="G17" s="89"/>
      <c r="H17" s="24" t="s">
        <v>29</v>
      </c>
    </row>
    <row r="18" spans="1:22" ht="36" customHeight="1" x14ac:dyDescent="0.2">
      <c r="A18" s="25"/>
      <c r="B18" s="26" t="str">
        <f>'Control Entry'!N59</f>
        <v/>
      </c>
      <c r="C18" s="26" t="str">
        <f>'Control Entry'!O59</f>
        <v/>
      </c>
      <c r="D18" s="33"/>
      <c r="E18" s="28" t="str">
        <f>IF(ISBLANK('Control Entry'!F59),"",'Control Entry'!F59)</f>
        <v/>
      </c>
      <c r="F18" s="85" t="str">
        <f>IF(ISBLANK('Control Entry'!I59),"",'Control Entry'!I59)</f>
        <v/>
      </c>
      <c r="G18" s="86"/>
      <c r="H18" s="24" t="s">
        <v>29</v>
      </c>
    </row>
    <row r="19" spans="1:22" ht="36" customHeight="1" x14ac:dyDescent="0.2">
      <c r="A19" s="34" t="str">
        <f>IF(ISBLANK('Control Entry'!D59),"",'Control Entry'!D59)</f>
        <v/>
      </c>
      <c r="B19" s="35" t="str">
        <f>'Control Entry'!N59</f>
        <v/>
      </c>
      <c r="C19" s="35" t="str">
        <f>'Control Entry'!O59</f>
        <v/>
      </c>
      <c r="D19" s="36" t="str">
        <f>IF(ISBLANK('Control Entry'!E59),"",'Control Entry'!E59)</f>
        <v/>
      </c>
      <c r="E19" s="28" t="str">
        <f>IF(ISBLANK('Control Entry'!G59),"",'Control Entry'!G59)</f>
        <v/>
      </c>
      <c r="F19" s="85" t="str">
        <f>IF(ISBLANK('Control Entry'!J59),"",'Control Entry'!J59)</f>
        <v/>
      </c>
      <c r="G19" s="86"/>
      <c r="H19" s="24" t="s">
        <v>29</v>
      </c>
    </row>
    <row r="20" spans="1:22" ht="36" customHeight="1" thickBot="1" x14ac:dyDescent="0.25">
      <c r="A20" s="29"/>
      <c r="B20" s="30" t="str">
        <f>'Control Entry'!N59</f>
        <v/>
      </c>
      <c r="C20" s="30" t="str">
        <f>'Control Entry'!O59</f>
        <v/>
      </c>
      <c r="D20" s="31"/>
      <c r="E20" s="32" t="str">
        <f>IF(ISBLANK('Control Entry'!H59),"",'Control Entry'!H59)</f>
        <v/>
      </c>
      <c r="F20" s="90" t="str">
        <f>IF(ISBLANK('Control Entry'!K59),"",'Control Entry'!K59)</f>
        <v/>
      </c>
      <c r="G20" s="89"/>
      <c r="H20" s="24" t="s">
        <v>29</v>
      </c>
      <c r="J20" s="50" t="s">
        <v>44</v>
      </c>
      <c r="K20" s="50"/>
      <c r="L20" s="132">
        <f>IF(ISBLANK('Control Entry'!B12),"",'Control Entry'!B12)</f>
        <v>45056</v>
      </c>
      <c r="M20" s="132"/>
      <c r="N20" s="132"/>
      <c r="P20" s="15" t="s">
        <v>0</v>
      </c>
      <c r="Q20" s="15"/>
      <c r="S20" s="136">
        <f>IF(ISBLANK('Control Entry'!B13),"",'Control Entry'!B13)</f>
        <v>0.25</v>
      </c>
      <c r="T20" s="136"/>
      <c r="U20" s="136"/>
    </row>
    <row r="21" spans="1:22" ht="36" customHeight="1" x14ac:dyDescent="0.2">
      <c r="A21" s="25"/>
      <c r="B21" s="26" t="str">
        <f>'Control Entry'!N60</f>
        <v/>
      </c>
      <c r="C21" s="26" t="str">
        <f>'Control Entry'!O60</f>
        <v/>
      </c>
      <c r="D21" s="33"/>
      <c r="E21" s="28" t="str">
        <f>IF(ISBLANK('Control Entry'!F60),"",'Control Entry'!F60)</f>
        <v/>
      </c>
      <c r="F21" s="85" t="str">
        <f>IF(ISBLANK('Control Entry'!I60),"",'Control Entry'!I60)</f>
        <v/>
      </c>
      <c r="G21" s="86"/>
      <c r="H21" s="24" t="s">
        <v>29</v>
      </c>
      <c r="J21" s="138" t="s">
        <v>90</v>
      </c>
      <c r="K21" s="138"/>
      <c r="L21" s="138"/>
      <c r="M21" s="138"/>
      <c r="N21" s="138"/>
      <c r="O21" s="138"/>
      <c r="P21" s="138"/>
      <c r="Q21" s="138"/>
      <c r="R21" s="138"/>
      <c r="S21" s="138"/>
      <c r="T21" s="138"/>
      <c r="U21" s="138"/>
    </row>
    <row r="22" spans="1:22" ht="36" customHeight="1" thickBot="1" x14ac:dyDescent="0.25">
      <c r="A22" s="34" t="str">
        <f>IF(ISBLANK('Control Entry'!D60),"",'Control Entry'!D60)</f>
        <v/>
      </c>
      <c r="B22" s="35" t="str">
        <f>'Control Entry'!N60</f>
        <v/>
      </c>
      <c r="C22" s="35" t="str">
        <f>'Control Entry'!O60</f>
        <v/>
      </c>
      <c r="D22" s="36" t="str">
        <f>IF(ISBLANK('Control Entry'!E60),"",'Control Entry'!E60)</f>
        <v/>
      </c>
      <c r="E22" s="28" t="str">
        <f>IF(ISBLANK('Control Entry'!G60),"",'Control Entry'!G60)</f>
        <v/>
      </c>
      <c r="F22" s="85" t="str">
        <f>IF(ISBLANK('Control Entry'!J60),"",'Control Entry'!J60)</f>
        <v/>
      </c>
      <c r="G22" s="86"/>
      <c r="H22" s="24" t="s">
        <v>29</v>
      </c>
      <c r="J22" s="15" t="s">
        <v>45</v>
      </c>
      <c r="K22" s="15"/>
      <c r="M22" s="139"/>
      <c r="N22" s="139"/>
      <c r="O22" s="139"/>
      <c r="P22" s="15" t="s">
        <v>1</v>
      </c>
      <c r="Q22" s="15"/>
      <c r="S22" s="139"/>
      <c r="T22" s="139"/>
      <c r="U22" s="139"/>
    </row>
    <row r="23" spans="1:22" ht="36" customHeight="1" thickBot="1" x14ac:dyDescent="0.25">
      <c r="A23" s="29"/>
      <c r="B23" s="30" t="str">
        <f>'Control Entry'!N60</f>
        <v/>
      </c>
      <c r="C23" s="30" t="str">
        <f>'Control Entry'!O60</f>
        <v/>
      </c>
      <c r="D23" s="31"/>
      <c r="E23" s="32" t="str">
        <f>IF(ISBLANK('Control Entry'!H60),"",'Control Entry'!H60)</f>
        <v/>
      </c>
      <c r="F23" s="90" t="str">
        <f>IF(ISBLANK('Control Entry'!K60),"",'Control Entry'!K60)</f>
        <v/>
      </c>
      <c r="G23" s="89"/>
      <c r="H23" s="24" t="s">
        <v>29</v>
      </c>
      <c r="J23" s="50"/>
      <c r="K23" s="50"/>
      <c r="L23" s="44"/>
      <c r="M23" s="44"/>
      <c r="N23" s="44"/>
      <c r="P23" s="15"/>
      <c r="Q23" s="15"/>
    </row>
    <row r="24" spans="1:22" ht="36" customHeight="1" thickBot="1" x14ac:dyDescent="0.25">
      <c r="A24" s="25"/>
      <c r="B24" s="26" t="str">
        <f>'Control Entry'!N61</f>
        <v/>
      </c>
      <c r="C24" s="26" t="str">
        <f>'Control Entry'!O61</f>
        <v/>
      </c>
      <c r="D24" s="33"/>
      <c r="E24" s="28" t="str">
        <f>IF(ISBLANK('Control Entry'!F61),"",'Control Entry'!F61)</f>
        <v/>
      </c>
      <c r="F24" s="85" t="str">
        <f>IF(ISBLANK('Control Entry'!I61),"",'Control Entry'!I61)</f>
        <v/>
      </c>
      <c r="G24" s="86"/>
      <c r="H24" s="24" t="s">
        <v>29</v>
      </c>
      <c r="J24" s="139"/>
      <c r="K24" s="139"/>
      <c r="L24" s="139"/>
      <c r="M24" s="139"/>
      <c r="N24" s="139"/>
      <c r="P24" s="15" t="s">
        <v>2</v>
      </c>
      <c r="Q24" s="15"/>
      <c r="S24" s="139"/>
      <c r="T24" s="139"/>
      <c r="U24" s="139"/>
    </row>
    <row r="25" spans="1:22" ht="36" customHeight="1" x14ac:dyDescent="0.2">
      <c r="A25" s="34" t="str">
        <f>IF(ISBLANK('Control Entry'!D61),"",'Control Entry'!D61)</f>
        <v/>
      </c>
      <c r="B25" s="35" t="str">
        <f>'Control Entry'!N61</f>
        <v/>
      </c>
      <c r="C25" s="35" t="str">
        <f>'Control Entry'!O61</f>
        <v/>
      </c>
      <c r="D25" s="36" t="str">
        <f>IF(ISBLANK('Control Entry'!E61),"",'Control Entry'!E61)</f>
        <v/>
      </c>
      <c r="E25" s="28" t="str">
        <f>IF(ISBLANK('Control Entry'!G61),"",'Control Entry'!G61)</f>
        <v/>
      </c>
      <c r="F25" s="85" t="str">
        <f>IF(ISBLANK('Control Entry'!J61),"",'Control Entry'!J61)</f>
        <v/>
      </c>
      <c r="G25" s="86"/>
      <c r="H25" s="24" t="s">
        <v>29</v>
      </c>
      <c r="J25" s="134" t="s">
        <v>17</v>
      </c>
      <c r="K25" s="134"/>
      <c r="L25" s="134"/>
      <c r="M25" s="134"/>
      <c r="N25" s="134"/>
      <c r="O25" s="46"/>
      <c r="P25" s="113"/>
      <c r="Q25" s="113"/>
      <c r="R25" s="46"/>
      <c r="S25" s="111"/>
      <c r="T25" s="111"/>
      <c r="U25" s="111"/>
      <c r="V25" s="111"/>
    </row>
    <row r="26" spans="1:22" ht="36" customHeight="1" thickBot="1" x14ac:dyDescent="0.25">
      <c r="A26" s="29"/>
      <c r="B26" s="30" t="str">
        <f>'Control Entry'!N61</f>
        <v/>
      </c>
      <c r="C26" s="30" t="str">
        <f>'Control Entry'!O61</f>
        <v/>
      </c>
      <c r="D26" s="31"/>
      <c r="E26" s="32" t="str">
        <f>IF(ISBLANK('Control Entry'!H61),"",'Control Entry'!H61)</f>
        <v/>
      </c>
      <c r="F26" s="90" t="str">
        <f>IF(ISBLANK('Control Entry'!K61),"",'Control Entry'!K61)</f>
        <v/>
      </c>
      <c r="G26" s="89"/>
      <c r="H26" s="24" t="s">
        <v>29</v>
      </c>
    </row>
    <row r="27" spans="1:22" ht="36" customHeight="1" x14ac:dyDescent="0.2">
      <c r="A27" s="25"/>
      <c r="B27" s="26" t="str">
        <f>'Control Entry'!N62</f>
        <v/>
      </c>
      <c r="C27" s="26" t="str">
        <f>'Control Entry'!O62</f>
        <v/>
      </c>
      <c r="D27" s="33"/>
      <c r="E27" s="28" t="str">
        <f>IF(ISBLANK('Control Entry'!F62),"",'Control Entry'!F62)</f>
        <v/>
      </c>
      <c r="F27" s="85" t="str">
        <f>IF(ISBLANK('Control Entry'!I62),"",'Control Entry'!I62)</f>
        <v/>
      </c>
      <c r="G27" s="86"/>
      <c r="H27" s="24" t="s">
        <v>29</v>
      </c>
      <c r="K27" s="120" t="s">
        <v>56</v>
      </c>
      <c r="L27" s="113"/>
      <c r="M27" s="45" t="s">
        <v>57</v>
      </c>
      <c r="N27" s="113" t="s">
        <v>49</v>
      </c>
      <c r="O27" s="113"/>
      <c r="P27" s="113" t="s">
        <v>50</v>
      </c>
      <c r="Q27" s="113"/>
      <c r="R27" s="46" t="s">
        <v>51</v>
      </c>
      <c r="S27" s="111" t="s">
        <v>52</v>
      </c>
      <c r="T27" s="111"/>
      <c r="U27" s="111" t="s">
        <v>53</v>
      </c>
      <c r="V27" s="111"/>
    </row>
    <row r="28" spans="1:22" ht="36" customHeight="1" x14ac:dyDescent="0.2">
      <c r="A28" s="34" t="str">
        <f>IF(ISBLANK('Control Entry'!D62),"",'Control Entry'!D62)</f>
        <v/>
      </c>
      <c r="B28" s="35" t="str">
        <f>'Control Entry'!N62</f>
        <v/>
      </c>
      <c r="C28" s="35" t="str">
        <f>'Control Entry'!O62</f>
        <v/>
      </c>
      <c r="D28" s="36" t="str">
        <f>IF(ISBLANK('Control Entry'!E62),"",'Control Entry'!E62)</f>
        <v/>
      </c>
      <c r="E28" s="28" t="str">
        <f>IF(ISBLANK('Control Entry'!G62),"",'Control Entry'!G62)</f>
        <v/>
      </c>
      <c r="F28" s="85" t="str">
        <f>IF(ISBLANK('Control Entry'!J62),"",'Control Entry'!J62)</f>
        <v/>
      </c>
      <c r="G28" s="86"/>
      <c r="H28" s="24" t="s">
        <v>29</v>
      </c>
    </row>
    <row r="29" spans="1:22" ht="36" customHeight="1" thickBot="1" x14ac:dyDescent="0.25">
      <c r="A29" s="29"/>
      <c r="B29" s="30" t="str">
        <f>'Control Entry'!N62</f>
        <v/>
      </c>
      <c r="C29" s="30" t="str">
        <f>'Control Entry'!O62</f>
        <v/>
      </c>
      <c r="D29" s="31"/>
      <c r="E29" s="32" t="str">
        <f>IF(ISBLANK('Control Entry'!H62),"",'Control Entry'!H62)</f>
        <v/>
      </c>
      <c r="F29" s="90" t="str">
        <f>IF(ISBLANK('Control Entry'!K62),"",'Control Entry'!K62)</f>
        <v/>
      </c>
      <c r="G29" s="89"/>
      <c r="H29" s="24" t="s">
        <v>29</v>
      </c>
      <c r="M29" s="112" t="s">
        <v>42</v>
      </c>
      <c r="N29" s="112"/>
      <c r="O29" s="112"/>
      <c r="P29" s="112"/>
      <c r="Q29" s="112"/>
      <c r="R29" s="112"/>
      <c r="S29" s="112"/>
      <c r="T29" s="112"/>
      <c r="U29" s="49"/>
    </row>
    <row r="30" spans="1:22" ht="36" customHeight="1" x14ac:dyDescent="0.2">
      <c r="A30" s="25"/>
      <c r="B30" s="26" t="str">
        <f>'Control Entry'!N63</f>
        <v/>
      </c>
      <c r="C30" s="26" t="str">
        <f>'Control Entry'!O63</f>
        <v/>
      </c>
      <c r="D30" s="33"/>
      <c r="E30" s="28" t="str">
        <f>IF(ISBLANK('Control Entry'!F63),"",'Control Entry'!F63)</f>
        <v/>
      </c>
      <c r="F30" s="85" t="str">
        <f>IF(ISBLANK('Control Entry'!I63),"",'Control Entry'!I63)</f>
        <v/>
      </c>
      <c r="G30" s="86"/>
      <c r="H30" s="24" t="s">
        <v>29</v>
      </c>
      <c r="M30" s="16"/>
      <c r="N30" s="18"/>
      <c r="O30" s="18"/>
      <c r="P30" s="19"/>
      <c r="Q30" s="16"/>
      <c r="R30" s="18"/>
      <c r="S30" s="18"/>
      <c r="T30" s="19"/>
    </row>
    <row r="31" spans="1:22" ht="36" customHeight="1" x14ac:dyDescent="0.2">
      <c r="A31" s="34" t="str">
        <f>IF(ISBLANK('Control Entry'!D63),"",'Control Entry'!D63)</f>
        <v/>
      </c>
      <c r="B31" s="35" t="str">
        <f>'Control Entry'!N63</f>
        <v/>
      </c>
      <c r="C31" s="35" t="str">
        <f>'Control Entry'!O63</f>
        <v/>
      </c>
      <c r="D31" s="36" t="str">
        <f>IF(ISBLANK('Control Entry'!E63),"",'Control Entry'!E63)</f>
        <v/>
      </c>
      <c r="E31" s="28" t="str">
        <f>IF(ISBLANK('Control Entry'!G63),"",'Control Entry'!G63)</f>
        <v/>
      </c>
      <c r="F31" s="85" t="str">
        <f>IF(ISBLANK('Control Entry'!J63),"",'Control Entry'!J63)</f>
        <v/>
      </c>
      <c r="G31" s="86"/>
      <c r="H31" s="24" t="s">
        <v>29</v>
      </c>
      <c r="M31" s="17"/>
      <c r="P31" s="20"/>
      <c r="Q31" s="17"/>
      <c r="T31" s="20"/>
    </row>
    <row r="32" spans="1:22" ht="36" customHeight="1" thickBot="1" x14ac:dyDescent="0.25">
      <c r="A32" s="29"/>
      <c r="B32" s="30" t="str">
        <f>'Control Entry'!N63</f>
        <v/>
      </c>
      <c r="C32" s="30" t="str">
        <f>'Control Entry'!O63</f>
        <v/>
      </c>
      <c r="D32" s="31"/>
      <c r="E32" s="32" t="str">
        <f>IF(ISBLANK('Control Entry'!H63),"",'Control Entry'!H63)</f>
        <v/>
      </c>
      <c r="F32" s="90" t="str">
        <f>IF(ISBLANK('Control Entry'!K63),"",'Control Entry'!K63)</f>
        <v/>
      </c>
      <c r="G32" s="89"/>
      <c r="H32" s="24" t="s">
        <v>29</v>
      </c>
      <c r="M32" s="125" t="s">
        <v>82</v>
      </c>
      <c r="N32" s="126"/>
      <c r="O32" s="126"/>
      <c r="P32" s="127"/>
      <c r="Q32" s="128">
        <f>'Control Entry'!B3</f>
        <v>44874</v>
      </c>
      <c r="R32" s="129"/>
      <c r="S32" s="129"/>
      <c r="T32" s="130"/>
    </row>
    <row r="33" spans="1:22" ht="36" customHeight="1" x14ac:dyDescent="0.2">
      <c r="A33" s="119" t="s">
        <v>43</v>
      </c>
      <c r="B33" s="119"/>
      <c r="C33" s="119"/>
      <c r="D33" s="119"/>
      <c r="E33" s="119"/>
      <c r="F33" s="119"/>
      <c r="G33" s="119"/>
      <c r="H33" s="37"/>
      <c r="I33" s="37"/>
      <c r="M33" s="114" t="s">
        <v>86</v>
      </c>
      <c r="N33" s="115"/>
      <c r="O33" s="115"/>
      <c r="P33" s="115"/>
      <c r="Q33" s="116">
        <f>'Control Entry'!B4</f>
        <v>45042</v>
      </c>
      <c r="R33" s="117"/>
      <c r="S33" s="117"/>
      <c r="T33" s="117"/>
      <c r="U33" s="82"/>
      <c r="V33" s="44"/>
    </row>
    <row r="34" spans="1:22" ht="36" customHeight="1" x14ac:dyDescent="0.2">
      <c r="A34"/>
      <c r="O34" s="15"/>
      <c r="P34" s="15"/>
      <c r="Q34" s="15"/>
      <c r="R34" s="42"/>
    </row>
    <row r="35" spans="1:22" ht="36" customHeight="1" x14ac:dyDescent="0.2">
      <c r="A35"/>
      <c r="N35" s="112"/>
      <c r="O35" s="112"/>
      <c r="P35" s="112"/>
      <c r="Q35" s="112"/>
      <c r="R35" s="112"/>
      <c r="S35" s="112"/>
      <c r="T35" s="112"/>
      <c r="U35" s="11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J21:U21"/>
    <mergeCell ref="L11:N11"/>
    <mergeCell ref="S11:U11"/>
    <mergeCell ref="A1:G1"/>
    <mergeCell ref="K2:U2"/>
    <mergeCell ref="O3:R3"/>
    <mergeCell ref="M4:T4"/>
    <mergeCell ref="N5:O5"/>
    <mergeCell ref="R5:U5"/>
    <mergeCell ref="L6:U6"/>
    <mergeCell ref="L8:Q8"/>
    <mergeCell ref="T8:U8"/>
    <mergeCell ref="L9:U9"/>
    <mergeCell ref="L10:U10"/>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A33:G33"/>
    <mergeCell ref="M33:P33"/>
    <mergeCell ref="Q33:T33"/>
    <mergeCell ref="N35:U35"/>
    <mergeCell ref="K27:L27"/>
    <mergeCell ref="N27:O27"/>
    <mergeCell ref="P27:Q27"/>
    <mergeCell ref="S27:T27"/>
    <mergeCell ref="U27:V27"/>
    <mergeCell ref="M29:T29"/>
    <mergeCell ref="M32:P32"/>
    <mergeCell ref="Q32:T32"/>
  </mergeCells>
  <conditionalFormatting sqref="J22:O22">
    <cfRule type="expression" dxfId="6" priority="3">
      <formula>$S$3="#2"</formula>
    </cfRule>
    <cfRule type="expression" dxfId="5" priority="4">
      <formula>$S$3="#4"</formula>
    </cfRule>
  </conditionalFormatting>
  <conditionalFormatting sqref="J21:U21">
    <cfRule type="expression" dxfId="4" priority="2">
      <formula>AND($S$3&lt;&gt;"#2",$S$3&lt;&gt;"#4")</formula>
    </cfRule>
  </conditionalFormatting>
  <conditionalFormatting sqref="K27:V27">
    <cfRule type="expression" dxfId="3" priority="7">
      <formula>$S$3="#2"</formula>
    </cfRule>
    <cfRule type="expression" dxfId="2" priority="8">
      <formula>$S$3="#4"</formula>
    </cfRule>
  </conditionalFormatting>
  <conditionalFormatting sqref="P22:U24">
    <cfRule type="expression" dxfId="1" priority="5">
      <formula>$S$3="#2"</formula>
    </cfRule>
    <cfRule type="expression" dxfId="0" priority="6">
      <formula>$S$3="#4"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2023-04-26T19:35:26Z</cp:lastPrinted>
  <dcterms:created xsi:type="dcterms:W3CDTF">1997-11-12T04:43:39Z</dcterms:created>
  <dcterms:modified xsi:type="dcterms:W3CDTF">2024-07-13T23:58:06Z</dcterms:modified>
</cp:coreProperties>
</file>