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1012"/>
  <workbookPr showInkAnnotation="0" autoCompressPictures="0"/>
  <mc:AlternateContent xmlns:mc="http://schemas.openxmlformats.org/markup-compatibility/2006">
    <mc:Choice Requires="x15">
      <x15ac:absPath xmlns:x15ac="http://schemas.microsoft.com/office/spreadsheetml/2010/11/ac" url="/Users/stephencarol/Documents/BCR/2021/5100/"/>
    </mc:Choice>
  </mc:AlternateContent>
  <xr:revisionPtr revIDLastSave="0" documentId="13_ncr:1_{D2707BC6-61E1-7C49-AD57-0357921D9D43}" xr6:coauthVersionLast="36" xr6:coauthVersionMax="36" xr10:uidLastSave="{00000000-0000-0000-0000-000000000000}"/>
  <bookViews>
    <workbookView xWindow="0" yWindow="460" windowWidth="25600" windowHeight="15540" tabRatio="509" xr2:uid="{00000000-000D-0000-FFFF-FFFF00000000}"/>
  </bookViews>
  <sheets>
    <sheet name="Control Entry" sheetId="1" r:id="rId1"/>
    <sheet name="Control Card Nanaimo Start" sheetId="2" r:id="rId2"/>
    <sheet name="Control Card Comox Start" sheetId="3" r:id="rId3"/>
  </sheets>
  <definedNames>
    <definedName name="Address_1" localSheetId="2">#REF!</definedName>
    <definedName name="Address_1">#REF!</definedName>
    <definedName name="Address_2" localSheetId="2">#REF!</definedName>
    <definedName name="Address_2">#REF!</definedName>
    <definedName name="brevet">'Control Entry'!$C$1</definedName>
    <definedName name="Brevet_Description">'Control Entry'!$B$3</definedName>
    <definedName name="Brevet_Length">'Control Entry'!$B$1</definedName>
    <definedName name="Brevet_Number">'Control Entry'!$B$4</definedName>
    <definedName name="City" localSheetId="2">#REF!</definedName>
    <definedName name="City">#REF!</definedName>
    <definedName name="Close">'Control Entry'!$M$10:$M$19</definedName>
    <definedName name="Close_time">'Control Entry'!$O$10:$O$19</definedName>
    <definedName name="Control_1">'Control Entry'!$D$10:$O$10</definedName>
    <definedName name="Control_10">'Control Entry'!$D$19:$O$19</definedName>
    <definedName name="Control_11" localSheetId="2">'Control Entry'!#REF!</definedName>
    <definedName name="Control_11">'Control Entry'!#REF!</definedName>
    <definedName name="Control_12" localSheetId="2">'Control Entry'!#REF!</definedName>
    <definedName name="Control_12">'Control Entry'!#REF!</definedName>
    <definedName name="Control_13" localSheetId="2">'Control Entry'!#REF!</definedName>
    <definedName name="Control_13">'Control Entry'!#REF!</definedName>
    <definedName name="Control_14" localSheetId="2">'Control Entry'!#REF!</definedName>
    <definedName name="Control_14">'Control Entry'!#REF!</definedName>
    <definedName name="Control_15" localSheetId="2">'Control Entry'!#REF!</definedName>
    <definedName name="Control_15">'Control Entry'!#REF!</definedName>
    <definedName name="Control_16" localSheetId="2">'Control Entry'!#REF!</definedName>
    <definedName name="Control_16">'Control Entry'!#REF!</definedName>
    <definedName name="Control_17" localSheetId="2">'Control Entry'!#REF!</definedName>
    <definedName name="Control_17">'Control Entry'!#REF!</definedName>
    <definedName name="Control_18" localSheetId="2">'Control Entry'!#REF!</definedName>
    <definedName name="Control_18">'Control Entry'!#REF!</definedName>
    <definedName name="Control_19" localSheetId="2">'Control Entry'!#REF!</definedName>
    <definedName name="Control_19">'Control Entry'!#REF!</definedName>
    <definedName name="Control_2">'Control Entry'!$D$11:$O$11</definedName>
    <definedName name="Control_20" localSheetId="2">'Control Entry'!#REF!</definedName>
    <definedName name="Control_20">'Control Entry'!#REF!</definedName>
    <definedName name="Control_3">'Control Entry'!$D$12:$O$12</definedName>
    <definedName name="Control_4">'Control Entry'!$D$13:$O$13</definedName>
    <definedName name="Control_5">'Control Entry'!$D$14:$O$14</definedName>
    <definedName name="Control_6">'Control Entry'!$D$15:$O$15</definedName>
    <definedName name="Control_7">'Control Entry'!$D$16:$O$16</definedName>
    <definedName name="Control_8">'Control Entry'!$D$17:$O$17</definedName>
    <definedName name="Control_9">'Control Entry'!$D$18:$O$18</definedName>
    <definedName name="Country" localSheetId="2">#REF!</definedName>
    <definedName name="Country">#REF!</definedName>
    <definedName name="Distance">'Control Entry'!$D$10:$D$19</definedName>
    <definedName name="email" localSheetId="2">#REF!</definedName>
    <definedName name="email">#REF!</definedName>
    <definedName name="Establishment_1">'Control Entry'!$F$10:$F$19</definedName>
    <definedName name="Establishment_2">'Control Entry'!$G$10:$G$19</definedName>
    <definedName name="Establishment_3">'Control Entry'!$H$10:$H$19</definedName>
    <definedName name="Fax" localSheetId="2">#REF!</definedName>
    <definedName name="Fax">#REF!</definedName>
    <definedName name="First_Name" localSheetId="2">#REF!</definedName>
    <definedName name="First_Name">#REF!</definedName>
    <definedName name="Home_telephone" localSheetId="2">#REF!</definedName>
    <definedName name="Home_telephone">#REF!</definedName>
    <definedName name="HTML_CodePage" hidden="1">1252</definedName>
    <definedName name="HTML_Control" hidden="1">{"'Web sheet'!$A$1:$D$92"}</definedName>
    <definedName name="HTML_Description" hidden="1">""</definedName>
    <definedName name="HTML_Email" hidden="1">"randos@island.net"</definedName>
    <definedName name="HTML_Header" hidden="1">"Web sheet"</definedName>
    <definedName name="HTML_LastUpdate" hidden="1">"99-03-06"</definedName>
    <definedName name="HTML_LineAfter" hidden="1">TRUE</definedName>
    <definedName name="HTML_LineBefore" hidden="1">TRUE</definedName>
    <definedName name="HTML_Name" hidden="1">"Stephen Hinde"</definedName>
    <definedName name="HTML_OBDlg2" hidden="1">TRUE</definedName>
    <definedName name="HTML_OBDlg4" hidden="1">TRUE</definedName>
    <definedName name="HTML_OS" hidden="1">0</definedName>
    <definedName name="HTML_PathFile" hidden="1">"C:\My Documents\excel\MyHTML.htm"</definedName>
    <definedName name="HTML_Title" hidden="1">"VI0100B Nanaimo Populaire"</definedName>
    <definedName name="HTML1_1" hidden="1">"'[vi0100b.xls]VI0100B 970310'!$A$3:$D$22"</definedName>
    <definedName name="HTML1_10" hidden="1">"randos@island.net"</definedName>
    <definedName name="HTML1_11" hidden="1">1</definedName>
    <definedName name="HTML1_12" hidden="1">"C:\My Documents\Web Page\vi0100b.htm"</definedName>
    <definedName name="HTML1_2" hidden="1">1</definedName>
    <definedName name="HTML1_3" hidden="1">"100 km Populaire"</definedName>
    <definedName name="HTML1_4" hidden="1">"VI0100B 970310"</definedName>
    <definedName name="HTML1_5" hidden="1">"Nanaimo--Lantzville--Nanaimo--Yellow Point--Nanaimo"</definedName>
    <definedName name="HTML1_6" hidden="1">1</definedName>
    <definedName name="HTML1_7" hidden="1">1</definedName>
    <definedName name="HTML1_8" hidden="1">"26/10/97"</definedName>
    <definedName name="HTML1_9" hidden="1">"Stephen Hinde"</definedName>
    <definedName name="HTML2_1" hidden="1">"'[vi0100b.xls]VI0100B 970310'!$A$1:$D$22"</definedName>
    <definedName name="HTML2_10" hidden="1">"randos@island.net"</definedName>
    <definedName name="HTML2_11" hidden="1">1</definedName>
    <definedName name="HTML2_12" hidden="1">"C:\My Documents\Web Page\vi0100b.htm"</definedName>
    <definedName name="HTML2_2" hidden="1">1</definedName>
    <definedName name="HTML2_3" hidden="1">"100 km Populaire"</definedName>
    <definedName name="HTML2_4" hidden="1">"VI0100B 970310"</definedName>
    <definedName name="HTML2_5" hidden="1">"Nanaimo--Lantzville--Nanaimo--Yellow Point--Nanaimo"</definedName>
    <definedName name="HTML2_6" hidden="1">1</definedName>
    <definedName name="HTML2_7" hidden="1">1</definedName>
    <definedName name="HTML2_8" hidden="1">"26/10/97"</definedName>
    <definedName name="HTML2_9" hidden="1">"Stephen Hinde"</definedName>
    <definedName name="HTML3_1" hidden="1">"'[vi0100b.xls]VI0100B 970310'!$A$1:$D$24"</definedName>
    <definedName name="HTML3_10" hidden="1">"randos@island.net"</definedName>
    <definedName name="HTML3_11" hidden="1">1</definedName>
    <definedName name="HTML3_12" hidden="1">"C:\My Documents\excel\vi0100b.htm"</definedName>
    <definedName name="HTML3_2" hidden="1">1</definedName>
    <definedName name="HTML3_3" hidden="1">"Vancouver Island Populaire"</definedName>
    <definedName name="HTML3_4" hidden="1">"VI0100B 970310"</definedName>
    <definedName name="HTML3_5" hidden="1">"Nanaimo--Lantzville--Yellow Point--Nanaimo"</definedName>
    <definedName name="HTML3_6" hidden="1">1</definedName>
    <definedName name="HTML3_7" hidden="1">1</definedName>
    <definedName name="HTML3_8" hidden="1">"26/10/97"</definedName>
    <definedName name="HTML3_9" hidden="1">"Stephen Hinde"</definedName>
    <definedName name="HTML4_1" hidden="1">"'[VI0100B.xls]VI0100B 971026'!$A$1:$I$47"</definedName>
    <definedName name="HTML4_10" hidden="1">""</definedName>
    <definedName name="HTML4_11" hidden="1">1</definedName>
    <definedName name="HTML4_12" hidden="1">"C:\My Documents\Web Page\VI0100B.htm"</definedName>
    <definedName name="HTML4_2" hidden="1">1</definedName>
    <definedName name="HTML4_3" hidden="1">"VI0100B"</definedName>
    <definedName name="HTML4_4" hidden="1">"VI0100B 971026"</definedName>
    <definedName name="HTML4_5" hidden="1">""</definedName>
    <definedName name="HTML4_6" hidden="1">-4146</definedName>
    <definedName name="HTML4_7" hidden="1">-4146</definedName>
    <definedName name="HTML4_8" hidden="1">"26/10/97"</definedName>
    <definedName name="HTML4_9" hidden="1">"Stephen Hinde"</definedName>
    <definedName name="HTML5_1" hidden="1">"'[VI0100B.xls]VI0100B 971026'!$A$1:$I$23"</definedName>
    <definedName name="HTML5_10" hidden="1">""</definedName>
    <definedName name="HTML5_11" hidden="1">1</definedName>
    <definedName name="HTML5_12" hidden="1">"C:\My Documents\Web Page\VI0100B top.htm"</definedName>
    <definedName name="HTML5_2" hidden="1">1</definedName>
    <definedName name="HTML5_3" hidden="1">"VI0100B"</definedName>
    <definedName name="HTML5_4" hidden="1">"VI0100B 971026"</definedName>
    <definedName name="HTML5_5" hidden="1">""</definedName>
    <definedName name="HTML5_6" hidden="1">-4146</definedName>
    <definedName name="HTML5_7" hidden="1">-4146</definedName>
    <definedName name="HTML5_8" hidden="1">"97-10-26"</definedName>
    <definedName name="HTML5_9" hidden="1">"Stephen Hinde"</definedName>
    <definedName name="HTML6_1" hidden="1">"'[VI0100B.xls]VI0100B 971026'!$A$25:$I$47"</definedName>
    <definedName name="HTML6_10" hidden="1">""</definedName>
    <definedName name="HTML6_11" hidden="1">1</definedName>
    <definedName name="HTML6_12" hidden="1">"C:\My Documents\Web Page\VI0100B bottom"</definedName>
    <definedName name="HTML6_2" hidden="1">1</definedName>
    <definedName name="HTML6_3" hidden="1">"VI0100B"</definedName>
    <definedName name="HTML6_4" hidden="1">"VI0100B 971026"</definedName>
    <definedName name="HTML6_5" hidden="1">""</definedName>
    <definedName name="HTML6_6" hidden="1">-4146</definedName>
    <definedName name="HTML6_7" hidden="1">-4146</definedName>
    <definedName name="HTML6_8" hidden="1">"97-10-26"</definedName>
    <definedName name="HTML6_9" hidden="1">"Stephen Hinde"</definedName>
    <definedName name="HTML7_1" hidden="1">"'[VI0200A  Tour of Cowichan Valley.xls]Web sheet'!$A$1:$E$92"</definedName>
    <definedName name="HTML7_10" hidden="1">"randos@island.net"</definedName>
    <definedName name="HTML7_11" hidden="1">1</definedName>
    <definedName name="HTML7_12" hidden="1">"C:\My Documents\Web Page\200km_route_sheet.htm"</definedName>
    <definedName name="HTML7_2" hidden="1">1</definedName>
    <definedName name="HTML7_3" hidden="1">"VI0200A  Tour of Cowichan Valley"</definedName>
    <definedName name="HTML7_4" hidden="1">"Vancouver Island 200 km Brevet"</definedName>
    <definedName name="HTML7_5" hidden="1">""</definedName>
    <definedName name="HTML7_6" hidden="1">1</definedName>
    <definedName name="HTML7_7" hidden="1">1</definedName>
    <definedName name="HTML7_8" hidden="1">"97-11-23"</definedName>
    <definedName name="HTML7_9" hidden="1">"Stephen Hinde"</definedName>
    <definedName name="HTML8_1" hidden="1">"'[VI0300A  Duncan--Victoria.xls]Web sheet'!$A$1:$E$161"</definedName>
    <definedName name="HTML8_10" hidden="1">"randos@island.net"</definedName>
    <definedName name="HTML8_11" hidden="1">1</definedName>
    <definedName name="HTML8_12" hidden="1">"C:\My Documents\Web Page\300km_route_sheet_duncan.htm"</definedName>
    <definedName name="HTML8_2" hidden="1">1</definedName>
    <definedName name="HTML8_3" hidden="1">"VI0300A  Duncan--Victoria"</definedName>
    <definedName name="HTML8_4" hidden="1">"Web sheet"</definedName>
    <definedName name="HTML8_5" hidden="1">""</definedName>
    <definedName name="HTML8_6" hidden="1">1</definedName>
    <definedName name="HTML8_7" hidden="1">1</definedName>
    <definedName name="HTML8_8" hidden="1">"98-01-25"</definedName>
    <definedName name="HTML8_9" hidden="1">"Stephen Hinde"</definedName>
    <definedName name="HTMLCount" hidden="1">8</definedName>
    <definedName name="Initial" localSheetId="2">#REF!</definedName>
    <definedName name="Initial">#REF!</definedName>
    <definedName name="Locale">'Control Entry'!$E$10:$E$19</definedName>
    <definedName name="Max_time">'Control Entry'!$B$2</definedName>
    <definedName name="Open">'Control Entry'!$L$10:$L$19</definedName>
    <definedName name="Open_time">'Control Entry'!$N$10:$N$19</definedName>
    <definedName name="Postal_Code" localSheetId="2">#REF!</definedName>
    <definedName name="Postal_Code">#REF!</definedName>
    <definedName name="_xlnm.Print_Titles" localSheetId="2">'Control Card Comox Start'!$1:$2</definedName>
    <definedName name="_xlnm.Print_Titles" localSheetId="1">'Control Card Nanaimo Start'!$1:$2</definedName>
    <definedName name="Province_State" localSheetId="2">#REF!</definedName>
    <definedName name="Province_State">#REF!</definedName>
    <definedName name="Start_date">'Control Entry'!$B$7</definedName>
    <definedName name="Start_time">'Control Entry'!$B$8</definedName>
    <definedName name="surname" localSheetId="2">#REF!</definedName>
    <definedName name="surname">#REF!</definedName>
    <definedName name="Work_telephone" localSheetId="2">#REF!</definedName>
    <definedName name="Work_telephone">#REF!</definedName>
  </definedNames>
  <calcPr calcId="181029"/>
  <extLst>
    <ext xmlns:mx="http://schemas.microsoft.com/office/mac/excel/2008/main" uri="{7523E5D3-25F3-A5E0-1632-64F254C22452}">
      <mx:ArchID Flags="2"/>
    </ext>
  </extLst>
</workbook>
</file>

<file path=xl/calcChain.xml><?xml version="1.0" encoding="utf-8"?>
<calcChain xmlns="http://schemas.openxmlformats.org/spreadsheetml/2006/main">
  <c r="B12" i="1" l="1"/>
  <c r="B13" i="1"/>
  <c r="B11" i="1"/>
  <c r="B15" i="1"/>
  <c r="B16" i="1"/>
  <c r="B17" i="1"/>
  <c r="B18" i="1"/>
  <c r="B14" i="1"/>
  <c r="L13" i="1" l="1"/>
  <c r="M13" i="1"/>
  <c r="M23" i="1" l="1"/>
  <c r="E8" i="3" l="1"/>
  <c r="E7" i="3"/>
  <c r="E5" i="3"/>
  <c r="S20" i="3" l="1"/>
  <c r="F5" i="2"/>
  <c r="F32" i="2"/>
  <c r="F31" i="2"/>
  <c r="F30" i="2"/>
  <c r="F29" i="2"/>
  <c r="F28" i="2"/>
  <c r="F27" i="2"/>
  <c r="F26" i="2"/>
  <c r="F25" i="2"/>
  <c r="F24" i="2"/>
  <c r="F23" i="2"/>
  <c r="F22" i="2"/>
  <c r="F21" i="2"/>
  <c r="F20" i="2"/>
  <c r="F19" i="2"/>
  <c r="F18" i="2"/>
  <c r="F17" i="2"/>
  <c r="F16" i="2"/>
  <c r="F15" i="2"/>
  <c r="F14" i="2"/>
  <c r="F13" i="2"/>
  <c r="F12" i="2"/>
  <c r="F11" i="2"/>
  <c r="F10" i="2"/>
  <c r="F9" i="2"/>
  <c r="F8" i="2"/>
  <c r="F7" i="2"/>
  <c r="F6" i="2"/>
  <c r="F4" i="2"/>
  <c r="F3" i="2"/>
  <c r="L10" i="1"/>
  <c r="N10" i="1" s="1"/>
  <c r="L32" i="1"/>
  <c r="L31" i="1"/>
  <c r="L30" i="1"/>
  <c r="L29" i="1"/>
  <c r="L28" i="1"/>
  <c r="L27" i="1"/>
  <c r="L26" i="1"/>
  <c r="L25" i="1"/>
  <c r="L24" i="1"/>
  <c r="L23" i="1"/>
  <c r="F32" i="3"/>
  <c r="F31" i="3"/>
  <c r="F30" i="3"/>
  <c r="F29" i="3"/>
  <c r="F28" i="3"/>
  <c r="F27" i="3"/>
  <c r="F26" i="3"/>
  <c r="F25" i="3"/>
  <c r="F24" i="3"/>
  <c r="F23" i="3"/>
  <c r="F22" i="3"/>
  <c r="F21" i="3"/>
  <c r="F20" i="3"/>
  <c r="F19" i="3"/>
  <c r="F18" i="3"/>
  <c r="F17" i="3"/>
  <c r="F16" i="3"/>
  <c r="F15" i="3"/>
  <c r="F14" i="3"/>
  <c r="F13" i="3"/>
  <c r="F12" i="3"/>
  <c r="F11" i="3"/>
  <c r="F10" i="3"/>
  <c r="F9" i="3"/>
  <c r="F7" i="3"/>
  <c r="F8" i="3"/>
  <c r="F5" i="3"/>
  <c r="F6" i="3"/>
  <c r="F4" i="3"/>
  <c r="F3" i="3"/>
  <c r="E32" i="3"/>
  <c r="E31" i="3"/>
  <c r="E30" i="3"/>
  <c r="E29" i="3"/>
  <c r="E28" i="3"/>
  <c r="E27" i="3"/>
  <c r="E26" i="3"/>
  <c r="E25" i="3"/>
  <c r="E24" i="3"/>
  <c r="E23" i="3"/>
  <c r="E22" i="3"/>
  <c r="E21" i="3"/>
  <c r="E20" i="3"/>
  <c r="E19" i="3"/>
  <c r="E18" i="3"/>
  <c r="E17" i="3"/>
  <c r="E16" i="3"/>
  <c r="E15" i="3"/>
  <c r="E14" i="3"/>
  <c r="E13" i="3"/>
  <c r="E12" i="3"/>
  <c r="E11" i="3"/>
  <c r="E10" i="3"/>
  <c r="E9" i="3"/>
  <c r="E6" i="3"/>
  <c r="C1" i="1"/>
  <c r="M25" i="1" s="1"/>
  <c r="E4" i="3"/>
  <c r="E3" i="3"/>
  <c r="D31" i="3"/>
  <c r="D28" i="3"/>
  <c r="D25" i="3"/>
  <c r="D22" i="3"/>
  <c r="D19" i="3"/>
  <c r="D16" i="3"/>
  <c r="D13" i="3"/>
  <c r="D10" i="3"/>
  <c r="D7" i="3"/>
  <c r="D4" i="3"/>
  <c r="A31" i="3"/>
  <c r="A28" i="3"/>
  <c r="A25" i="3"/>
  <c r="A22" i="3"/>
  <c r="A19" i="3"/>
  <c r="A16" i="3"/>
  <c r="A13" i="3"/>
  <c r="A10" i="3"/>
  <c r="A7" i="3"/>
  <c r="A4" i="3"/>
  <c r="L19" i="1"/>
  <c r="L18" i="1"/>
  <c r="L17" i="1"/>
  <c r="L16" i="1"/>
  <c r="L15" i="1"/>
  <c r="L14" i="1"/>
  <c r="L12" i="1"/>
  <c r="L11" i="1"/>
  <c r="L6" i="3"/>
  <c r="R5" i="3"/>
  <c r="P5" i="3"/>
  <c r="L6" i="2"/>
  <c r="S20" i="2"/>
  <c r="R5" i="2"/>
  <c r="P5" i="2"/>
  <c r="A7" i="2"/>
  <c r="E32" i="2"/>
  <c r="E31" i="2"/>
  <c r="E30" i="2"/>
  <c r="E29" i="2"/>
  <c r="E28" i="2"/>
  <c r="E27" i="2"/>
  <c r="E26" i="2"/>
  <c r="E25" i="2"/>
  <c r="E24" i="2"/>
  <c r="E23" i="2"/>
  <c r="E22" i="2"/>
  <c r="E21" i="2"/>
  <c r="E20" i="2"/>
  <c r="E19" i="2"/>
  <c r="E18" i="2"/>
  <c r="E17" i="2"/>
  <c r="E16" i="2"/>
  <c r="E15" i="2"/>
  <c r="E14" i="2"/>
  <c r="E13" i="2"/>
  <c r="E12" i="2"/>
  <c r="E11" i="2"/>
  <c r="E10" i="2"/>
  <c r="E9" i="2"/>
  <c r="E8" i="2"/>
  <c r="E7" i="2"/>
  <c r="E6" i="2"/>
  <c r="E5" i="2"/>
  <c r="E4" i="2"/>
  <c r="E3" i="2"/>
  <c r="D25" i="2"/>
  <c r="D28" i="2"/>
  <c r="D31" i="2"/>
  <c r="A31" i="2"/>
  <c r="A4" i="2"/>
  <c r="D19" i="2"/>
  <c r="D16" i="2"/>
  <c r="D13" i="2"/>
  <c r="D10" i="2"/>
  <c r="D7" i="2"/>
  <c r="D4" i="2"/>
  <c r="D22" i="2"/>
  <c r="A28" i="2"/>
  <c r="A25" i="2"/>
  <c r="A22" i="2"/>
  <c r="A19" i="2"/>
  <c r="A10" i="2"/>
  <c r="A16" i="2"/>
  <c r="A13" i="2"/>
  <c r="M10" i="1" l="1"/>
  <c r="O10" i="1" s="1"/>
  <c r="C3" i="2" s="1"/>
  <c r="M12" i="1"/>
  <c r="M4" i="3"/>
  <c r="B2" i="1"/>
  <c r="M19" i="1" s="1"/>
  <c r="M16" i="1"/>
  <c r="M14" i="1"/>
  <c r="O14" i="1" s="1"/>
  <c r="N26" i="1"/>
  <c r="B14" i="3" s="1"/>
  <c r="B4" i="2"/>
  <c r="N13" i="1"/>
  <c r="B14" i="2" s="1"/>
  <c r="N23" i="1"/>
  <c r="B5" i="3" s="1"/>
  <c r="N29" i="1"/>
  <c r="B21" i="3" s="1"/>
  <c r="M32" i="1"/>
  <c r="M11" i="1"/>
  <c r="O13" i="1"/>
  <c r="N17" i="1"/>
  <c r="B25" i="2" s="1"/>
  <c r="M29" i="1"/>
  <c r="B3" i="2"/>
  <c r="M15" i="1"/>
  <c r="O15" i="1" s="1"/>
  <c r="M17" i="1"/>
  <c r="O17" i="1" s="1"/>
  <c r="M28" i="1"/>
  <c r="O28" i="1" s="1"/>
  <c r="C19" i="3" s="1"/>
  <c r="B5" i="2"/>
  <c r="N12" i="1"/>
  <c r="B11" i="2" s="1"/>
  <c r="N16" i="1"/>
  <c r="B22" i="2" s="1"/>
  <c r="N19" i="1"/>
  <c r="B31" i="2" s="1"/>
  <c r="N30" i="1"/>
  <c r="B26" i="3" s="1"/>
  <c r="O32" i="1"/>
  <c r="C31" i="3" s="1"/>
  <c r="N32" i="1"/>
  <c r="B32" i="3" s="1"/>
  <c r="O19" i="1"/>
  <c r="C31" i="2" s="1"/>
  <c r="N11" i="1"/>
  <c r="B6" i="2" s="1"/>
  <c r="O12" i="1"/>
  <c r="N15" i="1"/>
  <c r="B19" i="2" s="1"/>
  <c r="O16" i="1"/>
  <c r="C23" i="2" s="1"/>
  <c r="N24" i="1"/>
  <c r="B6" i="3" s="1"/>
  <c r="N27" i="1"/>
  <c r="B16" i="3" s="1"/>
  <c r="O29" i="1"/>
  <c r="C23" i="3" s="1"/>
  <c r="O11" i="1"/>
  <c r="N14" i="1"/>
  <c r="B17" i="2" s="1"/>
  <c r="N18" i="1"/>
  <c r="B27" i="2" s="1"/>
  <c r="N25" i="1"/>
  <c r="B11" i="3" s="1"/>
  <c r="N28" i="1"/>
  <c r="B19" i="3" s="1"/>
  <c r="N31" i="1"/>
  <c r="B29" i="3" s="1"/>
  <c r="C4" i="2"/>
  <c r="O25" i="1"/>
  <c r="M24" i="1"/>
  <c r="O24" i="1" s="1"/>
  <c r="M4" i="2"/>
  <c r="M31" i="1"/>
  <c r="O31" i="1" s="1"/>
  <c r="M27" i="1"/>
  <c r="O27" i="1" s="1"/>
  <c r="O23" i="1"/>
  <c r="M30" i="1"/>
  <c r="O30" i="1" s="1"/>
  <c r="M26" i="1"/>
  <c r="O26" i="1" s="1"/>
  <c r="B13" i="3" l="1"/>
  <c r="B12" i="3"/>
  <c r="B3" i="3"/>
  <c r="C30" i="3"/>
  <c r="B25" i="3"/>
  <c r="B12" i="2"/>
  <c r="C5" i="2"/>
  <c r="B21" i="2"/>
  <c r="B26" i="2"/>
  <c r="C26" i="2"/>
  <c r="C25" i="2"/>
  <c r="C17" i="2"/>
  <c r="C15" i="2"/>
  <c r="C16" i="2"/>
  <c r="M18" i="1"/>
  <c r="O18" i="1" s="1"/>
  <c r="C27" i="2" s="1"/>
  <c r="B8" i="2"/>
  <c r="B13" i="2"/>
  <c r="B22" i="3"/>
  <c r="B30" i="3"/>
  <c r="B27" i="3"/>
  <c r="B8" i="3"/>
  <c r="B18" i="3"/>
  <c r="B29" i="2"/>
  <c r="B15" i="2"/>
  <c r="B31" i="3"/>
  <c r="B18" i="2"/>
  <c r="B10" i="3"/>
  <c r="B32" i="2"/>
  <c r="C24" i="2"/>
  <c r="C30" i="2"/>
  <c r="B20" i="2"/>
  <c r="C22" i="3"/>
  <c r="B24" i="3"/>
  <c r="B28" i="3"/>
  <c r="B7" i="3"/>
  <c r="B4" i="3"/>
  <c r="B16" i="2"/>
  <c r="B7" i="2"/>
  <c r="C19" i="2"/>
  <c r="C18" i="2"/>
  <c r="C20" i="2"/>
  <c r="C13" i="2"/>
  <c r="C12" i="2"/>
  <c r="C14" i="2"/>
  <c r="B23" i="3"/>
  <c r="B9" i="2"/>
  <c r="B30" i="2"/>
  <c r="C32" i="2"/>
  <c r="B10" i="2"/>
  <c r="B9" i="3"/>
  <c r="B24" i="2"/>
  <c r="C21" i="3"/>
  <c r="C18" i="3"/>
  <c r="B20" i="3"/>
  <c r="C9" i="2"/>
  <c r="C10" i="2"/>
  <c r="B28" i="2"/>
  <c r="B23" i="2"/>
  <c r="B17" i="3"/>
  <c r="C8" i="2"/>
  <c r="C7" i="2"/>
  <c r="C22" i="2"/>
  <c r="C21" i="2"/>
  <c r="C11" i="2"/>
  <c r="C20" i="3"/>
  <c r="B15" i="3"/>
  <c r="C32" i="3"/>
  <c r="C6" i="2"/>
  <c r="C6" i="3"/>
  <c r="C7" i="3"/>
  <c r="C8" i="3"/>
  <c r="C11" i="3"/>
  <c r="C9" i="3"/>
  <c r="C10" i="3"/>
  <c r="C13" i="3"/>
  <c r="C14" i="3"/>
  <c r="C12" i="3"/>
  <c r="C4" i="3"/>
  <c r="C5" i="3"/>
  <c r="C3" i="3"/>
  <c r="C25" i="3"/>
  <c r="C26" i="3"/>
  <c r="C24" i="3"/>
  <c r="C15" i="3"/>
  <c r="C16" i="3"/>
  <c r="C17" i="3"/>
  <c r="C27" i="3"/>
  <c r="C28" i="3"/>
  <c r="C29" i="3"/>
  <c r="C28" i="2" l="1"/>
  <c r="C29"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Stephen Hinde</author>
    <author>A satisfied Microsoft Office user</author>
  </authors>
  <commentList>
    <comment ref="B1" authorId="0" shapeId="0" xr:uid="{00000000-0006-0000-0000-000001000000}">
      <text>
        <r>
          <rPr>
            <b/>
            <sz val="10"/>
            <color rgb="FF000000"/>
            <rFont val="Tahoma"/>
            <family val="2"/>
          </rPr>
          <t>Stephen Hinde:</t>
        </r>
        <r>
          <rPr>
            <sz val="10"/>
            <color rgb="FF000000"/>
            <rFont val="Tahoma"/>
            <family val="2"/>
          </rPr>
          <t xml:space="preserve">
</t>
        </r>
        <r>
          <rPr>
            <sz val="10"/>
            <color rgb="FF000000"/>
            <rFont val="Tahoma"/>
            <family val="2"/>
          </rPr>
          <t xml:space="preserve">Nominal ACP distance
</t>
        </r>
        <r>
          <rPr>
            <sz val="10"/>
            <color rgb="FF000000"/>
            <rFont val="Tahoma"/>
            <family val="2"/>
          </rPr>
          <t xml:space="preserve">
</t>
        </r>
        <r>
          <rPr>
            <sz val="10"/>
            <color rgb="FF000000"/>
            <rFont val="Tahoma"/>
            <family val="2"/>
          </rPr>
          <t>eg 200, 300, 400, 600</t>
        </r>
      </text>
    </comment>
    <comment ref="B2" authorId="1" shapeId="0" xr:uid="{00000000-0006-0000-0000-000002000000}">
      <text>
        <r>
          <rPr>
            <sz val="8"/>
            <color rgb="FF000000"/>
            <rFont val="Tahoma"/>
            <family val="2"/>
          </rPr>
          <t>Partial result of closing time calculation to avoid limitation of only 7 nested functions</t>
        </r>
      </text>
    </comment>
    <comment ref="B4" authorId="0" shapeId="0" xr:uid="{00000000-0006-0000-0000-000003000000}">
      <text>
        <r>
          <rPr>
            <b/>
            <sz val="10"/>
            <color rgb="FF000000"/>
            <rFont val="Tahoma"/>
            <family val="2"/>
          </rPr>
          <t>Stephen Hinde:</t>
        </r>
        <r>
          <rPr>
            <sz val="10"/>
            <color rgb="FF000000"/>
            <rFont val="Tahoma"/>
            <family val="2"/>
          </rPr>
          <t xml:space="preserve">
</t>
        </r>
        <r>
          <rPr>
            <sz val="10"/>
            <color rgb="FF000000"/>
            <rFont val="Tahoma"/>
            <family val="2"/>
          </rPr>
          <t>On event page</t>
        </r>
      </text>
    </comment>
    <comment ref="B5" authorId="0" shapeId="0" xr:uid="{00000000-0006-0000-0000-000004000000}">
      <text>
        <r>
          <rPr>
            <b/>
            <sz val="10"/>
            <color rgb="FF000000"/>
            <rFont val="Tahoma"/>
            <family val="2"/>
          </rPr>
          <t>Stephen Hinde:</t>
        </r>
        <r>
          <rPr>
            <sz val="10"/>
            <color rgb="FF000000"/>
            <rFont val="Tahoma"/>
            <family val="2"/>
          </rPr>
          <t xml:space="preserve">
</t>
        </r>
        <r>
          <rPr>
            <sz val="10"/>
            <color rgb="FF000000"/>
            <rFont val="Tahoma"/>
            <family val="2"/>
          </rPr>
          <t>Official ACP date</t>
        </r>
      </text>
    </comment>
    <comment ref="B7" authorId="0" shapeId="0" xr:uid="{00000000-0006-0000-0000-000005000000}">
      <text>
        <r>
          <rPr>
            <b/>
            <sz val="10"/>
            <color rgb="FF000000"/>
            <rFont val="Tahoma"/>
            <family val="2"/>
          </rPr>
          <t>Stephen Hinde:</t>
        </r>
        <r>
          <rPr>
            <sz val="10"/>
            <color rgb="FF000000"/>
            <rFont val="Tahoma"/>
            <family val="2"/>
          </rPr>
          <t xml:space="preserve">
</t>
        </r>
        <r>
          <rPr>
            <sz val="10"/>
            <color rgb="FF000000"/>
            <rFont val="Tahoma"/>
            <family val="2"/>
          </rPr>
          <t xml:space="preserve">Actual date
</t>
        </r>
        <r>
          <rPr>
            <sz val="10"/>
            <color rgb="FF000000"/>
            <rFont val="Tahoma"/>
            <family val="2"/>
          </rPr>
          <t xml:space="preserve">
</t>
        </r>
        <r>
          <rPr>
            <sz val="10"/>
            <color rgb="FF000000"/>
            <rFont val="Tahoma"/>
            <family val="2"/>
          </rPr>
          <t>Recommend using Schedule date</t>
        </r>
      </text>
    </comment>
  </commentList>
</comments>
</file>

<file path=xl/sharedStrings.xml><?xml version="1.0" encoding="utf-8"?>
<sst xmlns="http://schemas.openxmlformats.org/spreadsheetml/2006/main" count="296" uniqueCount="128">
  <si>
    <t>Start time</t>
  </si>
  <si>
    <t>Finish time</t>
  </si>
  <si>
    <t>Elapsed time</t>
  </si>
  <si>
    <t>Open</t>
  </si>
  <si>
    <t>Close</t>
  </si>
  <si>
    <t>Open time</t>
  </si>
  <si>
    <t>Close time</t>
  </si>
  <si>
    <t>Control 1</t>
  </si>
  <si>
    <t>Control 2</t>
  </si>
  <si>
    <t>Control 3</t>
  </si>
  <si>
    <t>Control 4</t>
  </si>
  <si>
    <t>Control 5</t>
  </si>
  <si>
    <t>Control 6</t>
  </si>
  <si>
    <t>Control 7</t>
  </si>
  <si>
    <t>Control 8</t>
  </si>
  <si>
    <t>Control 9</t>
  </si>
  <si>
    <t>Control 10</t>
  </si>
  <si>
    <t>Rider's signature at completion</t>
  </si>
  <si>
    <t>Brevet Length:</t>
  </si>
  <si>
    <t>Maximum Time:</t>
  </si>
  <si>
    <t>Brevet Description:</t>
  </si>
  <si>
    <t>Brevet Number:</t>
  </si>
  <si>
    <t>Start Date:</t>
  </si>
  <si>
    <t>Start Time:</t>
  </si>
  <si>
    <t>Distance</t>
  </si>
  <si>
    <t>Locale</t>
  </si>
  <si>
    <t>Establishment 1</t>
  </si>
  <si>
    <t>Establishment 2</t>
  </si>
  <si>
    <t>Establishment 3</t>
  </si>
  <si>
    <t>|</t>
  </si>
  <si>
    <t>DIST (km)</t>
  </si>
  <si>
    <t>Establishment</t>
  </si>
  <si>
    <t>Time of Passage</t>
  </si>
  <si>
    <t>Control Card</t>
  </si>
  <si>
    <t>Name</t>
  </si>
  <si>
    <t>Address</t>
  </si>
  <si>
    <t>City</t>
  </si>
  <si>
    <t>Province/State</t>
  </si>
  <si>
    <t>Country</t>
  </si>
  <si>
    <t>Postal Code</t>
  </si>
  <si>
    <t>Telephone</t>
  </si>
  <si>
    <t>email</t>
  </si>
  <si>
    <t>Randonneur Committee Authorization</t>
  </si>
  <si>
    <t>Report results or abandonment through registration email link</t>
  </si>
  <si>
    <r>
      <t xml:space="preserve">Please </t>
    </r>
    <r>
      <rPr>
        <b/>
        <i/>
        <sz val="16"/>
        <rFont val="Arial"/>
        <family val="2"/>
      </rPr>
      <t>answer questions</t>
    </r>
    <r>
      <rPr>
        <i/>
        <sz val="16"/>
        <rFont val="Arial"/>
        <family val="2"/>
      </rPr>
      <t xml:space="preserve"> and</t>
    </r>
    <r>
      <rPr>
        <b/>
        <i/>
        <sz val="16"/>
        <rFont val="Arial"/>
        <family val="2"/>
      </rPr>
      <t xml:space="preserve"> note time of day</t>
    </r>
  </si>
  <si>
    <t>Start Date</t>
  </si>
  <si>
    <t>Finish Date</t>
  </si>
  <si>
    <t>Member #</t>
  </si>
  <si>
    <t xml:space="preserve">Brevet No. </t>
  </si>
  <si>
    <t>Schedule date:</t>
  </si>
  <si>
    <t>Single</t>
  </si>
  <si>
    <t>Tandem</t>
  </si>
  <si>
    <t>Fixed</t>
  </si>
  <si>
    <t>Recumbent</t>
  </si>
  <si>
    <t>Velomobile</t>
  </si>
  <si>
    <t>(only add if change needed to database)</t>
  </si>
  <si>
    <t>Founding member of LES RANDONNEURS MONDIAUX (1983)</t>
  </si>
  <si>
    <t>Bicycle Type
Circle one</t>
  </si>
  <si>
    <t>-------&gt;</t>
  </si>
  <si>
    <t>Ride Day Emergency Contact</t>
  </si>
  <si>
    <t>Signature/Answer</t>
  </si>
  <si>
    <t>Signature/Answer 1</t>
  </si>
  <si>
    <t>Signature/Answer 2</t>
  </si>
  <si>
    <t>Signature/Answer 3</t>
  </si>
  <si>
    <t>Instructions</t>
  </si>
  <si>
    <t>Fill nominal brevet length.  This is the ACP distance eg 200, 300, 1000</t>
  </si>
  <si>
    <t>Maximum allowable time automatically calculated</t>
  </si>
  <si>
    <t>Enter the brevet name eg 'Remembrance Day Brevet'</t>
  </si>
  <si>
    <t>Enter the brevet number.  This is the BCR database number, and can be found on the event page in the database</t>
  </si>
  <si>
    <t>Enter the schedule date.  This is the official ACP listed date and can be found on the shcedule on the website</t>
  </si>
  <si>
    <t>Enter the start date.  This will always be the same as the schedule date, unless a ride window has been enabled.</t>
  </si>
  <si>
    <t>Enter the start time.  This will always be the official ACP listed start time found on the event page, unless a ride window has been enabled.</t>
  </si>
  <si>
    <t>Fill in the control distance.  The opening and closing times will be automatically calculated based on the start time and the brevet distance.  If you need more than 10 controls, use card #2, otherwise leave that section blank.</t>
  </si>
  <si>
    <t>Fill in the Locale (city) for each control.  Establishment 1, 2, and 3 can be used to describe the control itself eg Locale Hope  Est.1 Dairy Queen Est.2 817 Water Ave Est. 3 (leaft blank)</t>
  </si>
  <si>
    <t>When using information controls, you can put your question in the Signature/Answer section eg Sig/Ans.1 Sign on main door  Sig/Ans. 2  This week's special is?  Sig/Ans. 3 ________________</t>
  </si>
  <si>
    <t>Control Card #1 Information Control Question (optional)</t>
  </si>
  <si>
    <t>Note:  Control Card #1 will only show '#1' if a distance is entered into the first distance box for Control Card #2</t>
  </si>
  <si>
    <t>Control Card #2 Information Control Question (optional)</t>
  </si>
  <si>
    <t xml:space="preserve">Control Card </t>
  </si>
  <si>
    <t>Control Card Main Start</t>
  </si>
  <si>
    <t>Control Card Alternate Start</t>
  </si>
  <si>
    <t>Parallels with Latitude</t>
  </si>
  <si>
    <t>NANAIMO</t>
  </si>
  <si>
    <t>LADYSMITH</t>
  </si>
  <si>
    <t>NANOOSE</t>
  </si>
  <si>
    <t>COMOX</t>
  </si>
  <si>
    <t>CAMPBELL RIVER</t>
  </si>
  <si>
    <t>COURTENAY</t>
  </si>
  <si>
    <t>CUMBERLAND</t>
  </si>
  <si>
    <t>QUALICUM BEACH</t>
  </si>
  <si>
    <t>Tim Hortons</t>
  </si>
  <si>
    <t>Aggie Hall</t>
  </si>
  <si>
    <t>Beachcomber</t>
  </si>
  <si>
    <t>Regional Park</t>
  </si>
  <si>
    <t>Brooks Landing</t>
  </si>
  <si>
    <t>Plaza by tractor</t>
  </si>
  <si>
    <t>1st Ave @ Symonds St</t>
  </si>
  <si>
    <t>50th Parallel Marker</t>
  </si>
  <si>
    <t>Seawalk</t>
  </si>
  <si>
    <t>(Island Hwy 19A)</t>
  </si>
  <si>
    <t>Mailboxes</t>
  </si>
  <si>
    <t>Greaves Cr @ Piercy Rd</t>
  </si>
  <si>
    <t>4th St @ Dunsmuir Ave</t>
  </si>
  <si>
    <t>Shell Gas</t>
  </si>
  <si>
    <t>Island Hwy @ Memorial Ave</t>
  </si>
  <si>
    <t>Island Hwy @ Departure Bay Rd</t>
  </si>
  <si>
    <t>Self sign</t>
  </si>
  <si>
    <t>Green 49th Parallel sign</t>
  </si>
  <si>
    <t>50th Parallel on this___________?</t>
  </si>
  <si>
    <t>Small blue sign 10 metres south</t>
  </si>
  <si>
    <t>Superbox 1</t>
  </si>
  <si>
    <t>Number at bottom left ?</t>
  </si>
  <si>
    <t>Directional sign by ambulance hall</t>
  </si>
  <si>
    <t>How far to Museum?</t>
  </si>
  <si>
    <t>Right door</t>
  </si>
  <si>
    <t>Yellow social distance sign</t>
  </si>
  <si>
    <t>Go __________?</t>
  </si>
  <si>
    <t>The __________treaty of 1846?</t>
  </si>
  <si>
    <t>Little River Bay</t>
  </si>
  <si>
    <t>Beach Access</t>
  </si>
  <si>
    <t>Restrictions signpost</t>
  </si>
  <si>
    <t>___________________parking?</t>
  </si>
  <si>
    <t>(end of road)</t>
  </si>
  <si>
    <t>Bike rack across entrance</t>
  </si>
  <si>
    <t>Serial number?</t>
  </si>
  <si>
    <t>230.11-________________</t>
  </si>
  <si>
    <t>Info sign @ 1326 Marina</t>
  </si>
  <si>
    <t>List ONE of the native plant species photos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</si>
</sst>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dd/mmm/yy\ hh:mm\ AM/PM"/>
    <numFmt numFmtId="165" formatCode="d/mmm/yy"/>
    <numFmt numFmtId="166" formatCode="dddd"/>
    <numFmt numFmtId="167" formatCode="0.0"/>
    <numFmt numFmtId="168" formatCode="mmmm\ d\,\ yyyy"/>
    <numFmt numFmtId="169" formatCode="[&lt;=9999999]###\-####;\(###\)\ ###\-####"/>
  </numFmts>
  <fonts count="32" x14ac:knownFonts="1">
    <font>
      <sz val="10"/>
      <name val="Arial"/>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0"/>
      <name val="Arial"/>
      <family val="2"/>
    </font>
    <font>
      <sz val="12"/>
      <name val="Arial"/>
      <family val="2"/>
    </font>
    <font>
      <sz val="14"/>
      <name val="Arial"/>
      <family val="2"/>
    </font>
    <font>
      <sz val="20"/>
      <name val="Arial"/>
      <family val="2"/>
    </font>
    <font>
      <sz val="36"/>
      <name val="Arial"/>
      <family val="2"/>
    </font>
    <font>
      <sz val="16"/>
      <name val="Arial"/>
      <family val="2"/>
    </font>
    <font>
      <i/>
      <sz val="14"/>
      <name val="Arial"/>
      <family val="2"/>
    </font>
    <font>
      <sz val="18"/>
      <name val="Arial"/>
      <family val="2"/>
    </font>
    <font>
      <sz val="14"/>
      <name val="Arial Narrow"/>
      <family val="2"/>
    </font>
    <font>
      <b/>
      <sz val="14"/>
      <name val="Arial Narrow"/>
      <family val="2"/>
    </font>
    <font>
      <b/>
      <sz val="16"/>
      <name val="Arial Narrow"/>
      <family val="2"/>
    </font>
    <font>
      <sz val="8"/>
      <name val="Arial"/>
      <family val="2"/>
    </font>
    <font>
      <u/>
      <sz val="10"/>
      <color theme="10"/>
      <name val="Arial"/>
      <family val="2"/>
    </font>
    <font>
      <u/>
      <sz val="10"/>
      <color theme="11"/>
      <name val="Arial"/>
      <family val="2"/>
    </font>
    <font>
      <b/>
      <sz val="16"/>
      <name val="Arial"/>
      <family val="2"/>
    </font>
    <font>
      <sz val="8"/>
      <color rgb="FF000000"/>
      <name val="Tahoma"/>
      <family val="2"/>
    </font>
    <font>
      <i/>
      <sz val="16"/>
      <name val="Arial"/>
      <family val="2"/>
    </font>
    <font>
      <b/>
      <i/>
      <sz val="16"/>
      <name val="Arial"/>
      <family val="2"/>
    </font>
    <font>
      <sz val="16"/>
      <name val="Arial Narrow"/>
      <family val="2"/>
    </font>
    <font>
      <sz val="20"/>
      <color theme="0" tint="-0.14999847407452621"/>
      <name val="Impact"/>
      <family val="2"/>
    </font>
    <font>
      <sz val="11"/>
      <color theme="1"/>
      <name val="Calibri"/>
      <family val="2"/>
      <scheme val="minor"/>
    </font>
    <font>
      <sz val="10"/>
      <color rgb="FF000000"/>
      <name val="Tahoma"/>
      <family val="2"/>
    </font>
    <font>
      <b/>
      <sz val="10"/>
      <color rgb="FF000000"/>
      <name val="Tahoma"/>
      <family val="2"/>
    </font>
    <font>
      <sz val="10"/>
      <name val="Arial Narrow"/>
      <family val="2"/>
    </font>
    <font>
      <sz val="10"/>
      <color rgb="FFFF0000"/>
      <name val="Arial"/>
      <family val="2"/>
    </font>
    <font>
      <sz val="12"/>
      <name val="Arial Narrow"/>
      <family val="2"/>
    </font>
    <font>
      <b/>
      <sz val="12"/>
      <name val="Arial Narrow"/>
      <family val="2"/>
    </font>
  </fonts>
  <fills count="3">
    <fill>
      <patternFill patternType="none"/>
    </fill>
    <fill>
      <patternFill patternType="gray125"/>
    </fill>
    <fill>
      <patternFill patternType="solid">
        <fgColor indexed="22"/>
        <bgColor indexed="64"/>
      </patternFill>
    </fill>
  </fills>
  <borders count="28">
    <border>
      <left/>
      <right/>
      <top/>
      <bottom/>
      <diagonal/>
    </border>
    <border>
      <left style="medium">
        <color auto="1"/>
      </left>
      <right style="medium">
        <color auto="1"/>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bottom style="thin">
        <color auto="1"/>
      </bottom>
      <diagonal/>
    </border>
    <border>
      <left/>
      <right style="medium">
        <color auto="1"/>
      </right>
      <top/>
      <bottom style="thin">
        <color auto="1"/>
      </bottom>
      <diagonal/>
    </border>
    <border>
      <left/>
      <right/>
      <top style="medium">
        <color auto="1"/>
      </top>
      <bottom style="medium">
        <color auto="1"/>
      </bottom>
      <diagonal/>
    </border>
    <border>
      <left style="medium">
        <color auto="1"/>
      </left>
      <right/>
      <top/>
      <bottom/>
      <diagonal/>
    </border>
    <border>
      <left style="medium">
        <color auto="1"/>
      </left>
      <right style="medium">
        <color auto="1"/>
      </right>
      <top/>
      <bottom style="medium">
        <color auto="1"/>
      </bottom>
      <diagonal/>
    </border>
    <border>
      <left/>
      <right style="medium">
        <color auto="1"/>
      </right>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right style="thin">
        <color auto="1"/>
      </right>
      <top style="medium">
        <color auto="1"/>
      </top>
      <bottom style="medium">
        <color auto="1"/>
      </bottom>
      <diagonal/>
    </border>
    <border>
      <left style="medium">
        <color auto="1"/>
      </left>
      <right style="thin">
        <color auto="1"/>
      </right>
      <top/>
      <bottom style="thin">
        <color auto="1"/>
      </bottom>
      <diagonal/>
    </border>
    <border>
      <left/>
      <right style="thin">
        <color auto="1"/>
      </right>
      <top/>
      <bottom style="thin">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bottom/>
      <diagonal/>
    </border>
    <border>
      <left/>
      <right style="medium">
        <color auto="1"/>
      </right>
      <top/>
      <bottom/>
      <diagonal/>
    </border>
    <border>
      <left/>
      <right/>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style="medium">
        <color auto="1"/>
      </right>
      <top style="thin">
        <color auto="1"/>
      </top>
      <bottom style="thin">
        <color auto="1"/>
      </bottom>
      <diagonal/>
    </border>
    <border>
      <left/>
      <right style="medium">
        <color auto="1"/>
      </right>
      <top style="thin">
        <color auto="1"/>
      </top>
      <bottom style="medium">
        <color auto="1"/>
      </bottom>
      <diagonal/>
    </border>
    <border>
      <left style="medium">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right style="thin">
        <color auto="1"/>
      </right>
      <top style="thin">
        <color auto="1"/>
      </top>
      <bottom style="medium">
        <color auto="1"/>
      </bottom>
      <diagonal/>
    </border>
  </borders>
  <cellStyleXfs count="356">
    <xf numFmtId="0" fontId="0" fillId="0" borderId="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25" fillId="0" borderId="0"/>
    <xf numFmtId="0" fontId="4" fillId="0" borderId="0"/>
    <xf numFmtId="0" fontId="5" fillId="0" borderId="0"/>
    <xf numFmtId="0" fontId="3" fillId="0" borderId="0"/>
    <xf numFmtId="0" fontId="2" fillId="0" borderId="0"/>
    <xf numFmtId="0" fontId="1" fillId="0" borderId="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cellStyleXfs>
  <cellXfs count="138">
    <xf numFmtId="0" fontId="0" fillId="0" borderId="0" xfId="0"/>
    <xf numFmtId="0" fontId="0" fillId="0" borderId="16" xfId="0" applyBorder="1"/>
    <xf numFmtId="0" fontId="0" fillId="0" borderId="0" xfId="0" applyAlignment="1">
      <alignment horizontal="right"/>
    </xf>
    <xf numFmtId="0" fontId="0" fillId="0" borderId="0" xfId="0" applyProtection="1">
      <protection hidden="1"/>
    </xf>
    <xf numFmtId="164" fontId="0" fillId="0" borderId="0" xfId="0" applyNumberFormat="1" applyBorder="1"/>
    <xf numFmtId="164" fontId="0" fillId="0" borderId="0" xfId="0" applyNumberFormat="1" applyBorder="1" applyAlignment="1">
      <alignment horizontal="center" vertical="center" wrapText="1"/>
    </xf>
    <xf numFmtId="0" fontId="0" fillId="2" borderId="11" xfId="0" applyFill="1" applyBorder="1"/>
    <xf numFmtId="0" fontId="0" fillId="2" borderId="12" xfId="0" applyFill="1" applyBorder="1"/>
    <xf numFmtId="0" fontId="0" fillId="2" borderId="10" xfId="0" applyFill="1" applyBorder="1"/>
    <xf numFmtId="0" fontId="7" fillId="2" borderId="15" xfId="0" applyFont="1" applyFill="1" applyBorder="1" applyAlignment="1">
      <alignment horizontal="center"/>
    </xf>
    <xf numFmtId="0" fontId="7" fillId="0" borderId="16" xfId="0" applyFont="1" applyBorder="1" applyAlignment="1">
      <alignment horizontal="center" wrapText="1"/>
    </xf>
    <xf numFmtId="0" fontId="7" fillId="0" borderId="7" xfId="0" applyFont="1" applyBorder="1"/>
    <xf numFmtId="0" fontId="0" fillId="2" borderId="7" xfId="0" applyFill="1" applyBorder="1" applyAlignment="1">
      <alignment horizontal="right"/>
    </xf>
    <xf numFmtId="0" fontId="0" fillId="2" borderId="1" xfId="0" applyFill="1" applyBorder="1" applyAlignment="1">
      <alignment horizontal="right"/>
    </xf>
    <xf numFmtId="0" fontId="0" fillId="2" borderId="3" xfId="0" applyFill="1" applyBorder="1" applyAlignment="1">
      <alignment horizontal="right"/>
    </xf>
    <xf numFmtId="0" fontId="0" fillId="2" borderId="4" xfId="0" applyFill="1" applyBorder="1"/>
    <xf numFmtId="0" fontId="0" fillId="0" borderId="0" xfId="0" applyAlignment="1">
      <alignment vertical="top" textRotation="90"/>
    </xf>
    <xf numFmtId="0" fontId="10" fillId="0" borderId="0" xfId="0" applyFont="1"/>
    <xf numFmtId="0" fontId="0" fillId="0" borderId="18" xfId="0" applyBorder="1"/>
    <xf numFmtId="0" fontId="0" fillId="0" borderId="19" xfId="0" applyBorder="1"/>
    <xf numFmtId="0" fontId="0" fillId="0" borderId="6" xfId="0" applyBorder="1"/>
    <xf numFmtId="0" fontId="10" fillId="0" borderId="18" xfId="0" applyFont="1" applyBorder="1" applyProtection="1">
      <protection locked="0"/>
    </xf>
    <xf numFmtId="0" fontId="0" fillId="0" borderId="18" xfId="0" applyBorder="1" applyProtection="1">
      <protection locked="0"/>
    </xf>
    <xf numFmtId="0" fontId="10" fillId="0" borderId="18" xfId="0" applyFont="1" applyBorder="1" applyProtection="1"/>
    <xf numFmtId="0" fontId="10" fillId="0" borderId="0" xfId="0" applyFont="1" applyProtection="1"/>
    <xf numFmtId="0" fontId="0" fillId="0" borderId="0" xfId="0" applyProtection="1"/>
    <xf numFmtId="0" fontId="0" fillId="0" borderId="18" xfId="0" applyBorder="1" applyProtection="1"/>
    <xf numFmtId="0" fontId="0" fillId="0" borderId="20" xfId="0" applyBorder="1" applyProtection="1"/>
    <xf numFmtId="0" fontId="0" fillId="0" borderId="21" xfId="0" applyBorder="1" applyProtection="1"/>
    <xf numFmtId="0" fontId="0" fillId="0" borderId="0" xfId="0" applyBorder="1" applyProtection="1"/>
    <xf numFmtId="0" fontId="0" fillId="0" borderId="17" xfId="0" applyBorder="1" applyProtection="1"/>
    <xf numFmtId="0" fontId="0" fillId="0" borderId="8" xfId="0" applyBorder="1" applyProtection="1"/>
    <xf numFmtId="0" fontId="0" fillId="0" borderId="0" xfId="0" applyBorder="1" applyAlignment="1" applyProtection="1">
      <alignment horizontal="centerContinuous"/>
      <protection hidden="1"/>
    </xf>
    <xf numFmtId="0" fontId="0" fillId="0" borderId="0" xfId="0" applyBorder="1" applyAlignment="1">
      <alignment horizontal="centerContinuous"/>
    </xf>
    <xf numFmtId="167" fontId="0" fillId="0" borderId="13" xfId="0" applyNumberFormat="1" applyBorder="1" applyProtection="1">
      <protection locked="0"/>
    </xf>
    <xf numFmtId="0" fontId="0" fillId="0" borderId="0" xfId="0" applyBorder="1" applyAlignment="1">
      <alignment horizontal="center"/>
    </xf>
    <xf numFmtId="0" fontId="0" fillId="0" borderId="0" xfId="0" applyBorder="1"/>
    <xf numFmtId="0" fontId="8" fillId="0" borderId="18" xfId="0" applyFont="1" applyBorder="1" applyProtection="1"/>
    <xf numFmtId="0" fontId="12" fillId="0" borderId="18" xfId="0" applyFont="1" applyBorder="1" applyProtection="1"/>
    <xf numFmtId="167" fontId="13" fillId="0" borderId="16" xfId="0" applyNumberFormat="1" applyFont="1" applyBorder="1" applyAlignment="1">
      <alignment horizontal="center" wrapText="1"/>
    </xf>
    <xf numFmtId="166" fontId="13" fillId="0" borderId="16" xfId="0" applyNumberFormat="1" applyFont="1" applyBorder="1" applyAlignment="1">
      <alignment horizontal="center" vertical="center" wrapText="1"/>
    </xf>
    <xf numFmtId="0" fontId="13" fillId="0" borderId="17" xfId="0" applyFont="1" applyBorder="1" applyAlignment="1">
      <alignment horizontal="center" vertical="center"/>
    </xf>
    <xf numFmtId="0" fontId="14" fillId="0" borderId="16" xfId="0" applyFont="1" applyBorder="1" applyAlignment="1">
      <alignment horizontal="center" vertical="center" wrapText="1"/>
    </xf>
    <xf numFmtId="167" fontId="13" fillId="0" borderId="7" xfId="0" applyNumberFormat="1" applyFont="1" applyBorder="1"/>
    <xf numFmtId="165" fontId="13" fillId="0" borderId="7" xfId="0" applyNumberFormat="1" applyFont="1" applyBorder="1" applyAlignment="1">
      <alignment horizontal="center" vertical="center" wrapText="1"/>
    </xf>
    <xf numFmtId="0" fontId="13" fillId="0" borderId="18" xfId="0" applyFont="1" applyBorder="1" applyAlignment="1">
      <alignment horizontal="center" vertical="center"/>
    </xf>
    <xf numFmtId="0" fontId="14" fillId="0" borderId="7" xfId="0" applyFont="1" applyBorder="1" applyAlignment="1">
      <alignment horizontal="center" vertical="center" wrapText="1"/>
    </xf>
    <xf numFmtId="0" fontId="13" fillId="0" borderId="16" xfId="0" applyFont="1" applyBorder="1" applyAlignment="1">
      <alignment horizontal="center" vertical="center"/>
    </xf>
    <xf numFmtId="167" fontId="15" fillId="0" borderId="16" xfId="0" applyNumberFormat="1" applyFont="1" applyBorder="1" applyAlignment="1">
      <alignment horizontal="center" vertical="center"/>
    </xf>
    <xf numFmtId="18" fontId="15" fillId="0" borderId="16" xfId="0" applyNumberFormat="1" applyFont="1" applyBorder="1" applyAlignment="1">
      <alignment horizontal="center" vertical="center" wrapText="1"/>
    </xf>
    <xf numFmtId="0" fontId="15" fillId="0" borderId="16" xfId="0" applyFont="1" applyBorder="1" applyAlignment="1">
      <alignment horizontal="center" vertical="center" wrapText="1"/>
    </xf>
    <xf numFmtId="167" fontId="12" fillId="0" borderId="0" xfId="0" applyNumberFormat="1" applyFont="1" applyAlignment="1">
      <alignment vertical="top"/>
    </xf>
    <xf numFmtId="0" fontId="9" fillId="0" borderId="0" xfId="0" applyFont="1" applyAlignment="1">
      <alignment horizontal="left" vertical="center"/>
    </xf>
    <xf numFmtId="0" fontId="10" fillId="0" borderId="0" xfId="0" applyFont="1" applyAlignment="1">
      <alignment horizontal="left" vertical="center" wrapText="1"/>
    </xf>
    <xf numFmtId="0" fontId="11" fillId="0" borderId="0" xfId="0" applyFont="1" applyAlignment="1">
      <alignment horizontal="center" vertical="justify"/>
    </xf>
    <xf numFmtId="0" fontId="10" fillId="0" borderId="0" xfId="0" applyFont="1" applyBorder="1" applyAlignment="1" applyProtection="1">
      <alignment horizontal="right"/>
    </xf>
    <xf numFmtId="0" fontId="0" fillId="2" borderId="25" xfId="0" applyFill="1" applyBorder="1" applyAlignment="1">
      <alignment horizontal="right"/>
    </xf>
    <xf numFmtId="0" fontId="10" fillId="0" borderId="5" xfId="0" applyFont="1" applyBorder="1" applyProtection="1"/>
    <xf numFmtId="0" fontId="10" fillId="0" borderId="0" xfId="0" applyFont="1" applyBorder="1" applyAlignment="1" applyProtection="1">
      <alignment horizontal="left"/>
    </xf>
    <xf numFmtId="0" fontId="10" fillId="0" borderId="0" xfId="0" applyFont="1" applyAlignment="1" applyProtection="1"/>
    <xf numFmtId="0" fontId="5" fillId="2" borderId="3" xfId="0" applyFont="1" applyFill="1" applyBorder="1" applyAlignment="1">
      <alignment horizontal="right"/>
    </xf>
    <xf numFmtId="168" fontId="10" fillId="0" borderId="0" xfId="0" applyNumberFormat="1" applyFont="1" applyBorder="1" applyAlignment="1">
      <alignment horizontal="center"/>
    </xf>
    <xf numFmtId="0" fontId="10" fillId="0" borderId="0" xfId="0" quotePrefix="1" applyFont="1" applyAlignment="1">
      <alignment horizontal="right" vertical="center"/>
    </xf>
    <xf numFmtId="0" fontId="10" fillId="0" borderId="0" xfId="0" applyFont="1" applyAlignment="1">
      <alignment vertical="center"/>
    </xf>
    <xf numFmtId="167" fontId="0" fillId="0" borderId="26" xfId="0" applyNumberFormat="1" applyBorder="1" applyProtection="1">
      <protection locked="0"/>
    </xf>
    <xf numFmtId="0" fontId="24" fillId="0" borderId="18" xfId="0" applyFont="1" applyBorder="1" applyProtection="1"/>
    <xf numFmtId="0" fontId="10" fillId="0" borderId="22" xfId="0" applyFont="1" applyBorder="1"/>
    <xf numFmtId="0" fontId="14" fillId="0" borderId="16" xfId="0" applyFont="1" applyBorder="1" applyAlignment="1">
      <alignment horizontal="center" vertical="top" wrapText="1"/>
    </xf>
    <xf numFmtId="0" fontId="6" fillId="0" borderId="0" xfId="0" applyFont="1" applyBorder="1" applyAlignment="1" applyProtection="1">
      <alignment wrapText="1"/>
    </xf>
    <xf numFmtId="0" fontId="10" fillId="0" borderId="0" xfId="0" applyFont="1" applyBorder="1"/>
    <xf numFmtId="0" fontId="10" fillId="0" borderId="0" xfId="0" applyFont="1" applyBorder="1" applyProtection="1"/>
    <xf numFmtId="168" fontId="10" fillId="0" borderId="0" xfId="0" applyNumberFormat="1" applyFont="1" applyBorder="1" applyAlignment="1">
      <alignment horizontal="center"/>
    </xf>
    <xf numFmtId="0" fontId="10" fillId="0" borderId="0" xfId="0" applyFont="1" applyAlignment="1">
      <alignment horizontal="center"/>
    </xf>
    <xf numFmtId="0" fontId="10" fillId="0" borderId="0" xfId="0" applyFont="1" applyBorder="1" applyAlignment="1">
      <alignment horizontal="center"/>
    </xf>
    <xf numFmtId="0" fontId="7" fillId="0" borderId="18" xfId="0" applyFont="1" applyFill="1" applyBorder="1" applyAlignment="1">
      <alignment horizontal="center" wrapText="1"/>
    </xf>
    <xf numFmtId="169" fontId="7" fillId="0" borderId="18" xfId="0" applyNumberFormat="1" applyFont="1" applyFill="1" applyBorder="1" applyAlignment="1">
      <alignment horizontal="left" wrapText="1"/>
    </xf>
    <xf numFmtId="168" fontId="10" fillId="0" borderId="18" xfId="0" applyNumberFormat="1" applyFont="1" applyBorder="1" applyAlignment="1">
      <alignment horizontal="center"/>
    </xf>
    <xf numFmtId="18" fontId="23" fillId="0" borderId="0" xfId="0" applyNumberFormat="1" applyFont="1" applyBorder="1" applyAlignment="1">
      <alignment horizontal="center" wrapText="1"/>
    </xf>
    <xf numFmtId="0" fontId="0" fillId="0" borderId="18" xfId="0" applyBorder="1" applyAlignment="1" applyProtection="1">
      <alignment horizontal="left"/>
    </xf>
    <xf numFmtId="169" fontId="12" fillId="0" borderId="18" xfId="0" applyNumberFormat="1" applyFont="1" applyBorder="1" applyAlignment="1" applyProtection="1">
      <alignment horizontal="center"/>
    </xf>
    <xf numFmtId="169" fontId="10" fillId="0" borderId="18" xfId="0" applyNumberFormat="1" applyFont="1" applyBorder="1" applyAlignment="1" applyProtection="1">
      <alignment horizontal="center"/>
    </xf>
    <xf numFmtId="0" fontId="10" fillId="0" borderId="0" xfId="0" applyNumberFormat="1" applyFont="1" applyBorder="1" applyAlignment="1" applyProtection="1">
      <alignment horizontal="left" vertical="center"/>
    </xf>
    <xf numFmtId="169" fontId="10" fillId="0" borderId="0" xfId="0" applyNumberFormat="1" applyFont="1" applyBorder="1" applyAlignment="1" applyProtection="1">
      <alignment horizontal="left" vertical="center"/>
    </xf>
    <xf numFmtId="0" fontId="9" fillId="0" borderId="0" xfId="0" applyFont="1" applyBorder="1" applyAlignment="1">
      <alignment horizontal="center" wrapText="1"/>
    </xf>
    <xf numFmtId="0" fontId="28" fillId="2" borderId="12" xfId="0" applyFont="1" applyFill="1" applyBorder="1"/>
    <xf numFmtId="0" fontId="28" fillId="2" borderId="10" xfId="0" applyFont="1" applyFill="1" applyBorder="1"/>
    <xf numFmtId="167" fontId="0" fillId="0" borderId="22" xfId="0" applyNumberFormat="1" applyBorder="1" applyProtection="1">
      <protection locked="0"/>
    </xf>
    <xf numFmtId="0" fontId="13" fillId="0" borderId="18" xfId="0" applyFont="1" applyBorder="1" applyProtection="1">
      <protection locked="0"/>
    </xf>
    <xf numFmtId="49" fontId="13" fillId="0" borderId="18" xfId="0" applyNumberFormat="1" applyFont="1" applyBorder="1" applyAlignment="1" applyProtection="1">
      <alignment horizontal="center"/>
      <protection locked="0"/>
    </xf>
    <xf numFmtId="49" fontId="13" fillId="0" borderId="8" xfId="0" applyNumberFormat="1" applyFont="1" applyBorder="1" applyAlignment="1" applyProtection="1">
      <alignment horizontal="center"/>
      <protection locked="0"/>
    </xf>
    <xf numFmtId="0" fontId="13" fillId="0" borderId="2" xfId="0" applyFont="1" applyBorder="1" applyProtection="1">
      <protection locked="0"/>
    </xf>
    <xf numFmtId="0" fontId="13" fillId="0" borderId="9" xfId="0" applyFont="1" applyBorder="1" applyAlignment="1"/>
    <xf numFmtId="0" fontId="13" fillId="0" borderId="5" xfId="0" applyFont="1" applyBorder="1" applyAlignment="1"/>
    <xf numFmtId="0" fontId="13" fillId="0" borderId="10" xfId="0" applyFont="1" applyBorder="1" applyAlignment="1"/>
    <xf numFmtId="1" fontId="13" fillId="0" borderId="4" xfId="0" applyNumberFormat="1" applyFont="1" applyBorder="1" applyProtection="1">
      <protection locked="0"/>
    </xf>
    <xf numFmtId="15" fontId="13" fillId="0" borderId="4" xfId="0" applyNumberFormat="1" applyFont="1" applyBorder="1" applyProtection="1">
      <protection locked="0"/>
    </xf>
    <xf numFmtId="15" fontId="13" fillId="0" borderId="23" xfId="0" applyNumberFormat="1" applyFont="1" applyBorder="1" applyProtection="1">
      <protection locked="0"/>
    </xf>
    <xf numFmtId="20" fontId="13" fillId="0" borderId="8" xfId="0" applyNumberFormat="1" applyFont="1" applyBorder="1" applyProtection="1">
      <protection locked="0"/>
    </xf>
    <xf numFmtId="0" fontId="29" fillId="0" borderId="0" xfId="0" applyFont="1"/>
    <xf numFmtId="0" fontId="0" fillId="0" borderId="0" xfId="0" applyFont="1"/>
    <xf numFmtId="0" fontId="7" fillId="2" borderId="15" xfId="0" applyFont="1" applyFill="1" applyBorder="1" applyAlignment="1">
      <alignment horizontal="center" vertical="center" wrapText="1"/>
    </xf>
    <xf numFmtId="0" fontId="5" fillId="0" borderId="14" xfId="0" applyFont="1" applyBorder="1" applyProtection="1">
      <protection locked="0"/>
    </xf>
    <xf numFmtId="49" fontId="5" fillId="0" borderId="14" xfId="0" applyNumberFormat="1" applyFont="1" applyBorder="1" applyAlignment="1" applyProtection="1">
      <alignment horizontal="center"/>
      <protection locked="0"/>
    </xf>
    <xf numFmtId="49" fontId="5" fillId="0" borderId="4" xfId="0" applyNumberFormat="1" applyFont="1" applyBorder="1" applyAlignment="1" applyProtection="1">
      <alignment horizontal="center"/>
      <protection locked="0"/>
    </xf>
    <xf numFmtId="0" fontId="5" fillId="0" borderId="27" xfId="0" applyFont="1" applyBorder="1" applyProtection="1">
      <protection locked="0"/>
    </xf>
    <xf numFmtId="49" fontId="5" fillId="0" borderId="27" xfId="0" applyNumberFormat="1" applyFont="1" applyBorder="1" applyAlignment="1" applyProtection="1">
      <alignment horizontal="center"/>
      <protection locked="0"/>
    </xf>
    <xf numFmtId="49" fontId="5" fillId="0" borderId="24" xfId="0" applyNumberFormat="1" applyFont="1" applyBorder="1" applyAlignment="1" applyProtection="1">
      <alignment horizontal="center"/>
      <protection locked="0"/>
    </xf>
    <xf numFmtId="0" fontId="14" fillId="0" borderId="7" xfId="0" applyFont="1" applyBorder="1" applyAlignment="1">
      <alignment horizontal="center" wrapText="1"/>
    </xf>
    <xf numFmtId="49" fontId="30" fillId="0" borderId="14" xfId="0" applyNumberFormat="1" applyFont="1" applyBorder="1" applyAlignment="1" applyProtection="1">
      <alignment horizontal="center"/>
      <protection locked="0"/>
    </xf>
    <xf numFmtId="49" fontId="31" fillId="0" borderId="4" xfId="0" applyNumberFormat="1" applyFont="1" applyBorder="1" applyAlignment="1" applyProtection="1">
      <alignment horizontal="center"/>
      <protection locked="0"/>
    </xf>
    <xf numFmtId="49" fontId="30" fillId="0" borderId="4" xfId="0" applyNumberFormat="1" applyFont="1" applyBorder="1" applyAlignment="1" applyProtection="1">
      <alignment horizontal="center"/>
      <protection locked="0"/>
    </xf>
    <xf numFmtId="49" fontId="30" fillId="0" borderId="27" xfId="0" applyNumberFormat="1" applyFont="1" applyBorder="1" applyAlignment="1" applyProtection="1">
      <alignment horizontal="center"/>
      <protection locked="0"/>
    </xf>
    <xf numFmtId="49" fontId="30" fillId="0" borderId="24" xfId="0" applyNumberFormat="1" applyFont="1" applyBorder="1" applyAlignment="1" applyProtection="1">
      <alignment horizontal="center"/>
      <protection locked="0"/>
    </xf>
    <xf numFmtId="0" fontId="10" fillId="0" borderId="0" xfId="0" applyFont="1" applyAlignment="1">
      <alignment horizontal="center"/>
    </xf>
    <xf numFmtId="167" fontId="0" fillId="0" borderId="0" xfId="0" applyNumberFormat="1"/>
    <xf numFmtId="0" fontId="14" fillId="0" borderId="7" xfId="0" applyFont="1" applyBorder="1" applyAlignment="1">
      <alignment horizontal="center" vertical="top" wrapText="1"/>
    </xf>
    <xf numFmtId="0" fontId="29" fillId="0" borderId="0" xfId="0" applyFont="1" applyAlignment="1">
      <alignment horizontal="right"/>
    </xf>
    <xf numFmtId="0" fontId="5" fillId="2" borderId="9" xfId="0" applyFont="1" applyFill="1" applyBorder="1" applyAlignment="1">
      <alignment horizontal="center"/>
    </xf>
    <xf numFmtId="0" fontId="0" fillId="2" borderId="5" xfId="0" applyFill="1" applyBorder="1" applyAlignment="1">
      <alignment horizontal="center"/>
    </xf>
    <xf numFmtId="0" fontId="0" fillId="2" borderId="9" xfId="0" applyFill="1" applyBorder="1" applyAlignment="1">
      <alignment horizontal="center"/>
    </xf>
    <xf numFmtId="0" fontId="0" fillId="2" borderId="10" xfId="0" applyFill="1" applyBorder="1" applyAlignment="1">
      <alignment horizontal="center"/>
    </xf>
    <xf numFmtId="0" fontId="10" fillId="0" borderId="18" xfId="0" applyFont="1" applyBorder="1"/>
    <xf numFmtId="0" fontId="6" fillId="0" borderId="0" xfId="0" applyFont="1" applyBorder="1" applyAlignment="1" applyProtection="1">
      <alignment horizontal="center" wrapText="1"/>
    </xf>
    <xf numFmtId="0" fontId="10" fillId="0" borderId="0" xfId="0" applyFont="1" applyAlignment="1">
      <alignment horizontal="center" vertical="center"/>
    </xf>
    <xf numFmtId="0" fontId="10" fillId="0" borderId="0" xfId="0" applyFont="1" applyAlignment="1">
      <alignment horizontal="right" vertical="center"/>
    </xf>
    <xf numFmtId="0" fontId="6" fillId="0" borderId="0" xfId="0" applyFont="1" applyBorder="1" applyAlignment="1" applyProtection="1">
      <alignment horizontal="center" vertical="top" wrapText="1"/>
    </xf>
    <xf numFmtId="168" fontId="10" fillId="0" borderId="0" xfId="0" applyNumberFormat="1" applyFont="1" applyBorder="1" applyAlignment="1">
      <alignment horizontal="left" vertical="center"/>
    </xf>
    <xf numFmtId="0" fontId="0" fillId="0" borderId="0" xfId="0" applyAlignment="1">
      <alignment horizontal="left" vertical="top"/>
    </xf>
    <xf numFmtId="0" fontId="10" fillId="0" borderId="18" xfId="0" applyFont="1" applyBorder="1" applyAlignment="1" applyProtection="1">
      <alignment horizontal="left"/>
    </xf>
    <xf numFmtId="0" fontId="21" fillId="0" borderId="18" xfId="0" applyFont="1" applyBorder="1" applyAlignment="1">
      <alignment horizontal="center" vertical="center"/>
    </xf>
    <xf numFmtId="167" fontId="12" fillId="0" borderId="20" xfId="0" applyNumberFormat="1" applyFont="1" applyBorder="1" applyAlignment="1">
      <alignment horizontal="center" vertical="center"/>
    </xf>
    <xf numFmtId="0" fontId="10" fillId="0" borderId="0" xfId="0" applyFont="1" applyAlignment="1">
      <alignment horizontal="center" vertical="center" wrapText="1"/>
    </xf>
    <xf numFmtId="0" fontId="10" fillId="0" borderId="0" xfId="0" applyFont="1" applyAlignment="1" applyProtection="1">
      <alignment horizontal="right" vertical="center"/>
    </xf>
    <xf numFmtId="0" fontId="6" fillId="0" borderId="20" xfId="0" applyFont="1" applyBorder="1" applyAlignment="1">
      <alignment horizontal="center" vertical="top"/>
    </xf>
    <xf numFmtId="0" fontId="9" fillId="0" borderId="0" xfId="0" applyFont="1" applyAlignment="1">
      <alignment horizontal="center"/>
    </xf>
    <xf numFmtId="18" fontId="23" fillId="0" borderId="18" xfId="0" applyNumberFormat="1" applyFont="1" applyBorder="1" applyAlignment="1">
      <alignment horizontal="center" wrapText="1"/>
    </xf>
    <xf numFmtId="0" fontId="19" fillId="0" borderId="0" xfId="0" applyFont="1" applyAlignment="1">
      <alignment horizontal="center" vertical="top"/>
    </xf>
    <xf numFmtId="0" fontId="19" fillId="0" borderId="0" xfId="0" applyFont="1" applyAlignment="1">
      <alignment horizontal="center"/>
    </xf>
  </cellXfs>
  <cellStyles count="356">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Followed Hyperlink" xfId="72" builtinId="9" hidden="1"/>
    <cellStyle name="Followed Hyperlink" xfId="74" builtinId="9" hidden="1"/>
    <cellStyle name="Followed Hyperlink" xfId="76" builtinId="9" hidden="1"/>
    <cellStyle name="Followed Hyperlink" xfId="77" builtinId="9" hidden="1"/>
    <cellStyle name="Followed Hyperlink" xfId="78" builtinId="9" hidden="1"/>
    <cellStyle name="Followed Hyperlink" xfId="79" builtinId="9" hidden="1"/>
    <cellStyle name="Followed Hyperlink" xfId="80" builtinId="9" hidden="1"/>
    <cellStyle name="Followed Hyperlink" xfId="81" builtinId="9" hidden="1"/>
    <cellStyle name="Followed Hyperlink" xfId="82" builtinId="9" hidden="1"/>
    <cellStyle name="Followed Hyperlink" xfId="83" builtinId="9" hidden="1"/>
    <cellStyle name="Followed Hyperlink" xfId="84" builtinId="9" hidden="1"/>
    <cellStyle name="Followed Hyperlink" xfId="85" builtinId="9" hidden="1"/>
    <cellStyle name="Followed Hyperlink" xfId="86" builtinId="9" hidden="1"/>
    <cellStyle name="Followed Hyperlink" xfId="87" builtinId="9" hidden="1"/>
    <cellStyle name="Followed Hyperlink" xfId="88" builtinId="9" hidden="1"/>
    <cellStyle name="Followed Hyperlink" xfId="89" builtinId="9" hidden="1"/>
    <cellStyle name="Followed Hyperlink" xfId="90" builtinId="9" hidden="1"/>
    <cellStyle name="Followed Hyperlink" xfId="91" builtinId="9" hidden="1"/>
    <cellStyle name="Followed Hyperlink" xfId="92" builtinId="9" hidden="1"/>
    <cellStyle name="Followed Hyperlink" xfId="93" builtinId="9" hidden="1"/>
    <cellStyle name="Followed Hyperlink" xfId="94" builtinId="9" hidden="1"/>
    <cellStyle name="Followed Hyperlink" xfId="95" builtinId="9" hidden="1"/>
    <cellStyle name="Followed Hyperlink" xfId="96" builtinId="9" hidden="1"/>
    <cellStyle name="Followed Hyperlink" xfId="97" builtinId="9" hidden="1"/>
    <cellStyle name="Followed Hyperlink" xfId="98" builtinId="9" hidden="1"/>
    <cellStyle name="Followed Hyperlink" xfId="99" builtinId="9" hidden="1"/>
    <cellStyle name="Followed Hyperlink" xfId="100" builtinId="9" hidden="1"/>
    <cellStyle name="Followed Hyperlink" xfId="101" builtinId="9" hidden="1"/>
    <cellStyle name="Followed Hyperlink" xfId="102" builtinId="9" hidden="1"/>
    <cellStyle name="Followed Hyperlink" xfId="103" builtinId="9" hidden="1"/>
    <cellStyle name="Followed Hyperlink" xfId="104" builtinId="9" hidden="1"/>
    <cellStyle name="Followed Hyperlink" xfId="105" builtinId="9" hidden="1"/>
    <cellStyle name="Followed Hyperlink" xfId="106" builtinId="9" hidden="1"/>
    <cellStyle name="Followed Hyperlink" xfId="107" builtinId="9" hidden="1"/>
    <cellStyle name="Followed Hyperlink" xfId="108" builtinId="9" hidden="1"/>
    <cellStyle name="Followed Hyperlink" xfId="109" builtinId="9" hidden="1"/>
    <cellStyle name="Followed Hyperlink" xfId="110" builtinId="9" hidden="1"/>
    <cellStyle name="Followed Hyperlink" xfId="111" builtinId="9" hidden="1"/>
    <cellStyle name="Followed Hyperlink" xfId="112" builtinId="9" hidden="1"/>
    <cellStyle name="Followed Hyperlink" xfId="113" builtinId="9" hidden="1"/>
    <cellStyle name="Followed Hyperlink" xfId="114" builtinId="9" hidden="1"/>
    <cellStyle name="Followed Hyperlink" xfId="115" builtinId="9" hidden="1"/>
    <cellStyle name="Followed Hyperlink" xfId="116" builtinId="9" hidden="1"/>
    <cellStyle name="Followed Hyperlink" xfId="117" builtinId="9" hidden="1"/>
    <cellStyle name="Followed Hyperlink" xfId="118" builtinId="9" hidden="1"/>
    <cellStyle name="Followed Hyperlink" xfId="119" builtinId="9" hidden="1"/>
    <cellStyle name="Followed Hyperlink" xfId="120" builtinId="9" hidden="1"/>
    <cellStyle name="Followed Hyperlink" xfId="121" builtinId="9" hidden="1"/>
    <cellStyle name="Followed Hyperlink" xfId="122" builtinId="9" hidden="1"/>
    <cellStyle name="Followed Hyperlink" xfId="123" builtinId="9" hidden="1"/>
    <cellStyle name="Followed Hyperlink" xfId="124" builtinId="9" hidden="1"/>
    <cellStyle name="Followed Hyperlink" xfId="125" builtinId="9" hidden="1"/>
    <cellStyle name="Followed Hyperlink" xfId="126" builtinId="9" hidden="1"/>
    <cellStyle name="Followed Hyperlink" xfId="127" builtinId="9" hidden="1"/>
    <cellStyle name="Followed Hyperlink" xfId="128" builtinId="9" hidden="1"/>
    <cellStyle name="Followed Hyperlink" xfId="129" builtinId="9" hidden="1"/>
    <cellStyle name="Followed Hyperlink" xfId="130" builtinId="9" hidden="1"/>
    <cellStyle name="Followed Hyperlink" xfId="131" builtinId="9" hidden="1"/>
    <cellStyle name="Followed Hyperlink" xfId="132" builtinId="9" hidden="1"/>
    <cellStyle name="Followed Hyperlink" xfId="133" builtinId="9" hidden="1"/>
    <cellStyle name="Followed Hyperlink" xfId="134" builtinId="9" hidden="1"/>
    <cellStyle name="Followed Hyperlink" xfId="135" builtinId="9" hidden="1"/>
    <cellStyle name="Followed Hyperlink" xfId="136" builtinId="9" hidden="1"/>
    <cellStyle name="Followed Hyperlink" xfId="137" builtinId="9" hidden="1"/>
    <cellStyle name="Followed Hyperlink" xfId="138" builtinId="9" hidden="1"/>
    <cellStyle name="Followed Hyperlink" xfId="139" builtinId="9" hidden="1"/>
    <cellStyle name="Followed Hyperlink" xfId="140" builtinId="9" hidden="1"/>
    <cellStyle name="Followed Hyperlink" xfId="141" builtinId="9" hidden="1"/>
    <cellStyle name="Followed Hyperlink" xfId="142" builtinId="9" hidden="1"/>
    <cellStyle name="Followed Hyperlink" xfId="143" builtinId="9" hidden="1"/>
    <cellStyle name="Followed Hyperlink" xfId="144" builtinId="9" hidden="1"/>
    <cellStyle name="Followed Hyperlink" xfId="145" builtinId="9" hidden="1"/>
    <cellStyle name="Followed Hyperlink" xfId="146" builtinId="9" hidden="1"/>
    <cellStyle name="Followed Hyperlink" xfId="147" builtinId="9" hidden="1"/>
    <cellStyle name="Followed Hyperlink" xfId="148" builtinId="9" hidden="1"/>
    <cellStyle name="Followed Hyperlink" xfId="149" builtinId="9" hidden="1"/>
    <cellStyle name="Followed Hyperlink" xfId="150" builtinId="9" hidden="1"/>
    <cellStyle name="Followed Hyperlink" xfId="151" builtinId="9" hidden="1"/>
    <cellStyle name="Followed Hyperlink" xfId="152" builtinId="9" hidden="1"/>
    <cellStyle name="Followed Hyperlink" xfId="153" builtinId="9" hidden="1"/>
    <cellStyle name="Followed Hyperlink" xfId="154" builtinId="9" hidden="1"/>
    <cellStyle name="Followed Hyperlink" xfId="155" builtinId="9" hidden="1"/>
    <cellStyle name="Followed Hyperlink" xfId="156" builtinId="9" hidden="1"/>
    <cellStyle name="Followed Hyperlink" xfId="157" builtinId="9" hidden="1"/>
    <cellStyle name="Followed Hyperlink" xfId="158" builtinId="9" hidden="1"/>
    <cellStyle name="Followed Hyperlink" xfId="159" builtinId="9" hidden="1"/>
    <cellStyle name="Followed Hyperlink" xfId="160" builtinId="9" hidden="1"/>
    <cellStyle name="Followed Hyperlink" xfId="161" builtinId="9" hidden="1"/>
    <cellStyle name="Followed Hyperlink" xfId="162" builtinId="9" hidden="1"/>
    <cellStyle name="Followed Hyperlink" xfId="163" builtinId="9" hidden="1"/>
    <cellStyle name="Followed Hyperlink" xfId="164" builtinId="9" hidden="1"/>
    <cellStyle name="Followed Hyperlink" xfId="165" builtinId="9" hidden="1"/>
    <cellStyle name="Followed Hyperlink" xfId="166" builtinId="9" hidden="1"/>
    <cellStyle name="Followed Hyperlink" xfId="167" builtinId="9" hidden="1"/>
    <cellStyle name="Followed Hyperlink" xfId="168" builtinId="9" hidden="1"/>
    <cellStyle name="Followed Hyperlink" xfId="169" builtinId="9" hidden="1"/>
    <cellStyle name="Followed Hyperlink" xfId="170" builtinId="9" hidden="1"/>
    <cellStyle name="Followed Hyperlink" xfId="171" builtinId="9" hidden="1"/>
    <cellStyle name="Followed Hyperlink" xfId="172" builtinId="9" hidden="1"/>
    <cellStyle name="Followed Hyperlink" xfId="173" builtinId="9" hidden="1"/>
    <cellStyle name="Followed Hyperlink" xfId="174" builtinId="9" hidden="1"/>
    <cellStyle name="Followed Hyperlink" xfId="175" builtinId="9" hidden="1"/>
    <cellStyle name="Followed Hyperlink" xfId="176" builtinId="9" hidden="1"/>
    <cellStyle name="Followed Hyperlink" xfId="177" builtinId="9" hidden="1"/>
    <cellStyle name="Followed Hyperlink" xfId="178" builtinId="9" hidden="1"/>
    <cellStyle name="Followed Hyperlink" xfId="179" builtinId="9" hidden="1"/>
    <cellStyle name="Followed Hyperlink" xfId="180" builtinId="9" hidden="1"/>
    <cellStyle name="Followed Hyperlink" xfId="181" builtinId="9" hidden="1"/>
    <cellStyle name="Followed Hyperlink" xfId="182" builtinId="9" hidden="1"/>
    <cellStyle name="Followed Hyperlink" xfId="183" builtinId="9" hidden="1"/>
    <cellStyle name="Followed Hyperlink" xfId="184" builtinId="9" hidden="1"/>
    <cellStyle name="Followed Hyperlink" xfId="185" builtinId="9" hidden="1"/>
    <cellStyle name="Followed Hyperlink" xfId="186" builtinId="9" hidden="1"/>
    <cellStyle name="Followed Hyperlink" xfId="187" builtinId="9" hidden="1"/>
    <cellStyle name="Followed Hyperlink" xfId="188" builtinId="9" hidden="1"/>
    <cellStyle name="Followed Hyperlink" xfId="189" builtinId="9" hidden="1"/>
    <cellStyle name="Followed Hyperlink" xfId="190" builtinId="9" hidden="1"/>
    <cellStyle name="Followed Hyperlink" xfId="191" builtinId="9" hidden="1"/>
    <cellStyle name="Followed Hyperlink" xfId="192" builtinId="9" hidden="1"/>
    <cellStyle name="Followed Hyperlink" xfId="193" builtinId="9" hidden="1"/>
    <cellStyle name="Followed Hyperlink" xfId="194" builtinId="9" hidden="1"/>
    <cellStyle name="Followed Hyperlink" xfId="195" builtinId="9" hidden="1"/>
    <cellStyle name="Followed Hyperlink" xfId="196" builtinId="9" hidden="1"/>
    <cellStyle name="Followed Hyperlink" xfId="197" builtinId="9" hidden="1"/>
    <cellStyle name="Followed Hyperlink" xfId="198" builtinId="9" hidden="1"/>
    <cellStyle name="Followed Hyperlink" xfId="199" builtinId="9" hidden="1"/>
    <cellStyle name="Followed Hyperlink" xfId="200" builtinId="9" hidden="1"/>
    <cellStyle name="Followed Hyperlink" xfId="201" builtinId="9" hidden="1"/>
    <cellStyle name="Followed Hyperlink" xfId="202" builtinId="9" hidden="1"/>
    <cellStyle name="Followed Hyperlink" xfId="203" builtinId="9" hidden="1"/>
    <cellStyle name="Followed Hyperlink" xfId="204" builtinId="9" hidden="1"/>
    <cellStyle name="Followed Hyperlink" xfId="205" builtinId="9" hidden="1"/>
    <cellStyle name="Followed Hyperlink" xfId="206" builtinId="9" hidden="1"/>
    <cellStyle name="Followed Hyperlink" xfId="207" builtinId="9" hidden="1"/>
    <cellStyle name="Followed Hyperlink" xfId="208" builtinId="9" hidden="1"/>
    <cellStyle name="Followed Hyperlink" xfId="209" builtinId="9" hidden="1"/>
    <cellStyle name="Followed Hyperlink" xfId="210" builtinId="9" hidden="1"/>
    <cellStyle name="Followed Hyperlink" xfId="211" builtinId="9" hidden="1"/>
    <cellStyle name="Followed Hyperlink" xfId="212" builtinId="9" hidden="1"/>
    <cellStyle name="Followed Hyperlink" xfId="213" builtinId="9" hidden="1"/>
    <cellStyle name="Followed Hyperlink" xfId="214" builtinId="9" hidden="1"/>
    <cellStyle name="Followed Hyperlink" xfId="215" builtinId="9" hidden="1"/>
    <cellStyle name="Followed Hyperlink" xfId="216" builtinId="9" hidden="1"/>
    <cellStyle name="Followed Hyperlink" xfId="217" builtinId="9" hidden="1"/>
    <cellStyle name="Followed Hyperlink" xfId="218" builtinId="9" hidden="1"/>
    <cellStyle name="Followed Hyperlink" xfId="219" builtinId="9" hidden="1"/>
    <cellStyle name="Followed Hyperlink" xfId="220" builtinId="9" hidden="1"/>
    <cellStyle name="Followed Hyperlink" xfId="221" builtinId="9" hidden="1"/>
    <cellStyle name="Followed Hyperlink" xfId="222" builtinId="9" hidden="1"/>
    <cellStyle name="Followed Hyperlink" xfId="223" builtinId="9" hidden="1"/>
    <cellStyle name="Followed Hyperlink" xfId="224" builtinId="9" hidden="1"/>
    <cellStyle name="Followed Hyperlink" xfId="225" builtinId="9" hidden="1"/>
    <cellStyle name="Followed Hyperlink" xfId="226" builtinId="9" hidden="1"/>
    <cellStyle name="Followed Hyperlink" xfId="227" builtinId="9" hidden="1"/>
    <cellStyle name="Followed Hyperlink" xfId="228" builtinId="9" hidden="1"/>
    <cellStyle name="Followed Hyperlink" xfId="229" builtinId="9" hidden="1"/>
    <cellStyle name="Followed Hyperlink" xfId="230" builtinId="9" hidden="1"/>
    <cellStyle name="Followed Hyperlink" xfId="231" builtinId="9" hidden="1"/>
    <cellStyle name="Followed Hyperlink" xfId="232" builtinId="9" hidden="1"/>
    <cellStyle name="Followed Hyperlink" xfId="233" builtinId="9" hidden="1"/>
    <cellStyle name="Followed Hyperlink" xfId="234" builtinId="9" hidden="1"/>
    <cellStyle name="Followed Hyperlink" xfId="235" builtinId="9" hidden="1"/>
    <cellStyle name="Followed Hyperlink" xfId="236" builtinId="9" hidden="1"/>
    <cellStyle name="Followed Hyperlink" xfId="237" builtinId="9" hidden="1"/>
    <cellStyle name="Followed Hyperlink" xfId="238" builtinId="9" hidden="1"/>
    <cellStyle name="Followed Hyperlink" xfId="239" builtinId="9" hidden="1"/>
    <cellStyle name="Followed Hyperlink" xfId="240" builtinId="9" hidden="1"/>
    <cellStyle name="Followed Hyperlink" xfId="241" builtinId="9" hidden="1"/>
    <cellStyle name="Followed Hyperlink" xfId="242" builtinId="9" hidden="1"/>
    <cellStyle name="Followed Hyperlink" xfId="243" builtinId="9" hidden="1"/>
    <cellStyle name="Followed Hyperlink" xfId="244" builtinId="9" hidden="1"/>
    <cellStyle name="Followed Hyperlink" xfId="245" builtinId="9" hidden="1"/>
    <cellStyle name="Followed Hyperlink" xfId="246" builtinId="9" hidden="1"/>
    <cellStyle name="Followed Hyperlink" xfId="247" builtinId="9" hidden="1"/>
    <cellStyle name="Followed Hyperlink" xfId="248" builtinId="9" hidden="1"/>
    <cellStyle name="Followed Hyperlink" xfId="249" builtinId="9" hidden="1"/>
    <cellStyle name="Followed Hyperlink" xfId="250" builtinId="9" hidden="1"/>
    <cellStyle name="Followed Hyperlink" xfId="251" builtinId="9" hidden="1"/>
    <cellStyle name="Followed Hyperlink" xfId="252" builtinId="9" hidden="1"/>
    <cellStyle name="Followed Hyperlink" xfId="253" builtinId="9" hidden="1"/>
    <cellStyle name="Followed Hyperlink" xfId="254" builtinId="9" hidden="1"/>
    <cellStyle name="Followed Hyperlink" xfId="255" builtinId="9" hidden="1"/>
    <cellStyle name="Followed Hyperlink" xfId="256" builtinId="9" hidden="1"/>
    <cellStyle name="Followed Hyperlink" xfId="257" builtinId="9" hidden="1"/>
    <cellStyle name="Followed Hyperlink" xfId="258" builtinId="9" hidden="1"/>
    <cellStyle name="Followed Hyperlink" xfId="259" builtinId="9" hidden="1"/>
    <cellStyle name="Followed Hyperlink" xfId="260" builtinId="9" hidden="1"/>
    <cellStyle name="Followed Hyperlink" xfId="261" builtinId="9" hidden="1"/>
    <cellStyle name="Followed Hyperlink" xfId="262" builtinId="9" hidden="1"/>
    <cellStyle name="Followed Hyperlink" xfId="263" builtinId="9" hidden="1"/>
    <cellStyle name="Followed Hyperlink" xfId="264" builtinId="9" hidden="1"/>
    <cellStyle name="Followed Hyperlink" xfId="265" builtinId="9" hidden="1"/>
    <cellStyle name="Followed Hyperlink" xfId="266" builtinId="9" hidden="1"/>
    <cellStyle name="Followed Hyperlink" xfId="267" builtinId="9" hidden="1"/>
    <cellStyle name="Followed Hyperlink" xfId="268" builtinId="9" hidden="1"/>
    <cellStyle name="Followed Hyperlink" xfId="269" builtinId="9" hidden="1"/>
    <cellStyle name="Followed Hyperlink" xfId="270" builtinId="9" hidden="1"/>
    <cellStyle name="Followed Hyperlink" xfId="271" builtinId="9" hidden="1"/>
    <cellStyle name="Followed Hyperlink" xfId="272" builtinId="9" hidden="1"/>
    <cellStyle name="Followed Hyperlink" xfId="273" builtinId="9" hidden="1"/>
    <cellStyle name="Followed Hyperlink" xfId="274" builtinId="9" hidden="1"/>
    <cellStyle name="Followed Hyperlink" xfId="275" builtinId="9" hidden="1"/>
    <cellStyle name="Followed Hyperlink" xfId="276" builtinId="9" hidden="1"/>
    <cellStyle name="Followed Hyperlink" xfId="277" builtinId="9" hidden="1"/>
    <cellStyle name="Followed Hyperlink" xfId="278" builtinId="9" hidden="1"/>
    <cellStyle name="Followed Hyperlink" xfId="279" builtinId="9" hidden="1"/>
    <cellStyle name="Followed Hyperlink" xfId="280" builtinId="9" hidden="1"/>
    <cellStyle name="Followed Hyperlink" xfId="281" builtinId="9" hidden="1"/>
    <cellStyle name="Followed Hyperlink" xfId="289" builtinId="9" hidden="1"/>
    <cellStyle name="Followed Hyperlink" xfId="291" builtinId="9" hidden="1"/>
    <cellStyle name="Followed Hyperlink" xfId="293" builtinId="9" hidden="1"/>
    <cellStyle name="Followed Hyperlink" xfId="295" builtinId="9" hidden="1"/>
    <cellStyle name="Followed Hyperlink" xfId="297" builtinId="9" hidden="1"/>
    <cellStyle name="Followed Hyperlink" xfId="299" builtinId="9" hidden="1"/>
    <cellStyle name="Followed Hyperlink" xfId="301" builtinId="9" hidden="1"/>
    <cellStyle name="Followed Hyperlink" xfId="303" builtinId="9" hidden="1"/>
    <cellStyle name="Followed Hyperlink" xfId="305" builtinId="9" hidden="1"/>
    <cellStyle name="Followed Hyperlink" xfId="307" builtinId="9" hidden="1"/>
    <cellStyle name="Followed Hyperlink" xfId="309" builtinId="9" hidden="1"/>
    <cellStyle name="Followed Hyperlink" xfId="311" builtinId="9" hidden="1"/>
    <cellStyle name="Followed Hyperlink" xfId="313" builtinId="9" hidden="1"/>
    <cellStyle name="Followed Hyperlink" xfId="315" builtinId="9" hidden="1"/>
    <cellStyle name="Followed Hyperlink" xfId="317" builtinId="9" hidden="1"/>
    <cellStyle name="Followed Hyperlink" xfId="319" builtinId="9" hidden="1"/>
    <cellStyle name="Followed Hyperlink" xfId="321" builtinId="9" hidden="1"/>
    <cellStyle name="Followed Hyperlink" xfId="323" builtinId="9" hidden="1"/>
    <cellStyle name="Followed Hyperlink" xfId="325" builtinId="9" hidden="1"/>
    <cellStyle name="Followed Hyperlink" xfId="327" builtinId="9" hidden="1"/>
    <cellStyle name="Followed Hyperlink" xfId="329" builtinId="9" hidden="1"/>
    <cellStyle name="Followed Hyperlink" xfId="331" builtinId="9" hidden="1"/>
    <cellStyle name="Followed Hyperlink" xfId="333" builtinId="9" hidden="1"/>
    <cellStyle name="Followed Hyperlink" xfId="335" builtinId="9" hidden="1"/>
    <cellStyle name="Followed Hyperlink" xfId="337" builtinId="9" hidden="1"/>
    <cellStyle name="Followed Hyperlink" xfId="339" builtinId="9" hidden="1"/>
    <cellStyle name="Followed Hyperlink" xfId="341" builtinId="9" hidden="1"/>
    <cellStyle name="Followed Hyperlink" xfId="343" builtinId="9" hidden="1"/>
    <cellStyle name="Followed Hyperlink" xfId="345" builtinId="9" hidden="1"/>
    <cellStyle name="Followed Hyperlink" xfId="347" builtinId="9" hidden="1"/>
    <cellStyle name="Followed Hyperlink" xfId="349" builtinId="9" hidden="1"/>
    <cellStyle name="Followed Hyperlink" xfId="351" builtinId="9" hidden="1"/>
    <cellStyle name="Followed Hyperlink" xfId="353" builtinId="9" hidden="1"/>
    <cellStyle name="Followed Hyperlink" xfId="355"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Hyperlink" xfId="75" builtinId="8" hidden="1"/>
    <cellStyle name="Hyperlink" xfId="288" builtinId="8" hidden="1"/>
    <cellStyle name="Hyperlink" xfId="290" builtinId="8" hidden="1"/>
    <cellStyle name="Hyperlink" xfId="292" builtinId="8" hidden="1"/>
    <cellStyle name="Hyperlink" xfId="294" builtinId="8" hidden="1"/>
    <cellStyle name="Hyperlink" xfId="296" builtinId="8" hidden="1"/>
    <cellStyle name="Hyperlink" xfId="298" builtinId="8" hidden="1"/>
    <cellStyle name="Hyperlink" xfId="300" builtinId="8" hidden="1"/>
    <cellStyle name="Hyperlink" xfId="302" builtinId="8" hidden="1"/>
    <cellStyle name="Hyperlink" xfId="304" builtinId="8" hidden="1"/>
    <cellStyle name="Hyperlink" xfId="306" builtinId="8" hidden="1"/>
    <cellStyle name="Hyperlink" xfId="308" builtinId="8" hidden="1"/>
    <cellStyle name="Hyperlink" xfId="310" builtinId="8" hidden="1"/>
    <cellStyle name="Hyperlink" xfId="312" builtinId="8" hidden="1"/>
    <cellStyle name="Hyperlink" xfId="314" builtinId="8" hidden="1"/>
    <cellStyle name="Hyperlink" xfId="316" builtinId="8" hidden="1"/>
    <cellStyle name="Hyperlink" xfId="318" builtinId="8" hidden="1"/>
    <cellStyle name="Hyperlink" xfId="320" builtinId="8" hidden="1"/>
    <cellStyle name="Hyperlink" xfId="322" builtinId="8" hidden="1"/>
    <cellStyle name="Hyperlink" xfId="324" builtinId="8" hidden="1"/>
    <cellStyle name="Hyperlink" xfId="326" builtinId="8" hidden="1"/>
    <cellStyle name="Hyperlink" xfId="328" builtinId="8" hidden="1"/>
    <cellStyle name="Hyperlink" xfId="330" builtinId="8" hidden="1"/>
    <cellStyle name="Hyperlink" xfId="332" builtinId="8" hidden="1"/>
    <cellStyle name="Hyperlink" xfId="334" builtinId="8" hidden="1"/>
    <cellStyle name="Hyperlink" xfId="336" builtinId="8" hidden="1"/>
    <cellStyle name="Hyperlink" xfId="338" builtinId="8" hidden="1"/>
    <cellStyle name="Hyperlink" xfId="340" builtinId="8" hidden="1"/>
    <cellStyle name="Hyperlink" xfId="342" builtinId="8" hidden="1"/>
    <cellStyle name="Hyperlink" xfId="344" builtinId="8" hidden="1"/>
    <cellStyle name="Hyperlink" xfId="346" builtinId="8" hidden="1"/>
    <cellStyle name="Hyperlink" xfId="348" builtinId="8" hidden="1"/>
    <cellStyle name="Hyperlink" xfId="350" builtinId="8" hidden="1"/>
    <cellStyle name="Hyperlink" xfId="352" builtinId="8" hidden="1"/>
    <cellStyle name="Hyperlink" xfId="354" builtinId="8" hidden="1"/>
    <cellStyle name="Normal" xfId="0" builtinId="0"/>
    <cellStyle name="Normal 2" xfId="282" xr:uid="{00000000-0005-0000-0000-00005E010000}"/>
    <cellStyle name="Normal 3" xfId="283" xr:uid="{00000000-0005-0000-0000-00005F010000}"/>
    <cellStyle name="Normal 3 2" xfId="285" xr:uid="{00000000-0005-0000-0000-000060010000}"/>
    <cellStyle name="Normal 3 2 2" xfId="286" xr:uid="{00000000-0005-0000-0000-000061010000}"/>
    <cellStyle name="Normal 3 2 3" xfId="287" xr:uid="{00000000-0005-0000-0000-000062010000}"/>
    <cellStyle name="Normal 4" xfId="284" xr:uid="{00000000-0005-0000-0000-000063010000}"/>
  </cellStyles>
  <dxfs count="0"/>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660400</xdr:colOff>
      <xdr:row>1</xdr:row>
      <xdr:rowOff>224693</xdr:rowOff>
    </xdr:from>
    <xdr:to>
      <xdr:col>11</xdr:col>
      <xdr:colOff>406400</xdr:colOff>
      <xdr:row>5</xdr:row>
      <xdr:rowOff>275</xdr:rowOff>
    </xdr:to>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a:stretch>
          <a:fillRect/>
        </a:stretch>
      </xdr:blipFill>
      <xdr:spPr>
        <a:xfrm>
          <a:off x="11113477" y="485206"/>
          <a:ext cx="1992923" cy="156660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660400</xdr:colOff>
      <xdr:row>1</xdr:row>
      <xdr:rowOff>224693</xdr:rowOff>
    </xdr:from>
    <xdr:to>
      <xdr:col>11</xdr:col>
      <xdr:colOff>406400</xdr:colOff>
      <xdr:row>5</xdr:row>
      <xdr:rowOff>275</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11099800" y="465993"/>
          <a:ext cx="2006600" cy="156628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32"/>
  <sheetViews>
    <sheetView showGridLines="0" tabSelected="1" zoomScale="135" zoomScaleNormal="135" zoomScalePageLayoutView="135" workbookViewId="0">
      <selection activeCell="J30" sqref="J30"/>
    </sheetView>
  </sheetViews>
  <sheetFormatPr baseColWidth="10" defaultColWidth="8.83203125" defaultRowHeight="13" x14ac:dyDescent="0.15"/>
  <cols>
    <col min="1" max="1" width="15.83203125" style="2" bestFit="1" customWidth="1"/>
    <col min="2" max="2" width="10.6640625" customWidth="1"/>
    <col min="3" max="3" width="0.1640625" style="3" hidden="1" customWidth="1"/>
    <col min="4" max="4" width="8.33203125" customWidth="1"/>
    <col min="5" max="5" width="17" bestFit="1" customWidth="1"/>
    <col min="6" max="6" width="18" bestFit="1" customWidth="1"/>
    <col min="7" max="7" width="22.1640625" bestFit="1" customWidth="1"/>
    <col min="8" max="8" width="25.1640625" bestFit="1" customWidth="1"/>
    <col min="9" max="11" width="31.1640625" customWidth="1"/>
    <col min="12" max="15" width="17.83203125" hidden="1" customWidth="1"/>
  </cols>
  <sheetData>
    <row r="1" spans="1:23" ht="18" x14ac:dyDescent="0.2">
      <c r="A1" s="13" t="s">
        <v>18</v>
      </c>
      <c r="B1" s="90">
        <v>400</v>
      </c>
      <c r="C1">
        <f>IF(Brevet_Length&gt;=1200,Brevet_Length,IF(Brevet_Length&gt;=1000,1000,IF(Brevet_Length&gt;=600,600,IF(Brevet_Length&gt;=400,400,IF(Brevet_Length&gt;=300,300,IF(Brevet_Length&gt;=200,200,100))))))</f>
        <v>400</v>
      </c>
      <c r="J1" s="116" t="s">
        <v>64</v>
      </c>
      <c r="K1" s="116"/>
      <c r="Q1" s="98" t="s">
        <v>65</v>
      </c>
      <c r="R1" s="98"/>
      <c r="S1" s="98"/>
      <c r="T1" s="98"/>
      <c r="U1" s="98"/>
      <c r="V1" s="98"/>
      <c r="W1" s="98"/>
    </row>
    <row r="2" spans="1:23" ht="14" thickBot="1" x14ac:dyDescent="0.2">
      <c r="A2" s="14" t="s">
        <v>19</v>
      </c>
      <c r="B2" s="15">
        <f>IF(brevet=1200,90,IF(brevet=1000,75,IF(brevet=600,40,IF(brevet=400,27,IF(brevet=300,20,IF(brevet=200,13.5,IF(brevet=100,7,0)))))))</f>
        <v>27</v>
      </c>
      <c r="Q2" t="s">
        <v>66</v>
      </c>
    </row>
    <row r="3" spans="1:23" ht="19" thickBot="1" x14ac:dyDescent="0.25">
      <c r="A3" s="14" t="s">
        <v>20</v>
      </c>
      <c r="B3" s="91" t="s">
        <v>81</v>
      </c>
      <c r="C3" s="92"/>
      <c r="D3" s="92"/>
      <c r="E3" s="92"/>
      <c r="F3" s="92"/>
      <c r="G3" s="92"/>
      <c r="H3" s="93"/>
      <c r="I3" s="35"/>
      <c r="J3" s="35"/>
      <c r="K3" s="35"/>
      <c r="O3" s="36"/>
      <c r="P3" s="36"/>
      <c r="Q3" s="98" t="s">
        <v>67</v>
      </c>
    </row>
    <row r="4" spans="1:23" ht="18" x14ac:dyDescent="0.2">
      <c r="A4" s="14" t="s">
        <v>21</v>
      </c>
      <c r="B4" s="94">
        <v>5100</v>
      </c>
      <c r="C4" s="32"/>
      <c r="F4" s="33"/>
      <c r="G4" s="33"/>
      <c r="H4" s="33"/>
      <c r="I4" s="33"/>
      <c r="J4" s="33"/>
      <c r="K4" s="33"/>
      <c r="Q4" s="98" t="s">
        <v>68</v>
      </c>
    </row>
    <row r="5" spans="1:23" ht="18" x14ac:dyDescent="0.2">
      <c r="A5" s="60" t="s">
        <v>49</v>
      </c>
      <c r="B5" s="95">
        <v>44431</v>
      </c>
      <c r="Q5" s="98" t="s">
        <v>69</v>
      </c>
    </row>
    <row r="6" spans="1:23" ht="6" customHeight="1" x14ac:dyDescent="0.15"/>
    <row r="7" spans="1:23" ht="19" thickBot="1" x14ac:dyDescent="0.25">
      <c r="A7" s="56" t="s">
        <v>22</v>
      </c>
      <c r="B7" s="96">
        <v>44431</v>
      </c>
      <c r="Q7" s="98" t="s">
        <v>70</v>
      </c>
    </row>
    <row r="8" spans="1:23" ht="19" thickBot="1" x14ac:dyDescent="0.25">
      <c r="A8" s="12" t="s">
        <v>23</v>
      </c>
      <c r="B8" s="97">
        <v>0.25</v>
      </c>
      <c r="D8" s="117" t="s">
        <v>79</v>
      </c>
      <c r="E8" s="118"/>
      <c r="F8" s="118"/>
      <c r="G8" s="118"/>
      <c r="H8" s="118"/>
      <c r="I8" s="119" t="s">
        <v>75</v>
      </c>
      <c r="J8" s="118"/>
      <c r="K8" s="120"/>
      <c r="Q8" s="98" t="s">
        <v>71</v>
      </c>
    </row>
    <row r="9" spans="1:23" ht="14" thickBot="1" x14ac:dyDescent="0.2">
      <c r="D9" s="6" t="s">
        <v>24</v>
      </c>
      <c r="E9" s="7" t="s">
        <v>25</v>
      </c>
      <c r="F9" s="84" t="s">
        <v>26</v>
      </c>
      <c r="G9" s="84" t="s">
        <v>27</v>
      </c>
      <c r="H9" s="85" t="s">
        <v>28</v>
      </c>
      <c r="I9" s="7" t="s">
        <v>61</v>
      </c>
      <c r="J9" s="7" t="s">
        <v>62</v>
      </c>
      <c r="K9" s="8" t="s">
        <v>63</v>
      </c>
      <c r="L9" t="s">
        <v>3</v>
      </c>
      <c r="M9" t="s">
        <v>4</v>
      </c>
      <c r="N9" t="s">
        <v>5</v>
      </c>
      <c r="O9" t="s">
        <v>6</v>
      </c>
      <c r="Q9" s="98" t="s">
        <v>72</v>
      </c>
    </row>
    <row r="10" spans="1:23" ht="17" customHeight="1" x14ac:dyDescent="0.2">
      <c r="C10" s="3" t="s">
        <v>7</v>
      </c>
      <c r="D10" s="34">
        <v>0</v>
      </c>
      <c r="E10" s="101" t="s">
        <v>82</v>
      </c>
      <c r="F10" s="102" t="s">
        <v>90</v>
      </c>
      <c r="G10" s="102" t="s">
        <v>94</v>
      </c>
      <c r="H10" s="103" t="s">
        <v>105</v>
      </c>
      <c r="I10" s="108" t="s">
        <v>123</v>
      </c>
      <c r="J10" s="108" t="s">
        <v>124</v>
      </c>
      <c r="K10" s="110" t="s">
        <v>125</v>
      </c>
      <c r="L10" s="4">
        <f>Start_date+Start_time</f>
        <v>44431.25</v>
      </c>
      <c r="M10" s="4">
        <f>L10+"1:00"</f>
        <v>44431.291666666664</v>
      </c>
      <c r="N10" s="5">
        <f>IF(ISBLANK(Distance),"",Open Control_1)</f>
        <v>44431.25</v>
      </c>
      <c r="O10" s="5">
        <f>IF(ISBLANK(Distance),"",Close Control_1)</f>
        <v>44431.291666666664</v>
      </c>
      <c r="Q10" s="98" t="s">
        <v>73</v>
      </c>
    </row>
    <row r="11" spans="1:23" ht="17" customHeight="1" x14ac:dyDescent="0.2">
      <c r="B11" s="114">
        <f>D11+B$18</f>
        <v>242.79999999999998</v>
      </c>
      <c r="C11" s="3" t="s">
        <v>8</v>
      </c>
      <c r="D11" s="34">
        <v>29.6</v>
      </c>
      <c r="E11" s="101" t="s">
        <v>83</v>
      </c>
      <c r="F11" s="102" t="s">
        <v>91</v>
      </c>
      <c r="G11" s="102" t="s">
        <v>95</v>
      </c>
      <c r="H11" s="103" t="s">
        <v>96</v>
      </c>
      <c r="I11" s="108" t="s">
        <v>107</v>
      </c>
      <c r="J11" s="108"/>
      <c r="K11" s="110" t="s">
        <v>117</v>
      </c>
      <c r="L11">
        <f>IF(ISBLANK(Distance),"",IF(Distance&gt;1000,(Distance-1000)/26+33.0847,(IF(Distance&gt;600,(Distance-600)/28+18.799,(IF(Distance&gt;400,(Distance-400)/30+12.1324,(IF(Distance&gt;200,(Distance-200)/32+5.8824,Distance/34))))))))</f>
        <v>0.87058823529411766</v>
      </c>
      <c r="M11">
        <f>IF(ISBLANK(Distance),"",IF(Distance&gt;=brevet,IF(brevet&gt;1200,(brevet-1200)*75/1000+90,Max_time),IF(Distance&gt;1200,(Distance-1200)*75/1000+90,IF(Distance&gt;1000,(Distance-1000)/(1000/75)+75,IF(Distance&gt;600,(Distance-600)/(400/35)+40,Distance/15)))))</f>
        <v>1.9733333333333334</v>
      </c>
      <c r="N11" s="5">
        <f>IF(ISBLANK(Distance),"",Open_time Control_1+(INT(Open)&amp;":"&amp;IF(ROUND(((Open-INT(Open))*60),0)&lt;10,0,"")&amp;ROUND(((Open-INT(Open))*60),0)))</f>
        <v>44431.286111111112</v>
      </c>
      <c r="O11" s="5">
        <f>IF(ISBLANK(Distance),"",Open_time Control_1+(INT(Close)&amp;":"&amp;IF(ROUND(((Close-INT(Close))*60),0)&lt;10,0,"")&amp;ROUND(((Close-INT(Close))*60),0)))</f>
        <v>44431.331944444442</v>
      </c>
      <c r="Q11" s="98" t="s">
        <v>74</v>
      </c>
    </row>
    <row r="12" spans="1:23" ht="17" customHeight="1" x14ac:dyDescent="0.2">
      <c r="B12" s="114">
        <f t="shared" ref="B12:B13" si="0">D12+B$18</f>
        <v>302.2</v>
      </c>
      <c r="C12" s="3" t="s">
        <v>9</v>
      </c>
      <c r="D12" s="34">
        <v>89</v>
      </c>
      <c r="E12" s="101" t="s">
        <v>84</v>
      </c>
      <c r="F12" s="102" t="s">
        <v>92</v>
      </c>
      <c r="G12" s="102" t="s">
        <v>93</v>
      </c>
      <c r="H12" s="103" t="s">
        <v>126</v>
      </c>
      <c r="I12" s="108" t="s">
        <v>127</v>
      </c>
      <c r="J12" s="108"/>
      <c r="K12" s="109"/>
      <c r="L12">
        <f>IF(ISBLANK(Distance),"",IF(Distance&gt;1000,(Distance-1000)/26+33.0847,(IF(Distance&gt;600,(Distance-600)/28+18.799,(IF(Distance&gt;400,(Distance-400)/30+12.1324,(IF(Distance&gt;200,(Distance-200)/32+5.8824,Distance/34))))))))</f>
        <v>2.6176470588235294</v>
      </c>
      <c r="M12">
        <f t="shared" ref="M12:M19" si="1">IF(ISBLANK(Distance),"",IF(Distance&gt;=brevet,IF(brevet&gt;1200,(brevet-1200)*75/1000+90,Max_time),IF(Distance&gt;1200,(Distance-1200)*75/1000+90,IF(Distance&gt;1000,(Distance-1000)/(1000/75)+75,IF(Distance&gt;600,(Distance-600)/(400/35)+40,Distance/15)))))</f>
        <v>5.9333333333333336</v>
      </c>
      <c r="N12" s="5">
        <f>IF(ISBLANK(Distance),"",Open_time Control_1+(INT(Open)&amp;":"&amp;IF(ROUND(((Open-INT(Open))*60),0)&lt;10,0,"")&amp;ROUND(((Open-INT(Open))*60),0)))</f>
        <v>44431.359027777777</v>
      </c>
      <c r="O12" s="5">
        <f>IF(ISBLANK(Distance),"",Open_time Control_1+(INT(Close)&amp;":"&amp;IF(ROUND(((Close-INT(Close))*60),0)&lt;10,0,"")&amp;ROUND(((Close-INT(Close))*60),0)))</f>
        <v>44431.49722222222</v>
      </c>
    </row>
    <row r="13" spans="1:23" ht="17" customHeight="1" x14ac:dyDescent="0.2">
      <c r="B13" s="114">
        <f t="shared" si="0"/>
        <v>402.2</v>
      </c>
      <c r="C13" s="3" t="s">
        <v>10</v>
      </c>
      <c r="D13" s="34">
        <v>189</v>
      </c>
      <c r="E13" s="101" t="s">
        <v>85</v>
      </c>
      <c r="F13" s="102" t="s">
        <v>118</v>
      </c>
      <c r="G13" s="102" t="s">
        <v>119</v>
      </c>
      <c r="H13" s="103" t="s">
        <v>122</v>
      </c>
      <c r="I13" s="103" t="s">
        <v>120</v>
      </c>
      <c r="J13" s="108"/>
      <c r="K13" s="110" t="s">
        <v>121</v>
      </c>
      <c r="L13">
        <f t="shared" ref="L13:L19" si="2">IF(ISBLANK(Distance),"",IF(Distance&gt;1000,(Distance-1000)/26+33.0847,(IF(Distance&gt;600,(Distance-600)/28+18.799,(IF(Distance&gt;400,(Distance-400)/30+12.1324,(IF(Distance&gt;200,(Distance-200)/32+5.8824,Distance/34))))))))</f>
        <v>5.5588235294117645</v>
      </c>
      <c r="M13">
        <f t="shared" si="1"/>
        <v>12.6</v>
      </c>
      <c r="N13" s="5">
        <f>IF(ISBLANK(Distance),"",Open_time Control_1+(INT(Open)&amp;":"&amp;IF(ROUND(((Open-INT(Open))*60),0)&lt;10,0,"")&amp;ROUND(((Open-INT(Open))*60),0)))</f>
        <v>44431.481944444444</v>
      </c>
      <c r="O13" s="5">
        <f>IF(ISBLANK(Distance),"",Open_time Control_1+(INT(Close)&amp;":"&amp;IF(ROUND(((Close-INT(Close))*60),0)&lt;10,0,"")&amp;ROUND(((Close-INT(Close))*60),0)))</f>
        <v>44431.775000000001</v>
      </c>
    </row>
    <row r="14" spans="1:23" ht="17" customHeight="1" x14ac:dyDescent="0.2">
      <c r="B14" s="114">
        <f>D14-D$13</f>
        <v>45.400000000000006</v>
      </c>
      <c r="C14" s="3" t="s">
        <v>11</v>
      </c>
      <c r="D14" s="34">
        <v>234.4</v>
      </c>
      <c r="E14" s="101" t="s">
        <v>86</v>
      </c>
      <c r="F14" s="102" t="s">
        <v>97</v>
      </c>
      <c r="G14" s="102" t="s">
        <v>98</v>
      </c>
      <c r="H14" s="103" t="s">
        <v>99</v>
      </c>
      <c r="I14" s="108" t="s">
        <v>109</v>
      </c>
      <c r="J14" s="108"/>
      <c r="K14" s="110" t="s">
        <v>108</v>
      </c>
      <c r="L14">
        <f t="shared" si="2"/>
        <v>6.9573999999999998</v>
      </c>
      <c r="M14">
        <f t="shared" si="1"/>
        <v>15.626666666666667</v>
      </c>
      <c r="N14" s="5">
        <f>IF(ISBLANK(Distance),"",Open_time Control_1+(INT(Open)&amp;":"&amp;IF(ROUND(((Open-INT(Open))*60),0)&lt;10,0,"")&amp;ROUND(((Open-INT(Open))*60),0)))</f>
        <v>44431.539583333331</v>
      </c>
      <c r="O14" s="5">
        <f>IF(ISBLANK(Distance),"",Open_time Control_1+(INT(Close)&amp;":"&amp;IF(ROUND(((Close-INT(Close))*60),0)&lt;10,0,"")&amp;ROUND(((Close-INT(Close))*60),0)))</f>
        <v>44431.901388888888</v>
      </c>
      <c r="Q14" s="99" t="s">
        <v>76</v>
      </c>
    </row>
    <row r="15" spans="1:23" ht="17" customHeight="1" x14ac:dyDescent="0.2">
      <c r="B15" s="114">
        <f t="shared" ref="B15:B18" si="3">D15-D$13</f>
        <v>91.100000000000023</v>
      </c>
      <c r="C15" s="3" t="s">
        <v>12</v>
      </c>
      <c r="D15" s="34">
        <v>280.10000000000002</v>
      </c>
      <c r="E15" s="101" t="s">
        <v>87</v>
      </c>
      <c r="F15" s="102" t="s">
        <v>101</v>
      </c>
      <c r="G15" s="102" t="s">
        <v>100</v>
      </c>
      <c r="H15" s="103" t="s">
        <v>110</v>
      </c>
      <c r="I15" s="108" t="s">
        <v>111</v>
      </c>
      <c r="J15" s="108"/>
      <c r="K15" s="109"/>
      <c r="L15">
        <f t="shared" si="2"/>
        <v>8.3855250000000012</v>
      </c>
      <c r="M15">
        <f t="shared" si="1"/>
        <v>18.673333333333336</v>
      </c>
      <c r="N15" s="5">
        <f>IF(ISBLANK(Distance),"",Open_time Control_1+(INT(Open)&amp;":"&amp;IF(ROUND(((Open-INT(Open))*60),0)&lt;10,0,"")&amp;ROUND(((Open-INT(Open))*60),0)))</f>
        <v>44431.599305555559</v>
      </c>
      <c r="O15" s="5">
        <f>IF(ISBLANK(Distance),"",Open_time Control_1+(INT(Close)&amp;":"&amp;IF(ROUND(((Close-INT(Close))*60),0)&lt;10,0,"")&amp;ROUND(((Close-INT(Close))*60),0)))</f>
        <v>44432.027777777781</v>
      </c>
    </row>
    <row r="16" spans="1:23" ht="17" customHeight="1" x14ac:dyDescent="0.2">
      <c r="B16" s="114">
        <f t="shared" si="3"/>
        <v>105.80000000000001</v>
      </c>
      <c r="C16" s="3" t="s">
        <v>13</v>
      </c>
      <c r="D16" s="34">
        <v>294.8</v>
      </c>
      <c r="E16" s="101" t="s">
        <v>88</v>
      </c>
      <c r="F16" s="102" t="s">
        <v>102</v>
      </c>
      <c r="G16" s="103" t="s">
        <v>112</v>
      </c>
      <c r="H16" s="103"/>
      <c r="I16" s="108" t="s">
        <v>113</v>
      </c>
      <c r="J16" s="108"/>
      <c r="K16" s="109"/>
      <c r="L16">
        <f t="shared" si="2"/>
        <v>8.8448999999999991</v>
      </c>
      <c r="M16">
        <f t="shared" si="1"/>
        <v>19.653333333333332</v>
      </c>
      <c r="N16" s="5">
        <f>IF(ISBLANK(Distance),"",Open_time Control_1+(INT(Open)&amp;":"&amp;IF(ROUND(((Open-INT(Open))*60),0)&lt;10,0,"")&amp;ROUND(((Open-INT(Open))*60),0)))</f>
        <v>44431.618750000001</v>
      </c>
      <c r="O16" s="5">
        <f>IF(ISBLANK(Distance),"",Open_time Control_1+(INT(Close)&amp;":"&amp;IF(ROUND(((Close-INT(Close))*60),0)&lt;10,0,"")&amp;ROUND(((Close-INT(Close))*60),0)))</f>
        <v>44432.068749999999</v>
      </c>
    </row>
    <row r="17" spans="2:15" ht="17" customHeight="1" x14ac:dyDescent="0.2">
      <c r="B17" s="114">
        <f t="shared" si="3"/>
        <v>167.8</v>
      </c>
      <c r="C17" s="3" t="s">
        <v>14</v>
      </c>
      <c r="D17" s="34">
        <v>356.8</v>
      </c>
      <c r="E17" s="101" t="s">
        <v>89</v>
      </c>
      <c r="F17" s="102" t="s">
        <v>103</v>
      </c>
      <c r="G17" s="102" t="s">
        <v>104</v>
      </c>
      <c r="H17" s="103" t="s">
        <v>114</v>
      </c>
      <c r="I17" s="108" t="s">
        <v>115</v>
      </c>
      <c r="J17" s="108"/>
      <c r="K17" s="110" t="s">
        <v>116</v>
      </c>
      <c r="L17">
        <f t="shared" si="2"/>
        <v>10.782399999999999</v>
      </c>
      <c r="M17">
        <f t="shared" si="1"/>
        <v>23.786666666666669</v>
      </c>
      <c r="N17" s="5">
        <f>IF(ISBLANK(Distance),"",Open_time Control_1+(INT(Open)&amp;":"&amp;IF(ROUND(((Open-INT(Open))*60),0)&lt;10,0,"")&amp;ROUND(((Open-INT(Open))*60),0)))</f>
        <v>44431.699305555558</v>
      </c>
      <c r="O17" s="5">
        <f>IF(ISBLANK(Distance),"",Open_time Control_1+(INT(Close)&amp;":"&amp;IF(ROUND(((Close-INT(Close))*60),0)&lt;10,0,"")&amp;ROUND(((Close-INT(Close))*60),0)))</f>
        <v>44432.240972222222</v>
      </c>
    </row>
    <row r="18" spans="2:15" ht="17" customHeight="1" x14ac:dyDescent="0.2">
      <c r="B18" s="114">
        <f t="shared" si="3"/>
        <v>213.2</v>
      </c>
      <c r="C18" s="3" t="s">
        <v>15</v>
      </c>
      <c r="D18" s="34">
        <v>402.2</v>
      </c>
      <c r="E18" s="101" t="s">
        <v>82</v>
      </c>
      <c r="F18" s="102" t="s">
        <v>90</v>
      </c>
      <c r="G18" s="102" t="s">
        <v>94</v>
      </c>
      <c r="H18" s="103" t="s">
        <v>105</v>
      </c>
      <c r="I18" s="108" t="s">
        <v>106</v>
      </c>
      <c r="J18" s="108"/>
      <c r="K18" s="110"/>
      <c r="L18">
        <f t="shared" si="2"/>
        <v>12.205733333333333</v>
      </c>
      <c r="M18">
        <f t="shared" si="1"/>
        <v>27</v>
      </c>
      <c r="N18" s="5">
        <f>IF(ISBLANK(Distance),"",Open_time Control_1+(INT(Open)&amp;":"&amp;IF(ROUND(((Open-INT(Open))*60),0)&lt;10,0,"")&amp;ROUND(((Open-INT(Open))*60),0)))</f>
        <v>44431.758333333331</v>
      </c>
      <c r="O18" s="5">
        <f>IF(ISBLANK(Distance),"",Open_time Control_1+(INT(Close)&amp;":"&amp;IF(ROUND(((Close-INT(Close))*60),0)&lt;10,0,"")&amp;ROUND(((Close-INT(Close))*60),0)))</f>
        <v>44432.375</v>
      </c>
    </row>
    <row r="19" spans="2:15" ht="17" customHeight="1" thickBot="1" x14ac:dyDescent="0.25">
      <c r="B19" s="114"/>
      <c r="C19" s="3" t="s">
        <v>16</v>
      </c>
      <c r="D19" s="64"/>
      <c r="E19" s="104"/>
      <c r="F19" s="105"/>
      <c r="G19" s="105"/>
      <c r="H19" s="106"/>
      <c r="I19" s="111"/>
      <c r="J19" s="111"/>
      <c r="K19" s="112"/>
      <c r="L19" t="str">
        <f t="shared" si="2"/>
        <v/>
      </c>
      <c r="M19" t="str">
        <f t="shared" si="1"/>
        <v/>
      </c>
      <c r="N19" s="5" t="str">
        <f>IF(ISBLANK(Distance),"",Open_time Control_1+(INT(Open)&amp;":"&amp;IF(ROUND(((Open-INT(Open))*60),0)&lt;10,0,"")&amp;ROUND(((Open-INT(Open))*60),0)))</f>
        <v/>
      </c>
      <c r="O19" s="5" t="str">
        <f>IF(ISBLANK(Distance),"",Open_time Control_1+(INT(Close)&amp;":"&amp;IF(ROUND(((Close-INT(Close))*60),0)&lt;10,0,"")&amp;ROUND(((Close-INT(Close))*60),0)))</f>
        <v/>
      </c>
    </row>
    <row r="20" spans="2:15" ht="7" customHeight="1" thickBot="1" x14ac:dyDescent="0.25">
      <c r="D20" s="86"/>
      <c r="E20" s="87"/>
      <c r="F20" s="88"/>
      <c r="G20" s="88"/>
      <c r="H20" s="88"/>
      <c r="I20" s="88"/>
      <c r="J20" s="88"/>
      <c r="K20" s="89"/>
      <c r="N20" s="5"/>
      <c r="O20" s="5"/>
    </row>
    <row r="21" spans="2:15" ht="14" thickBot="1" x14ac:dyDescent="0.2">
      <c r="D21" s="117" t="s">
        <v>80</v>
      </c>
      <c r="E21" s="118"/>
      <c r="F21" s="118"/>
      <c r="G21" s="118"/>
      <c r="H21" s="118"/>
      <c r="I21" s="119" t="s">
        <v>77</v>
      </c>
      <c r="J21" s="118"/>
      <c r="K21" s="120"/>
    </row>
    <row r="22" spans="2:15" ht="14" thickBot="1" x14ac:dyDescent="0.2">
      <c r="D22" s="6" t="s">
        <v>24</v>
      </c>
      <c r="E22" s="7" t="s">
        <v>25</v>
      </c>
      <c r="F22" s="84" t="s">
        <v>26</v>
      </c>
      <c r="G22" s="84" t="s">
        <v>27</v>
      </c>
      <c r="H22" s="85" t="s">
        <v>28</v>
      </c>
      <c r="I22" s="7" t="s">
        <v>61</v>
      </c>
      <c r="J22" s="7" t="s">
        <v>62</v>
      </c>
      <c r="K22" s="8" t="s">
        <v>63</v>
      </c>
      <c r="L22" t="s">
        <v>3</v>
      </c>
      <c r="M22" t="s">
        <v>4</v>
      </c>
      <c r="N22" t="s">
        <v>5</v>
      </c>
      <c r="O22" t="s">
        <v>6</v>
      </c>
    </row>
    <row r="23" spans="2:15" ht="16" x14ac:dyDescent="0.2">
      <c r="D23" s="34">
        <v>0</v>
      </c>
      <c r="E23" s="101" t="s">
        <v>85</v>
      </c>
      <c r="F23" s="102" t="s">
        <v>118</v>
      </c>
      <c r="G23" s="102" t="s">
        <v>119</v>
      </c>
      <c r="H23" s="103" t="s">
        <v>122</v>
      </c>
      <c r="I23" s="103" t="s">
        <v>120</v>
      </c>
      <c r="J23" s="108"/>
      <c r="K23" s="110" t="s">
        <v>121</v>
      </c>
      <c r="L23">
        <f>IF(ISBLANK(D23),"",IF(D23&gt;1000,(D23-1000)/26+33.0847,(IF(D23&gt;600,(D23-600)/28+18.799,(IF(D23&gt;400,(D23-400)/30+12.1324,(IF(D23&gt;200,(D23-200)/32+5.8824,D23/34))))))))</f>
        <v>0</v>
      </c>
      <c r="M23">
        <f>IF(ISBLANK(D23),"",IF((D23=0),1,IF(D23&gt;=brevet,IF(brevet&gt;1200,(brevet-1200)*75/1000+90,Max_time),IF(D23&gt;1200,(D23-1200)*75/1000+90,IF(D23&gt;1000,(D23-1000)/(1000/75)+75,IF(D23&gt;600,(D23-600)/(400/35)+40,D23/15))))))</f>
        <v>1</v>
      </c>
      <c r="N23" s="5">
        <f>IF(ISBLANK(D23),"",Open_time Control_1+(INT(L23)&amp;":"&amp;IF(ROUND(((L23-INT(L23))*60),0)&lt;10,0,"")&amp;ROUND(((L23-INT(L23))*60),0)))</f>
        <v>44431.25</v>
      </c>
      <c r="O23" s="5">
        <f>IF(ISBLANK(D23),"",Open_time Control_1+(INT(M23)&amp;":"&amp;IF(ROUND(((M23-INT(M23))*60),0)&lt;10,0,"")&amp;ROUND(((M23-INT(M23))*60),0)))</f>
        <v>44431.291666666664</v>
      </c>
    </row>
    <row r="24" spans="2:15" ht="17" customHeight="1" x14ac:dyDescent="0.2">
      <c r="D24" s="34">
        <v>45.400000000000006</v>
      </c>
      <c r="E24" s="101" t="s">
        <v>86</v>
      </c>
      <c r="F24" s="102" t="s">
        <v>97</v>
      </c>
      <c r="G24" s="102" t="s">
        <v>98</v>
      </c>
      <c r="H24" s="103" t="s">
        <v>99</v>
      </c>
      <c r="I24" s="108" t="s">
        <v>109</v>
      </c>
      <c r="J24" s="108"/>
      <c r="K24" s="110" t="s">
        <v>108</v>
      </c>
      <c r="L24">
        <f t="shared" ref="L24:L32" si="4">IF(ISBLANK(D24),"",IF(D24&gt;1000,(D24-1000)/26+33.0847,(IF(D24&gt;600,(D24-600)/28+18.799,(IF(D24&gt;400,(D24-400)/30+12.1324,(IF(D24&gt;200,(D24-200)/32+5.8824,D24/34))))))))</f>
        <v>1.335294117647059</v>
      </c>
      <c r="M24">
        <f t="shared" ref="M24:M32" si="5">IF(ISBLANK(D24),"",IF(D24&gt;=brevet,IF(brevet&gt;1200,(brevet-1200)*75/1000+90,Max_time),IF(D24&gt;1200,(D24-1200)*75/1000+90,IF(D24&gt;1000,(D24-1000)/(1000/75)+75,IF(D24&gt;600,(D24-600)/(400/35)+40,D24/15)))))</f>
        <v>3.0266666666666668</v>
      </c>
      <c r="N24" s="5">
        <f>IF(ISBLANK(D24),"",Open_time Control_1+(INT(L24)&amp;":"&amp;IF(ROUND(((L24-INT(L24))*60),0)&lt;10,0,"")&amp;ROUND(((L24-INT(L24))*60),0)))</f>
        <v>44431.305555555555</v>
      </c>
      <c r="O24" s="5">
        <f>IF(ISBLANK(D24),"",Open_time Control_1+(INT(M24)&amp;":"&amp;IF(ROUND(((M24-INT(M24))*60),0)&lt;10,0,"")&amp;ROUND(((M24-INT(M24))*60),0)))</f>
        <v>44431.376388888886</v>
      </c>
    </row>
    <row r="25" spans="2:15" ht="17" customHeight="1" x14ac:dyDescent="0.2">
      <c r="D25" s="34">
        <v>91.100000000000023</v>
      </c>
      <c r="E25" s="101" t="s">
        <v>87</v>
      </c>
      <c r="F25" s="102" t="s">
        <v>101</v>
      </c>
      <c r="G25" s="102" t="s">
        <v>100</v>
      </c>
      <c r="H25" s="103" t="s">
        <v>110</v>
      </c>
      <c r="I25" s="108" t="s">
        <v>111</v>
      </c>
      <c r="J25" s="108"/>
      <c r="K25" s="110"/>
      <c r="L25">
        <f t="shared" si="4"/>
        <v>2.679411764705883</v>
      </c>
      <c r="M25">
        <f t="shared" si="5"/>
        <v>6.073333333333335</v>
      </c>
      <c r="N25" s="5">
        <f>IF(ISBLANK(D25),"",Open_time Control_1+(INT(L25)&amp;":"&amp;IF(ROUND(((L25-INT(L25))*60),0)&lt;10,0,"")&amp;ROUND(((L25-INT(L25))*60),0)))</f>
        <v>44431.361805555556</v>
      </c>
      <c r="O25" s="5">
        <f>IF(ISBLANK(D25),"",Open_time Control_1+(INT(M25)&amp;":"&amp;IF(ROUND(((M25-INT(M25))*60),0)&lt;10,0,"")&amp;ROUND(((M25-INT(M25))*60),0)))</f>
        <v>44431.50277777778</v>
      </c>
    </row>
    <row r="26" spans="2:15" ht="17" customHeight="1" x14ac:dyDescent="0.2">
      <c r="D26" s="34">
        <v>105.80000000000001</v>
      </c>
      <c r="E26" s="101" t="s">
        <v>88</v>
      </c>
      <c r="F26" s="102" t="s">
        <v>102</v>
      </c>
      <c r="G26" s="103" t="s">
        <v>112</v>
      </c>
      <c r="H26" s="103"/>
      <c r="I26" s="108" t="s">
        <v>113</v>
      </c>
      <c r="J26" s="108"/>
      <c r="K26" s="110"/>
      <c r="L26">
        <f t="shared" si="4"/>
        <v>3.1117647058823534</v>
      </c>
      <c r="M26">
        <f t="shared" si="5"/>
        <v>7.0533333333333337</v>
      </c>
      <c r="N26" s="5">
        <f>IF(ISBLANK(D26),"",Open_time Control_1+(INT(L26)&amp;":"&amp;IF(ROUND(((L26-INT(L26))*60),0)&lt;10,0,"")&amp;ROUND(((L26-INT(L26))*60),0)))</f>
        <v>44431.379861111112</v>
      </c>
      <c r="O26" s="5">
        <f>IF(ISBLANK(D26),"",Open_time Control_1+(INT(M26)&amp;":"&amp;IF(ROUND(((M26-INT(M26))*60),0)&lt;10,0,"")&amp;ROUND(((M26-INT(M26))*60),0)))</f>
        <v>44431.543749999997</v>
      </c>
    </row>
    <row r="27" spans="2:15" ht="17" customHeight="1" x14ac:dyDescent="0.2">
      <c r="D27" s="34">
        <v>167.8</v>
      </c>
      <c r="E27" s="101" t="s">
        <v>89</v>
      </c>
      <c r="F27" s="102" t="s">
        <v>103</v>
      </c>
      <c r="G27" s="102" t="s">
        <v>104</v>
      </c>
      <c r="H27" s="103" t="s">
        <v>114</v>
      </c>
      <c r="I27" s="108" t="s">
        <v>115</v>
      </c>
      <c r="J27" s="108"/>
      <c r="K27" s="110" t="s">
        <v>116</v>
      </c>
      <c r="L27">
        <f t="shared" si="4"/>
        <v>4.9352941176470591</v>
      </c>
      <c r="M27">
        <f t="shared" si="5"/>
        <v>11.186666666666667</v>
      </c>
      <c r="N27" s="5">
        <f>IF(ISBLANK(D27),"",Open_time Control_1+(INT(L27)&amp;":"&amp;IF(ROUND(((L27-INT(L27))*60),0)&lt;10,0,"")&amp;ROUND(((L27-INT(L27))*60),0)))</f>
        <v>44431.455555555556</v>
      </c>
      <c r="O27" s="5">
        <f>IF(ISBLANK(D27),"",Open_time Control_1+(INT(M27)&amp;":"&amp;IF(ROUND(((M27-INT(M27))*60),0)&lt;10,0,"")&amp;ROUND(((M27-INT(M27))*60),0)))</f>
        <v>44431.71597222222</v>
      </c>
    </row>
    <row r="28" spans="2:15" ht="17" customHeight="1" x14ac:dyDescent="0.2">
      <c r="D28" s="34">
        <v>213.2</v>
      </c>
      <c r="E28" s="101" t="s">
        <v>82</v>
      </c>
      <c r="F28" s="102" t="s">
        <v>90</v>
      </c>
      <c r="G28" s="102" t="s">
        <v>94</v>
      </c>
      <c r="H28" s="103" t="s">
        <v>105</v>
      </c>
      <c r="I28" s="108" t="s">
        <v>123</v>
      </c>
      <c r="J28" s="108" t="s">
        <v>124</v>
      </c>
      <c r="K28" s="110" t="s">
        <v>125</v>
      </c>
      <c r="L28">
        <f t="shared" si="4"/>
        <v>6.2948999999999993</v>
      </c>
      <c r="M28">
        <f t="shared" si="5"/>
        <v>14.213333333333333</v>
      </c>
      <c r="N28" s="5">
        <f>IF(ISBLANK(D28),"",Open_time Control_1+(INT(L28)&amp;":"&amp;IF(ROUND(((L28-INT(L28))*60),0)&lt;10,0,"")&amp;ROUND(((L28-INT(L28))*60),0)))</f>
        <v>44431.512499999997</v>
      </c>
      <c r="O28" s="5">
        <f>IF(ISBLANK(D28),"",Open_time Control_1+(INT(M28)&amp;":"&amp;IF(ROUND(((M28-INT(M28))*60),0)&lt;10,0,"")&amp;ROUND(((M28-INT(M28))*60),0)))</f>
        <v>44431.842361111114</v>
      </c>
    </row>
    <row r="29" spans="2:15" ht="17" customHeight="1" x14ac:dyDescent="0.2">
      <c r="D29" s="34">
        <v>242.79999999999998</v>
      </c>
      <c r="E29" s="101" t="s">
        <v>83</v>
      </c>
      <c r="F29" s="102" t="s">
        <v>91</v>
      </c>
      <c r="G29" s="102" t="s">
        <v>95</v>
      </c>
      <c r="H29" s="103" t="s">
        <v>96</v>
      </c>
      <c r="I29" s="108" t="s">
        <v>107</v>
      </c>
      <c r="J29" s="108"/>
      <c r="K29" s="110" t="s">
        <v>117</v>
      </c>
      <c r="L29">
        <f t="shared" si="4"/>
        <v>7.2198999999999991</v>
      </c>
      <c r="M29">
        <f t="shared" si="5"/>
        <v>16.186666666666664</v>
      </c>
      <c r="N29" s="5">
        <f>IF(ISBLANK(D29),"",Open_time Control_1+(INT(L29)&amp;":"&amp;IF(ROUND(((L29-INT(L29))*60),0)&lt;10,0,"")&amp;ROUND(((L29-INT(L29))*60),0)))</f>
        <v>44431.550694444442</v>
      </c>
      <c r="O29" s="5">
        <f>IF(ISBLANK(D29),"",Open_time Control_1+(INT(M29)&amp;":"&amp;IF(ROUND(((M29-INT(M29))*60),0)&lt;10,0,"")&amp;ROUND(((M29-INT(M29))*60),0)))</f>
        <v>44431.924305555556</v>
      </c>
    </row>
    <row r="30" spans="2:15" ht="17" customHeight="1" x14ac:dyDescent="0.2">
      <c r="D30" s="34">
        <v>302.2</v>
      </c>
      <c r="E30" s="101" t="s">
        <v>84</v>
      </c>
      <c r="F30" s="102" t="s">
        <v>92</v>
      </c>
      <c r="G30" s="102" t="s">
        <v>93</v>
      </c>
      <c r="H30" s="103" t="s">
        <v>126</v>
      </c>
      <c r="I30" s="108" t="s">
        <v>127</v>
      </c>
      <c r="J30" s="108"/>
      <c r="K30" s="109"/>
      <c r="L30">
        <f t="shared" si="4"/>
        <v>9.0761499999999984</v>
      </c>
      <c r="M30">
        <f t="shared" si="5"/>
        <v>20.146666666666665</v>
      </c>
      <c r="N30" s="5">
        <f>IF(ISBLANK(D30),"",Open_time Control_1+(INT(L30)&amp;":"&amp;IF(ROUND(((L30-INT(L30))*60),0)&lt;10,0,"")&amp;ROUND(((L30-INT(L30))*60),0)))</f>
        <v>44431.628472222219</v>
      </c>
      <c r="O30" s="5">
        <f>IF(ISBLANK(D30),"",Open_time Control_1+(INT(M30)&amp;":"&amp;IF(ROUND(((M30-INT(M30))*60),0)&lt;10,0,"")&amp;ROUND(((M30-INT(M30))*60),0)))</f>
        <v>44432.089583333334</v>
      </c>
    </row>
    <row r="31" spans="2:15" ht="17" customHeight="1" x14ac:dyDescent="0.2">
      <c r="D31" s="34">
        <v>402.2</v>
      </c>
      <c r="E31" s="101" t="s">
        <v>85</v>
      </c>
      <c r="F31" s="102" t="s">
        <v>118</v>
      </c>
      <c r="G31" s="102" t="s">
        <v>119</v>
      </c>
      <c r="H31" s="103" t="s">
        <v>122</v>
      </c>
      <c r="I31" s="103" t="s">
        <v>106</v>
      </c>
      <c r="J31" s="108"/>
      <c r="K31" s="109"/>
      <c r="L31">
        <f t="shared" si="4"/>
        <v>12.205733333333333</v>
      </c>
      <c r="M31">
        <f t="shared" si="5"/>
        <v>27</v>
      </c>
      <c r="N31" s="5">
        <f>IF(ISBLANK(D31),"",Open_time Control_1+(INT(L31)&amp;":"&amp;IF(ROUND(((L31-INT(L31))*60),0)&lt;10,0,"")&amp;ROUND(((L31-INT(L31))*60),0)))</f>
        <v>44431.758333333331</v>
      </c>
      <c r="O31" s="5">
        <f>IF(ISBLANK(D31),"",Open_time Control_1+(INT(M31)&amp;":"&amp;IF(ROUND(((M31-INT(M31))*60),0)&lt;10,0,"")&amp;ROUND(((M31-INT(M31))*60),0)))</f>
        <v>44432.375</v>
      </c>
    </row>
    <row r="32" spans="2:15" ht="17" customHeight="1" thickBot="1" x14ac:dyDescent="0.25">
      <c r="D32" s="64"/>
      <c r="E32" s="104"/>
      <c r="F32" s="105"/>
      <c r="G32" s="105"/>
      <c r="H32" s="106"/>
      <c r="I32" s="111"/>
      <c r="J32" s="111"/>
      <c r="K32" s="112"/>
      <c r="L32" t="str">
        <f t="shared" si="4"/>
        <v/>
      </c>
      <c r="M32" t="str">
        <f t="shared" si="5"/>
        <v/>
      </c>
      <c r="N32" s="5" t="str">
        <f>IF(ISBLANK(D32),"",Open_time Control_1+(INT(L32)&amp;":"&amp;IF(ROUND(((L32-INT(L32))*60),0)&lt;10,0,"")&amp;ROUND(((L32-INT(L32))*60),0)))</f>
        <v/>
      </c>
      <c r="O32" s="5" t="str">
        <f>IF(ISBLANK(D32),"",Open_time Control_1+(INT(M32)&amp;":"&amp;IF(ROUND(((M32-INT(M32))*60),0)&lt;10,0,"")&amp;ROUND(((M32-INT(M32))*60),0)))</f>
        <v/>
      </c>
    </row>
  </sheetData>
  <mergeCells count="5">
    <mergeCell ref="J1:K1"/>
    <mergeCell ref="D8:H8"/>
    <mergeCell ref="D21:H21"/>
    <mergeCell ref="I8:K8"/>
    <mergeCell ref="I21:K21"/>
  </mergeCells>
  <phoneticPr fontId="16" type="noConversion"/>
  <pageMargins left="0.75" right="0.75" top="1" bottom="1" header="0.5" footer="0.5"/>
  <pageSetup orientation="portrait" horizontalDpi="4294967292" verticalDpi="4294967292"/>
  <headerFooter>
    <oddHeader>&amp;A</oddHeader>
    <oddFooter>Page &amp;P</oddFooter>
  </headerFooter>
  <legacyDrawing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V40"/>
  <sheetViews>
    <sheetView showGridLines="0" topLeftCell="A15" zoomScale="92" zoomScaleNormal="92" zoomScalePageLayoutView="92" workbookViewId="0">
      <selection activeCell="E16" sqref="E16"/>
    </sheetView>
  </sheetViews>
  <sheetFormatPr baseColWidth="10" defaultColWidth="8.83203125" defaultRowHeight="13" x14ac:dyDescent="0.15"/>
  <cols>
    <col min="1" max="1" width="8.5" style="1" customWidth="1"/>
    <col min="2" max="2" width="11.5" customWidth="1"/>
    <col min="3" max="3" width="11.6640625" customWidth="1"/>
    <col min="4" max="4" width="18" customWidth="1"/>
    <col min="5" max="5" width="23.83203125" customWidth="1"/>
    <col min="6" max="6" width="42" customWidth="1"/>
    <col min="7" max="7" width="13.5" customWidth="1"/>
    <col min="8" max="8" width="8" style="36" customWidth="1"/>
    <col min="9" max="9" width="12" customWidth="1"/>
    <col min="18" max="19" width="8.83203125" customWidth="1"/>
  </cols>
  <sheetData>
    <row r="1" spans="1:22" ht="21" thickBot="1" x14ac:dyDescent="0.2">
      <c r="A1" s="129" t="s">
        <v>44</v>
      </c>
      <c r="B1" s="129"/>
      <c r="C1" s="129"/>
      <c r="D1" s="129"/>
      <c r="E1" s="129"/>
      <c r="F1" s="129"/>
      <c r="G1" s="129"/>
      <c r="H1" s="35" t="s">
        <v>29</v>
      </c>
    </row>
    <row r="2" spans="1:22" ht="33.75" customHeight="1" thickBot="1" x14ac:dyDescent="0.25">
      <c r="A2" s="100" t="s">
        <v>30</v>
      </c>
      <c r="B2" s="9" t="s">
        <v>3</v>
      </c>
      <c r="C2" s="9" t="s">
        <v>4</v>
      </c>
      <c r="D2" s="9" t="s">
        <v>25</v>
      </c>
      <c r="E2" s="9" t="s">
        <v>31</v>
      </c>
      <c r="F2" s="9" t="s">
        <v>60</v>
      </c>
      <c r="G2" s="100" t="s">
        <v>32</v>
      </c>
      <c r="H2" s="35" t="s">
        <v>29</v>
      </c>
      <c r="K2" s="127" t="s">
        <v>56</v>
      </c>
      <c r="L2" s="127"/>
      <c r="M2" s="127"/>
      <c r="N2" s="127"/>
      <c r="O2" s="127"/>
      <c r="P2" s="127"/>
      <c r="Q2" s="127"/>
      <c r="R2" s="127"/>
      <c r="S2" s="127"/>
      <c r="T2" s="127"/>
      <c r="U2" s="127"/>
    </row>
    <row r="3" spans="1:22" ht="36" customHeight="1" x14ac:dyDescent="0.45">
      <c r="A3" s="39"/>
      <c r="B3" s="40">
        <f>Control_1 Open_time</f>
        <v>44431.25</v>
      </c>
      <c r="C3" s="40">
        <f>Control_1 Close_time</f>
        <v>44431.291666666664</v>
      </c>
      <c r="D3" s="41"/>
      <c r="E3" s="42" t="str">
        <f>IF(ISBLANK(Control_1 Establishment_1),"",Control_1 Establishment_1)</f>
        <v>Tim Hortons</v>
      </c>
      <c r="F3" s="42" t="str">
        <f>IF(ISBLANK('Control Entry'!I10),"",'Control Entry'!I10)</f>
        <v>Bike rack across entrance</v>
      </c>
      <c r="G3" s="10"/>
      <c r="H3" s="35" t="s">
        <v>29</v>
      </c>
      <c r="K3" s="16"/>
      <c r="O3" s="134" t="s">
        <v>33</v>
      </c>
      <c r="P3" s="134"/>
      <c r="Q3" s="134"/>
      <c r="R3" s="134"/>
      <c r="S3" s="83"/>
      <c r="U3" s="52"/>
    </row>
    <row r="4" spans="1:22" ht="36" customHeight="1" x14ac:dyDescent="0.2">
      <c r="A4" s="48">
        <f>IF(ISBLANK(Distance Control_1),"",Control_1 Distance)</f>
        <v>0</v>
      </c>
      <c r="B4" s="49">
        <f>Control_1 Open_time</f>
        <v>44431.25</v>
      </c>
      <c r="C4" s="49">
        <f>Control_1 Close_time</f>
        <v>44431.291666666664</v>
      </c>
      <c r="D4" s="50" t="str">
        <f>IF(ISBLANK(Locale Control_1),"",Locale Control_1)</f>
        <v>NANAIMO</v>
      </c>
      <c r="E4" s="67" t="str">
        <f>IF(ISBLANK(Control_1 Establishment_2),"",Control_1 Establishment_2)</f>
        <v>Brooks Landing</v>
      </c>
      <c r="F4" s="67" t="str">
        <f>IF(ISBLANK('Control Entry'!J10),"",'Control Entry'!J10)</f>
        <v>Serial number?</v>
      </c>
      <c r="G4" s="10"/>
      <c r="H4" s="35" t="s">
        <v>29</v>
      </c>
      <c r="K4" s="16"/>
      <c r="M4" s="131" t="str">
        <f>IF(ISBLANK(brevet),"",brevet&amp;" km Randonnée")</f>
        <v>400 km Randonnée</v>
      </c>
      <c r="N4" s="131"/>
      <c r="O4" s="131"/>
      <c r="P4" s="131"/>
      <c r="Q4" s="131"/>
      <c r="R4" s="131"/>
      <c r="S4" s="131"/>
      <c r="T4" s="131"/>
      <c r="U4" s="53"/>
    </row>
    <row r="5" spans="1:22" ht="36" customHeight="1" thickBot="1" x14ac:dyDescent="0.25">
      <c r="A5" s="43"/>
      <c r="B5" s="44">
        <f>Control_1 Open_time</f>
        <v>44431.25</v>
      </c>
      <c r="C5" s="44">
        <f>Control_1 Close_time</f>
        <v>44431.291666666664</v>
      </c>
      <c r="D5" s="45"/>
      <c r="E5" s="115" t="str">
        <f>IF(ISBLANK(Control_1 Establishment_3),"",Control_1 Establishment_3)</f>
        <v>Island Hwy @ Departure Bay Rd</v>
      </c>
      <c r="F5" s="107" t="str">
        <f>IF(ISBLANK('Control Entry'!K10),"",'Control Entry'!K10)</f>
        <v>230.11-________________</v>
      </c>
      <c r="G5" s="11"/>
      <c r="H5" s="35" t="s">
        <v>29</v>
      </c>
      <c r="K5" s="16"/>
      <c r="M5" s="17"/>
      <c r="N5" s="132" t="s">
        <v>48</v>
      </c>
      <c r="O5" s="132"/>
      <c r="P5" s="81">
        <f>IF(ISBLANK(Brevet_Number),"",Brevet_Number)</f>
        <v>5100</v>
      </c>
      <c r="Q5" s="82"/>
      <c r="R5" s="126">
        <f>IF(ISBLANK('Control Entry'!$B5),"",'Control Entry'!$B5)</f>
        <v>44431</v>
      </c>
      <c r="S5" s="126"/>
      <c r="T5" s="126"/>
      <c r="U5" s="126"/>
      <c r="V5" s="54"/>
    </row>
    <row r="6" spans="1:22" ht="36" customHeight="1" x14ac:dyDescent="0.2">
      <c r="A6" s="39"/>
      <c r="B6" s="40">
        <f>Control_2 Open_time</f>
        <v>44431.286111111112</v>
      </c>
      <c r="C6" s="40">
        <f>Control_2 Close_time</f>
        <v>44431.331944444442</v>
      </c>
      <c r="D6" s="47"/>
      <c r="E6" s="42" t="str">
        <f>IF(ISBLANK(Control_2 Establishment_1),"",Control_2 Establishment_1)</f>
        <v>Aggie Hall</v>
      </c>
      <c r="F6" s="42" t="str">
        <f>IF(ISBLANK('Control Entry'!I11),"",'Control Entry'!I11)</f>
        <v>Green 49th Parallel sign</v>
      </c>
      <c r="G6" s="10"/>
      <c r="H6" s="35" t="s">
        <v>29</v>
      </c>
      <c r="K6" s="16"/>
      <c r="L6" s="137" t="str">
        <f>IF(ISBLANK(Brevet_Description),"",Brevet_Description)</f>
        <v>Parallels with Latitude</v>
      </c>
      <c r="M6" s="137"/>
      <c r="N6" s="137"/>
      <c r="O6" s="137"/>
      <c r="P6" s="137"/>
      <c r="Q6" s="137"/>
      <c r="R6" s="137"/>
      <c r="S6" s="137"/>
      <c r="T6" s="137"/>
      <c r="U6" s="137"/>
    </row>
    <row r="7" spans="1:22" ht="36" customHeight="1" x14ac:dyDescent="0.2">
      <c r="A7" s="48">
        <f>IF(ISBLANK(Distance Control_2),"",Control_2 Distance)</f>
        <v>29.6</v>
      </c>
      <c r="B7" s="49">
        <f>Control_2 Open_time</f>
        <v>44431.286111111112</v>
      </c>
      <c r="C7" s="49">
        <f>Control_2 Close_time</f>
        <v>44431.331944444442</v>
      </c>
      <c r="D7" s="50" t="str">
        <f>IF(ISBLANK(Locale Control_2),"",Locale Control_2)</f>
        <v>LADYSMITH</v>
      </c>
      <c r="E7" s="67" t="str">
        <f>IF(ISBLANK(Control_2 Establishment_2),"",Control_2 Establishment_2)</f>
        <v>Plaza by tractor</v>
      </c>
      <c r="F7" s="67" t="str">
        <f>IF(ISBLANK('Control Entry'!J11),"",'Control Entry'!J11)</f>
        <v/>
      </c>
      <c r="G7" s="10"/>
      <c r="H7" s="35" t="s">
        <v>29</v>
      </c>
    </row>
    <row r="8" spans="1:22" ht="36" customHeight="1" thickBot="1" x14ac:dyDescent="0.25">
      <c r="A8" s="43"/>
      <c r="B8" s="44">
        <f>Control_2 Open_time</f>
        <v>44431.286111111112</v>
      </c>
      <c r="C8" s="44">
        <f>Control_2 Close_time</f>
        <v>44431.331944444442</v>
      </c>
      <c r="D8" s="45"/>
      <c r="E8" s="46" t="str">
        <f>IF(ISBLANK(Control_2 Establishment_3),"",Control_2 Establishment_3)</f>
        <v>1st Ave @ Symonds St</v>
      </c>
      <c r="F8" s="107" t="str">
        <f>IF(ISBLANK('Control Entry'!K11),"",'Control Entry'!K11)</f>
        <v>The __________treaty of 1846?</v>
      </c>
      <c r="G8" s="11"/>
      <c r="H8" s="35" t="s">
        <v>29</v>
      </c>
      <c r="J8" s="17" t="s">
        <v>34</v>
      </c>
      <c r="L8" s="128"/>
      <c r="M8" s="128"/>
      <c r="N8" s="128"/>
      <c r="O8" s="128"/>
      <c r="P8" s="128"/>
      <c r="Q8" s="128"/>
      <c r="R8" s="36"/>
      <c r="S8" s="55" t="s">
        <v>47</v>
      </c>
      <c r="T8" s="121"/>
      <c r="U8" s="121"/>
    </row>
    <row r="9" spans="1:22" ht="36" customHeight="1" thickBot="1" x14ac:dyDescent="0.3">
      <c r="A9" s="39"/>
      <c r="B9" s="40">
        <f>Control_3 Open_time</f>
        <v>44431.359027777777</v>
      </c>
      <c r="C9" s="40">
        <f>Control_3 Close_time</f>
        <v>44431.49722222222</v>
      </c>
      <c r="D9" s="47"/>
      <c r="E9" s="42" t="str">
        <f>IF(ISBLANK(Control_3 Establishment_1),"",Control_3 Establishment_1)</f>
        <v>Beachcomber</v>
      </c>
      <c r="F9" s="42" t="str">
        <f>IF(ISBLANK('Control Entry'!I12),"",'Control Entry'!I12)</f>
        <v>List ONE of the native plant species photos</v>
      </c>
      <c r="G9" s="10"/>
      <c r="H9" s="35" t="s">
        <v>29</v>
      </c>
      <c r="J9" s="17" t="s">
        <v>35</v>
      </c>
      <c r="K9" s="17"/>
      <c r="L9" s="65" t="s">
        <v>55</v>
      </c>
      <c r="M9" s="23"/>
      <c r="N9" s="23"/>
      <c r="O9" s="23"/>
      <c r="P9" s="23"/>
      <c r="Q9" s="23"/>
      <c r="R9" s="23"/>
      <c r="S9" s="23"/>
      <c r="T9" s="23"/>
      <c r="U9" s="21"/>
    </row>
    <row r="10" spans="1:22" ht="36" customHeight="1" thickBot="1" x14ac:dyDescent="0.3">
      <c r="A10" s="48">
        <f>IF(ISBLANK(Distance Control_3),"",Control_3 Distance)</f>
        <v>89</v>
      </c>
      <c r="B10" s="49">
        <f>Control_3 Open_time</f>
        <v>44431.359027777777</v>
      </c>
      <c r="C10" s="49">
        <f>Control_3 Close_time</f>
        <v>44431.49722222222</v>
      </c>
      <c r="D10" s="50" t="str">
        <f>IF(ISBLANK(Locale Control_3),"",Locale Control_3)</f>
        <v>NANOOSE</v>
      </c>
      <c r="E10" s="67" t="str">
        <f>IF(ISBLANK(Control_3 Establishment_2),"",Control_3 Establishment_2)</f>
        <v>Regional Park</v>
      </c>
      <c r="F10" s="67" t="str">
        <f>IF(ISBLANK('Control Entry'!J12),"",'Control Entry'!J12)</f>
        <v/>
      </c>
      <c r="G10" s="10"/>
      <c r="H10" s="35" t="s">
        <v>29</v>
      </c>
      <c r="J10" s="17"/>
      <c r="K10" s="17"/>
      <c r="L10" s="37"/>
      <c r="M10" s="23"/>
      <c r="N10" s="23"/>
      <c r="O10" s="23"/>
      <c r="P10" s="23"/>
      <c r="Q10" s="23"/>
      <c r="R10" s="23"/>
      <c r="S10" s="23"/>
      <c r="T10" s="23"/>
      <c r="U10" s="21"/>
    </row>
    <row r="11" spans="1:22" ht="36" customHeight="1" thickBot="1" x14ac:dyDescent="0.3">
      <c r="A11" s="43"/>
      <c r="B11" s="44">
        <f>Control_3 Open_time</f>
        <v>44431.359027777777</v>
      </c>
      <c r="C11" s="44">
        <f>Control_3 Close_time</f>
        <v>44431.49722222222</v>
      </c>
      <c r="D11" s="45"/>
      <c r="E11" s="46" t="str">
        <f>IF(ISBLANK(Control_3 Establishment_3),"",Control_3 Establishment_3)</f>
        <v>Info sign @ 1326 Marina</v>
      </c>
      <c r="F11" s="107" t="str">
        <f>IF(ISBLANK('Control Entry'!K12),"",'Control Entry'!K12)</f>
        <v/>
      </c>
      <c r="G11" s="11"/>
      <c r="H11" s="35" t="s">
        <v>29</v>
      </c>
      <c r="J11" s="17" t="s">
        <v>36</v>
      </c>
      <c r="K11" s="17"/>
      <c r="L11" s="37"/>
      <c r="M11" s="23"/>
      <c r="N11" s="23"/>
      <c r="O11" s="24"/>
      <c r="P11" s="24" t="s">
        <v>37</v>
      </c>
      <c r="Q11" s="24"/>
      <c r="R11" s="24"/>
      <c r="S11" s="57"/>
      <c r="T11" s="37"/>
      <c r="U11" s="21"/>
    </row>
    <row r="12" spans="1:22" ht="36" customHeight="1" thickBot="1" x14ac:dyDescent="0.3">
      <c r="A12" s="39"/>
      <c r="B12" s="40">
        <f>Control_4 Open_time</f>
        <v>44431.481944444444</v>
      </c>
      <c r="C12" s="40">
        <f>Control_4 Close_time</f>
        <v>44431.775000000001</v>
      </c>
      <c r="D12" s="47"/>
      <c r="E12" s="42" t="str">
        <f>IF(ISBLANK(Control_4 Establishment_1),"",Control_4 Establishment_1)</f>
        <v>Little River Bay</v>
      </c>
      <c r="F12" s="42" t="str">
        <f>IF(ISBLANK('Control Entry'!I13),"",'Control Entry'!I13)</f>
        <v>Restrictions signpost</v>
      </c>
      <c r="G12" s="10"/>
      <c r="H12" s="35" t="s">
        <v>29</v>
      </c>
      <c r="J12" s="17" t="s">
        <v>38</v>
      </c>
      <c r="K12" s="17"/>
      <c r="L12" s="37"/>
      <c r="M12" s="23"/>
      <c r="N12" s="23"/>
      <c r="O12" s="24"/>
      <c r="P12" s="24" t="s">
        <v>39</v>
      </c>
      <c r="Q12" s="24"/>
      <c r="R12" s="24"/>
      <c r="S12" s="57"/>
      <c r="T12" s="37"/>
      <c r="U12" s="21"/>
    </row>
    <row r="13" spans="1:22" ht="36" customHeight="1" thickBot="1" x14ac:dyDescent="0.3">
      <c r="A13" s="48">
        <f>IF(ISBLANK(Distance Control_4),"",Control_4 Distance)</f>
        <v>189</v>
      </c>
      <c r="B13" s="49">
        <f>Control_4 Open_time</f>
        <v>44431.481944444444</v>
      </c>
      <c r="C13" s="49">
        <f>Control_4 Close_time</f>
        <v>44431.775000000001</v>
      </c>
      <c r="D13" s="50" t="str">
        <f>IF(ISBLANK(Locale Control_4),"",Locale Control_4)</f>
        <v>COMOX</v>
      </c>
      <c r="E13" s="42" t="str">
        <f>IF(ISBLANK(Control_4 Establishment_2),"",Control_4 Establishment_2)</f>
        <v>Beach Access</v>
      </c>
      <c r="F13" s="42" t="str">
        <f>IF(ISBLANK('Control Entry'!J13),"",'Control Entry'!J13)</f>
        <v/>
      </c>
      <c r="G13" s="10"/>
      <c r="H13" s="35" t="s">
        <v>29</v>
      </c>
      <c r="J13" s="17" t="s">
        <v>40</v>
      </c>
      <c r="L13" s="79"/>
      <c r="M13" s="80"/>
      <c r="N13" s="80"/>
      <c r="O13" s="25"/>
      <c r="P13" s="24" t="s">
        <v>41</v>
      </c>
      <c r="Q13" s="24"/>
      <c r="R13" s="38"/>
      <c r="S13" s="26"/>
      <c r="T13" s="26"/>
      <c r="U13" s="22"/>
    </row>
    <row r="14" spans="1:22" ht="36" customHeight="1" thickBot="1" x14ac:dyDescent="0.25">
      <c r="A14" s="43"/>
      <c r="B14" s="44">
        <f>Control_4 Open_time</f>
        <v>44431.481944444444</v>
      </c>
      <c r="C14" s="44">
        <f>Control_4 Close_time</f>
        <v>44431.775000000001</v>
      </c>
      <c r="D14" s="45"/>
      <c r="E14" s="46" t="str">
        <f>IF(ISBLANK(Control_4 Establishment_3),"",Control_4 Establishment_3)</f>
        <v>(end of road)</v>
      </c>
      <c r="F14" s="107" t="str">
        <f>IF(ISBLANK('Control Entry'!K13),"",'Control Entry'!K13)</f>
        <v>___________________parking?</v>
      </c>
      <c r="G14" s="11"/>
      <c r="H14" s="35" t="s">
        <v>29</v>
      </c>
    </row>
    <row r="15" spans="1:22" ht="36" customHeight="1" x14ac:dyDescent="0.2">
      <c r="A15" s="39"/>
      <c r="B15" s="40">
        <f>Control_5 Open_time</f>
        <v>44431.539583333331</v>
      </c>
      <c r="C15" s="40">
        <f>Control_5 Close_time</f>
        <v>44431.901388888888</v>
      </c>
      <c r="D15" s="47"/>
      <c r="E15" s="42" t="str">
        <f>IF(ISBLANK(Control_5 Establishment_1),"",Control_5 Establishment_1)</f>
        <v>50th Parallel Marker</v>
      </c>
      <c r="F15" s="42" t="str">
        <f>IF(ISBLANK('Control Entry'!I14),"",'Control Entry'!I14)</f>
        <v>Small blue sign 10 metres south</v>
      </c>
      <c r="G15" s="10"/>
      <c r="H15" s="35" t="s">
        <v>29</v>
      </c>
      <c r="J15" s="17"/>
      <c r="L15" s="136" t="s">
        <v>59</v>
      </c>
      <c r="M15" s="136"/>
      <c r="N15" s="136"/>
      <c r="O15" s="136"/>
      <c r="P15" s="136"/>
      <c r="Q15" s="136"/>
      <c r="R15" s="136"/>
      <c r="S15" s="136"/>
      <c r="T15" s="136"/>
      <c r="U15" s="136"/>
    </row>
    <row r="16" spans="1:22" ht="36" customHeight="1" thickBot="1" x14ac:dyDescent="0.25">
      <c r="A16" s="48">
        <f>IF(ISBLANK(Distance Control_5),"",Control_5 Distance)</f>
        <v>234.4</v>
      </c>
      <c r="B16" s="49">
        <f>Control_5 Open_time</f>
        <v>44431.539583333331</v>
      </c>
      <c r="C16" s="49">
        <f>Control_5 Close_time</f>
        <v>44431.901388888888</v>
      </c>
      <c r="D16" s="50" t="str">
        <f>IF(ISBLANK(Locale Control_5),"",Locale Control_5)</f>
        <v>CAMPBELL RIVER</v>
      </c>
      <c r="E16" s="42" t="str">
        <f>IF(ISBLANK(Control_5 Establishment_2),"",Control_5 Establishment_2)</f>
        <v>Seawalk</v>
      </c>
      <c r="F16" s="42" t="str">
        <f>IF(ISBLANK('Control Entry'!J14),"",'Control Entry'!J14)</f>
        <v/>
      </c>
      <c r="G16" s="10"/>
      <c r="H16" s="35" t="s">
        <v>29</v>
      </c>
      <c r="L16" s="74"/>
      <c r="M16" s="74"/>
      <c r="N16" s="74"/>
      <c r="O16" s="74"/>
      <c r="P16" s="74"/>
      <c r="Q16" s="75"/>
      <c r="R16" s="75"/>
      <c r="S16" s="75"/>
      <c r="T16" s="75"/>
      <c r="U16" s="75"/>
    </row>
    <row r="17" spans="1:22" ht="36" customHeight="1" thickBot="1" x14ac:dyDescent="0.25">
      <c r="A17" s="43"/>
      <c r="B17" s="44">
        <f>Control_5 Open_time</f>
        <v>44431.539583333331</v>
      </c>
      <c r="C17" s="44">
        <f>Control_5 Close_time</f>
        <v>44431.901388888888</v>
      </c>
      <c r="D17" s="45"/>
      <c r="E17" s="46" t="str">
        <f>IF(ISBLANK(Control_5 Establishment_3),"",Control_5 Establishment_3)</f>
        <v>(Island Hwy 19A)</v>
      </c>
      <c r="F17" s="46" t="str">
        <f>IF(ISBLANK('Control Entry'!K14),"",'Control Entry'!K14)</f>
        <v>50th Parallel on this___________?</v>
      </c>
      <c r="G17" s="11"/>
      <c r="H17" s="35" t="s">
        <v>29</v>
      </c>
    </row>
    <row r="18" spans="1:22" ht="36" customHeight="1" x14ac:dyDescent="0.2">
      <c r="A18" s="39"/>
      <c r="B18" s="40">
        <f>Control_6 Open_time</f>
        <v>44431.599305555559</v>
      </c>
      <c r="C18" s="40">
        <f>Control_6 Close_time</f>
        <v>44432.027777777781</v>
      </c>
      <c r="D18" s="47"/>
      <c r="E18" s="42" t="str">
        <f>IF(ISBLANK(Control_6 Establishment_1),"",Control_6 Establishment_1)</f>
        <v>Greaves Cr @ Piercy Rd</v>
      </c>
      <c r="F18" s="42" t="str">
        <f>IF(ISBLANK('Control Entry'!I15),"",'Control Entry'!I15)</f>
        <v>Number at bottom left ?</v>
      </c>
      <c r="G18" s="10"/>
      <c r="H18" s="35" t="s">
        <v>29</v>
      </c>
    </row>
    <row r="19" spans="1:22" ht="36" customHeight="1" x14ac:dyDescent="0.2">
      <c r="A19" s="48">
        <f>IF(ISBLANK(Distance Control_6),"",Control_6 Distance)</f>
        <v>280.10000000000002</v>
      </c>
      <c r="B19" s="49">
        <f>Control_6 Open_time</f>
        <v>44431.599305555559</v>
      </c>
      <c r="C19" s="49">
        <f>Control_6 Close_time</f>
        <v>44432.027777777781</v>
      </c>
      <c r="D19" s="50" t="str">
        <f>IF(ISBLANK(Locale Control_6),"",Locale Control_6)</f>
        <v>COURTENAY</v>
      </c>
      <c r="E19" s="42" t="str">
        <f>IF(ISBLANK(Control_6 Establishment_2),"",Control_6 Establishment_2)</f>
        <v>Mailboxes</v>
      </c>
      <c r="F19" s="42" t="str">
        <f>IF(ISBLANK('Control Entry'!J15),"",'Control Entry'!J15)</f>
        <v/>
      </c>
      <c r="G19" s="10"/>
      <c r="H19" s="35" t="s">
        <v>29</v>
      </c>
    </row>
    <row r="20" spans="1:22" ht="36" customHeight="1" thickBot="1" x14ac:dyDescent="0.25">
      <c r="A20" s="43"/>
      <c r="B20" s="44">
        <f>Control_6 Open_time</f>
        <v>44431.599305555559</v>
      </c>
      <c r="C20" s="44">
        <f>Control_6 Close_time</f>
        <v>44432.027777777781</v>
      </c>
      <c r="D20" s="45"/>
      <c r="E20" s="46" t="str">
        <f>IF(ISBLANK(Control_6 Establishment_3),"",Control_6 Establishment_3)</f>
        <v>Superbox 1</v>
      </c>
      <c r="F20" s="46" t="str">
        <f>IF(ISBLANK('Control Entry'!K15),"",'Control Entry'!K15)</f>
        <v/>
      </c>
      <c r="G20" s="11"/>
      <c r="H20" s="35" t="s">
        <v>29</v>
      </c>
      <c r="J20" s="73" t="s">
        <v>45</v>
      </c>
      <c r="K20" s="73"/>
      <c r="L20" s="76"/>
      <c r="M20" s="76"/>
      <c r="N20" s="76"/>
      <c r="P20" s="24" t="s">
        <v>0</v>
      </c>
      <c r="Q20" s="24"/>
      <c r="S20" s="135">
        <f>'Control Entry'!B8</f>
        <v>0.25</v>
      </c>
      <c r="T20" s="135"/>
      <c r="U20" s="135"/>
    </row>
    <row r="21" spans="1:22" ht="36" customHeight="1" x14ac:dyDescent="0.2">
      <c r="A21" s="39"/>
      <c r="B21" s="40">
        <f>Control_7 Open_time</f>
        <v>44431.618750000001</v>
      </c>
      <c r="C21" s="40">
        <f>Control_7 Close_time</f>
        <v>44432.068749999999</v>
      </c>
      <c r="D21" s="47"/>
      <c r="E21" s="42" t="str">
        <f>IF(ISBLANK(Control_7 Establishment_1),"",Control_7 Establishment_1)</f>
        <v>4th St @ Dunsmuir Ave</v>
      </c>
      <c r="F21" s="42" t="str">
        <f>IF(ISBLANK('Control Entry'!I16),"",'Control Entry'!I16)</f>
        <v>How far to Museum?</v>
      </c>
      <c r="G21" s="10"/>
      <c r="H21" s="35" t="s">
        <v>29</v>
      </c>
      <c r="J21" s="73"/>
      <c r="K21" s="73"/>
      <c r="L21" s="71"/>
      <c r="M21" s="71"/>
      <c r="N21" s="71"/>
      <c r="P21" s="24"/>
      <c r="Q21" s="24"/>
      <c r="R21" s="29"/>
      <c r="S21" s="77"/>
      <c r="T21" s="77"/>
      <c r="U21" s="77"/>
      <c r="V21" s="36"/>
    </row>
    <row r="22" spans="1:22" ht="36" customHeight="1" thickBot="1" x14ac:dyDescent="0.25">
      <c r="A22" s="48">
        <f>IF(ISBLANK(Distance Control_7),"",Control_7 Distance)</f>
        <v>294.8</v>
      </c>
      <c r="B22" s="49">
        <f>Control_7 Open_time</f>
        <v>44431.618750000001</v>
      </c>
      <c r="C22" s="49">
        <f>Control_7 Close_time</f>
        <v>44432.068749999999</v>
      </c>
      <c r="D22" s="50" t="str">
        <f>IF(ISBLANK(Locale Control_7),"",Locale Control_7)</f>
        <v>CUMBERLAND</v>
      </c>
      <c r="E22" s="42" t="str">
        <f>IF(ISBLANK(Control_7 Establishment_2),"",Control_7 Establishment_2)</f>
        <v>Directional sign by ambulance hall</v>
      </c>
      <c r="F22" s="42" t="str">
        <f>IF(ISBLANK('Control Entry'!J16),"",'Control Entry'!J16)</f>
        <v/>
      </c>
      <c r="G22" s="10"/>
      <c r="H22" s="35" t="s">
        <v>29</v>
      </c>
      <c r="J22" s="72" t="s">
        <v>46</v>
      </c>
      <c r="K22" s="72"/>
      <c r="L22" s="76"/>
      <c r="M22" s="76"/>
      <c r="N22" s="76"/>
      <c r="O22" s="25"/>
      <c r="P22" s="24" t="s">
        <v>1</v>
      </c>
      <c r="Q22" s="24"/>
      <c r="R22" s="25"/>
      <c r="S22" s="78"/>
      <c r="T22" s="78"/>
      <c r="U22" s="78"/>
    </row>
    <row r="23" spans="1:22" ht="36" customHeight="1" thickBot="1" x14ac:dyDescent="0.25">
      <c r="A23" s="43"/>
      <c r="B23" s="44">
        <f>Control_7 Open_time</f>
        <v>44431.618750000001</v>
      </c>
      <c r="C23" s="44">
        <f>Control_7 Close_time</f>
        <v>44432.068749999999</v>
      </c>
      <c r="D23" s="45"/>
      <c r="E23" s="46" t="str">
        <f>IF(ISBLANK(Control_7 Establishment_3),"",Control_7 Establishment_3)</f>
        <v/>
      </c>
      <c r="F23" s="46" t="str">
        <f>IF(ISBLANK('Control Entry'!K16),"",'Control Entry'!K16)</f>
        <v/>
      </c>
      <c r="G23" s="11"/>
      <c r="H23" s="35" t="s">
        <v>29</v>
      </c>
      <c r="J23" s="72"/>
      <c r="K23" s="72"/>
      <c r="L23" s="71"/>
      <c r="M23" s="71"/>
      <c r="N23" s="71"/>
      <c r="O23" s="29"/>
      <c r="P23" s="70"/>
      <c r="Q23" s="70"/>
      <c r="R23" s="29"/>
      <c r="S23" s="29"/>
      <c r="T23" s="29"/>
      <c r="U23" s="29"/>
      <c r="V23" s="36"/>
    </row>
    <row r="24" spans="1:22" ht="36" customHeight="1" thickBot="1" x14ac:dyDescent="0.25">
      <c r="A24" s="39"/>
      <c r="B24" s="40">
        <f>Control_8 Open_time</f>
        <v>44431.699305555558</v>
      </c>
      <c r="C24" s="40">
        <f>Control_8 Close_time</f>
        <v>44432.240972222222</v>
      </c>
      <c r="D24" s="47"/>
      <c r="E24" s="42" t="str">
        <f>IF(ISBLANK(Control_8 Establishment_1),"",Control_8 Establishment_1)</f>
        <v>Shell Gas</v>
      </c>
      <c r="F24" s="42" t="str">
        <f>IF(ISBLANK('Control Entry'!I17),"",'Control Entry'!I17)</f>
        <v>Yellow social distance sign</v>
      </c>
      <c r="G24" s="10"/>
      <c r="H24" s="35" t="s">
        <v>29</v>
      </c>
      <c r="J24" s="18"/>
      <c r="K24" s="18"/>
      <c r="L24" s="18"/>
      <c r="M24" s="26"/>
      <c r="N24" s="26"/>
      <c r="O24" s="25"/>
      <c r="P24" s="24" t="s">
        <v>2</v>
      </c>
      <c r="Q24" s="24"/>
      <c r="R24" s="25"/>
      <c r="S24" s="26"/>
      <c r="T24" s="26"/>
      <c r="U24" s="26"/>
    </row>
    <row r="25" spans="1:22" ht="36" customHeight="1" x14ac:dyDescent="0.2">
      <c r="A25" s="48">
        <f>IF(ISBLANK(Distance Control_8),"",Control_8 Distance)</f>
        <v>356.8</v>
      </c>
      <c r="B25" s="49">
        <f>Control_8 Open_time</f>
        <v>44431.699305555558</v>
      </c>
      <c r="C25" s="49">
        <f>Control_8 Close_time</f>
        <v>44432.240972222222</v>
      </c>
      <c r="D25" s="50" t="str">
        <f>IF(ISBLANK(Locale Control_8),"",Locale Control_8)</f>
        <v>QUALICUM BEACH</v>
      </c>
      <c r="E25" s="67" t="str">
        <f>IF(ISBLANK(Control_8 Establishment_2),"",Control_8 Establishment_2)</f>
        <v>Island Hwy @ Memorial Ave</v>
      </c>
      <c r="F25" s="42" t="str">
        <f>IF(ISBLANK('Control Entry'!J17),"",'Control Entry'!J17)</f>
        <v/>
      </c>
      <c r="G25" s="10"/>
      <c r="H25" s="35" t="s">
        <v>29</v>
      </c>
      <c r="J25" s="133" t="s">
        <v>17</v>
      </c>
      <c r="K25" s="133"/>
      <c r="L25" s="133"/>
      <c r="M25" s="133"/>
      <c r="N25" s="133"/>
      <c r="O25" s="63"/>
      <c r="P25" s="123"/>
      <c r="Q25" s="123"/>
      <c r="R25" s="63"/>
      <c r="S25" s="124"/>
      <c r="T25" s="124"/>
      <c r="U25" s="124"/>
      <c r="V25" s="124"/>
    </row>
    <row r="26" spans="1:22" ht="36" customHeight="1" thickBot="1" x14ac:dyDescent="0.25">
      <c r="A26" s="43"/>
      <c r="B26" s="44">
        <f>Control_8 Open_time</f>
        <v>44431.699305555558</v>
      </c>
      <c r="C26" s="44">
        <f>Control_8 Close_time</f>
        <v>44432.240972222222</v>
      </c>
      <c r="D26" s="45"/>
      <c r="E26" s="46" t="str">
        <f>IF(ISBLANK(Control_8 Establishment_3),"",Control_8 Establishment_3)</f>
        <v>Right door</v>
      </c>
      <c r="F26" s="46" t="str">
        <f>IF(ISBLANK('Control Entry'!K17),"",'Control Entry'!K17)</f>
        <v>Go __________?</v>
      </c>
      <c r="G26" s="11"/>
      <c r="H26" s="35" t="s">
        <v>29</v>
      </c>
    </row>
    <row r="27" spans="1:22" ht="36" customHeight="1" x14ac:dyDescent="0.2">
      <c r="A27" s="39"/>
      <c r="B27" s="40">
        <f>Control_9 Open_time</f>
        <v>44431.758333333331</v>
      </c>
      <c r="C27" s="40">
        <f>Control_9 Close_time</f>
        <v>44432.375</v>
      </c>
      <c r="D27" s="47"/>
      <c r="E27" s="42" t="str">
        <f>IF(ISBLANK(Control_9 Establishment_1),"",Control_9 Establishment_1)</f>
        <v>Tim Hortons</v>
      </c>
      <c r="F27" s="42" t="str">
        <f>IF(ISBLANK('Control Entry'!I18),"",'Control Entry'!I18)</f>
        <v>Self sign</v>
      </c>
      <c r="G27" s="10"/>
      <c r="H27" s="35" t="s">
        <v>29</v>
      </c>
      <c r="K27" s="131" t="s">
        <v>57</v>
      </c>
      <c r="L27" s="123"/>
      <c r="M27" s="62" t="s">
        <v>58</v>
      </c>
      <c r="N27" s="123" t="s">
        <v>50</v>
      </c>
      <c r="O27" s="123"/>
      <c r="P27" s="123" t="s">
        <v>51</v>
      </c>
      <c r="Q27" s="123"/>
      <c r="R27" s="63" t="s">
        <v>52</v>
      </c>
      <c r="S27" s="124" t="s">
        <v>53</v>
      </c>
      <c r="T27" s="124"/>
      <c r="U27" s="124" t="s">
        <v>54</v>
      </c>
      <c r="V27" s="124"/>
    </row>
    <row r="28" spans="1:22" ht="36" customHeight="1" x14ac:dyDescent="0.2">
      <c r="A28" s="48">
        <f>IF(ISBLANK(Distance Control_9),"",Control_9 Distance)</f>
        <v>402.2</v>
      </c>
      <c r="B28" s="49">
        <f>Control_9 Open_time</f>
        <v>44431.758333333331</v>
      </c>
      <c r="C28" s="49">
        <f>Control_9 Close_time</f>
        <v>44432.375</v>
      </c>
      <c r="D28" s="50" t="str">
        <f>IF(ISBLANK(Locale Control_9),"",Locale Control_9)</f>
        <v>NANAIMO</v>
      </c>
      <c r="E28" s="67" t="str">
        <f>IF(ISBLANK(Control_9 Establishment_2),"",Control_9 Establishment_2)</f>
        <v>Brooks Landing</v>
      </c>
      <c r="F28" s="42" t="str">
        <f>IF(ISBLANK('Control Entry'!J18),"",'Control Entry'!J18)</f>
        <v/>
      </c>
      <c r="G28" s="10"/>
      <c r="H28" s="35" t="s">
        <v>29</v>
      </c>
    </row>
    <row r="29" spans="1:22" ht="36" customHeight="1" thickBot="1" x14ac:dyDescent="0.25">
      <c r="A29" s="43"/>
      <c r="B29" s="44">
        <f>Control_9 Open_time</f>
        <v>44431.758333333331</v>
      </c>
      <c r="C29" s="44">
        <f>Control_9 Close_time</f>
        <v>44432.375</v>
      </c>
      <c r="D29" s="45"/>
      <c r="E29" s="115" t="str">
        <f>IF(ISBLANK(Control_9 Establishment_3),"",Control_9 Establishment_3)</f>
        <v>Island Hwy @ Departure Bay Rd</v>
      </c>
      <c r="F29" s="46" t="str">
        <f>IF(ISBLANK('Control Entry'!K18),"",'Control Entry'!K18)</f>
        <v/>
      </c>
      <c r="G29" s="11"/>
      <c r="H29" s="35" t="s">
        <v>29</v>
      </c>
      <c r="M29" s="122" t="s">
        <v>42</v>
      </c>
      <c r="N29" s="122"/>
      <c r="O29" s="122"/>
      <c r="P29" s="122"/>
      <c r="Q29" s="122"/>
      <c r="R29" s="122"/>
      <c r="S29" s="122"/>
      <c r="T29" s="122"/>
      <c r="U29" s="68"/>
    </row>
    <row r="30" spans="1:22" ht="36" customHeight="1" x14ac:dyDescent="0.2">
      <c r="A30" s="39"/>
      <c r="B30" s="40" t="str">
        <f>Control_10 Open_time</f>
        <v/>
      </c>
      <c r="C30" s="40" t="str">
        <f>Control_10 Close_time</f>
        <v/>
      </c>
      <c r="D30" s="47"/>
      <c r="E30" s="42" t="str">
        <f>IF(ISBLANK(Control_10 Establishment_1),"",Control_10 Establishment_1)</f>
        <v/>
      </c>
      <c r="F30" s="42" t="str">
        <f>IF(ISBLANK('Control Entry'!I19),"",'Control Entry'!I19)</f>
        <v/>
      </c>
      <c r="G30" s="10"/>
      <c r="H30" s="35" t="s">
        <v>29</v>
      </c>
      <c r="M30" s="19"/>
      <c r="N30" s="27"/>
      <c r="O30" s="27"/>
      <c r="P30" s="28"/>
      <c r="Q30" s="27"/>
      <c r="R30" s="27"/>
      <c r="S30" s="27"/>
      <c r="T30" s="28"/>
      <c r="U30" s="29"/>
    </row>
    <row r="31" spans="1:22" ht="36" customHeight="1" x14ac:dyDescent="0.2">
      <c r="A31" s="48" t="str">
        <f>IF(ISBLANK(Distance Control_10),"",Control_10 Distance)</f>
        <v/>
      </c>
      <c r="B31" s="49" t="str">
        <f>Control_10 Open_time</f>
        <v/>
      </c>
      <c r="C31" s="49" t="str">
        <f>Control_10 Close_time</f>
        <v/>
      </c>
      <c r="D31" s="50" t="str">
        <f>IF(ISBLANK(Locale Control_10),"",Locale Control_10)</f>
        <v/>
      </c>
      <c r="E31" s="42" t="str">
        <f>IF(ISBLANK(Control_10 Establishment_2),"",Control_10 Establishment_2)</f>
        <v/>
      </c>
      <c r="F31" s="42" t="str">
        <f>IF(ISBLANK('Control Entry'!J19),"",'Control Entry'!J19)</f>
        <v/>
      </c>
      <c r="G31" s="10"/>
      <c r="H31" s="35" t="s">
        <v>29</v>
      </c>
      <c r="M31" s="20"/>
      <c r="N31" s="29"/>
      <c r="O31" s="29"/>
      <c r="P31" s="30"/>
      <c r="Q31" s="29"/>
      <c r="R31" s="29"/>
      <c r="S31" s="29"/>
      <c r="T31" s="30"/>
      <c r="U31" s="29"/>
    </row>
    <row r="32" spans="1:22" ht="36" customHeight="1" thickBot="1" x14ac:dyDescent="0.25">
      <c r="A32" s="43"/>
      <c r="B32" s="44" t="str">
        <f>Control_10 Open_time</f>
        <v/>
      </c>
      <c r="C32" s="44" t="str">
        <f>Control_10 Close_time</f>
        <v/>
      </c>
      <c r="D32" s="45"/>
      <c r="E32" s="46" t="str">
        <f>IF(ISBLANK(Control_10 Establishment_3),"",Control_10 Establishment_3)</f>
        <v/>
      </c>
      <c r="F32" s="46" t="str">
        <f>IF(ISBLANK('Control Entry'!K19),"",'Control Entry'!K19)</f>
        <v/>
      </c>
      <c r="G32" s="11"/>
      <c r="H32" s="35" t="s">
        <v>29</v>
      </c>
      <c r="M32" s="66"/>
      <c r="N32" s="26"/>
      <c r="O32" s="26"/>
      <c r="P32" s="31"/>
      <c r="Q32" s="26"/>
      <c r="R32" s="26"/>
      <c r="S32" s="26"/>
      <c r="T32" s="31"/>
      <c r="U32" s="29"/>
    </row>
    <row r="33" spans="1:22" ht="36" customHeight="1" x14ac:dyDescent="0.2">
      <c r="A33" s="130" t="s">
        <v>43</v>
      </c>
      <c r="B33" s="130"/>
      <c r="C33" s="130"/>
      <c r="D33" s="130"/>
      <c r="E33" s="130"/>
      <c r="F33" s="130"/>
      <c r="G33" s="130"/>
      <c r="H33" s="51"/>
      <c r="I33" s="51"/>
      <c r="N33" s="125"/>
      <c r="O33" s="125"/>
      <c r="P33" s="125"/>
      <c r="Q33" s="125"/>
      <c r="R33" s="125"/>
      <c r="S33" s="125"/>
      <c r="T33" s="125"/>
      <c r="U33" s="125"/>
      <c r="V33" s="61"/>
    </row>
    <row r="34" spans="1:22" ht="36" customHeight="1" x14ac:dyDescent="0.2">
      <c r="A34"/>
      <c r="O34" s="59"/>
      <c r="P34" s="59"/>
      <c r="Q34" s="59"/>
      <c r="R34" s="58"/>
    </row>
    <row r="35" spans="1:22" ht="36" customHeight="1" x14ac:dyDescent="0.2">
      <c r="A35"/>
      <c r="N35" s="122"/>
      <c r="O35" s="122"/>
      <c r="P35" s="122"/>
      <c r="Q35" s="122"/>
      <c r="R35" s="122"/>
      <c r="S35" s="122"/>
      <c r="T35" s="122"/>
      <c r="U35" s="122"/>
    </row>
    <row r="36" spans="1:22" ht="36" customHeight="1" x14ac:dyDescent="0.15">
      <c r="A36"/>
      <c r="N36" s="36"/>
      <c r="O36" s="29"/>
      <c r="P36" s="29"/>
      <c r="Q36" s="29"/>
      <c r="R36" s="29"/>
      <c r="S36" s="29"/>
      <c r="T36" s="29"/>
      <c r="U36" s="29"/>
    </row>
    <row r="37" spans="1:22" ht="36" customHeight="1" x14ac:dyDescent="0.15">
      <c r="A37"/>
      <c r="N37" s="36"/>
      <c r="O37" s="29"/>
      <c r="P37" s="29"/>
      <c r="Q37" s="29"/>
      <c r="R37" s="29"/>
      <c r="S37" s="29"/>
      <c r="T37" s="29"/>
      <c r="U37" s="29"/>
    </row>
    <row r="38" spans="1:22" ht="36" customHeight="1" x14ac:dyDescent="0.2">
      <c r="A38"/>
      <c r="N38" s="69"/>
      <c r="O38" s="29"/>
      <c r="P38" s="29"/>
      <c r="Q38" s="29"/>
      <c r="R38" s="29"/>
      <c r="S38" s="29"/>
      <c r="T38" s="29"/>
      <c r="U38" s="29"/>
    </row>
    <row r="39" spans="1:22" ht="36" customHeight="1" x14ac:dyDescent="0.15">
      <c r="A39"/>
    </row>
    <row r="40" spans="1:22" ht="36" customHeight="1" x14ac:dyDescent="0.15">
      <c r="A40"/>
    </row>
  </sheetData>
  <mergeCells count="24">
    <mergeCell ref="R5:U5"/>
    <mergeCell ref="K2:U2"/>
    <mergeCell ref="L8:Q8"/>
    <mergeCell ref="A1:G1"/>
    <mergeCell ref="A33:G33"/>
    <mergeCell ref="M4:T4"/>
    <mergeCell ref="P25:Q25"/>
    <mergeCell ref="S25:T25"/>
    <mergeCell ref="U25:V25"/>
    <mergeCell ref="N5:O5"/>
    <mergeCell ref="K27:L27"/>
    <mergeCell ref="J25:N25"/>
    <mergeCell ref="O3:R3"/>
    <mergeCell ref="S20:U20"/>
    <mergeCell ref="L15:U15"/>
    <mergeCell ref="L6:U6"/>
    <mergeCell ref="T8:U8"/>
    <mergeCell ref="N35:U35"/>
    <mergeCell ref="M29:T29"/>
    <mergeCell ref="N27:O27"/>
    <mergeCell ref="P27:Q27"/>
    <mergeCell ref="S27:T27"/>
    <mergeCell ref="U27:V27"/>
    <mergeCell ref="N33:U33"/>
  </mergeCells>
  <phoneticPr fontId="16" type="noConversion"/>
  <pageMargins left="0.2" right="0.2" top="0.2" bottom="0.2" header="0.51" footer="0.51"/>
  <pageSetup scale="45" orientation="landscape" horizontalDpi="4294967292" verticalDpi="4294967292"/>
  <drawing r:id="rId1"/>
  <extLst>
    <ext xmlns:mx="http://schemas.microsoft.com/office/mac/excel/2008/main" uri="{64002731-A6B0-56B0-2670-7721B7C09600}">
      <mx:PLV Mode="0" OnePage="0" WScale="10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V40"/>
  <sheetViews>
    <sheetView showGridLines="0" zoomScale="92" zoomScaleNormal="92" zoomScalePageLayoutView="92" workbookViewId="0">
      <selection activeCell="I16" sqref="I16"/>
    </sheetView>
  </sheetViews>
  <sheetFormatPr baseColWidth="10" defaultColWidth="8.83203125" defaultRowHeight="13" x14ac:dyDescent="0.15"/>
  <cols>
    <col min="1" max="1" width="8.5" style="1" customWidth="1"/>
    <col min="2" max="2" width="11.5" customWidth="1"/>
    <col min="3" max="3" width="11.6640625" customWidth="1"/>
    <col min="4" max="4" width="18" customWidth="1"/>
    <col min="5" max="5" width="23.83203125" customWidth="1"/>
    <col min="6" max="6" width="42" customWidth="1"/>
    <col min="7" max="7" width="13.5" customWidth="1"/>
    <col min="8" max="8" width="8" style="36" customWidth="1"/>
    <col min="9" max="9" width="12" customWidth="1"/>
    <col min="18" max="19" width="8.83203125" customWidth="1"/>
  </cols>
  <sheetData>
    <row r="1" spans="1:22" ht="21" thickBot="1" x14ac:dyDescent="0.2">
      <c r="A1" s="129" t="s">
        <v>44</v>
      </c>
      <c r="B1" s="129"/>
      <c r="C1" s="129"/>
      <c r="D1" s="129"/>
      <c r="E1" s="129"/>
      <c r="F1" s="129"/>
      <c r="G1" s="129"/>
      <c r="H1" s="35" t="s">
        <v>29</v>
      </c>
    </row>
    <row r="2" spans="1:22" ht="33.75" customHeight="1" thickBot="1" x14ac:dyDescent="0.25">
      <c r="A2" s="100" t="s">
        <v>30</v>
      </c>
      <c r="B2" s="9" t="s">
        <v>3</v>
      </c>
      <c r="C2" s="9" t="s">
        <v>4</v>
      </c>
      <c r="D2" s="9" t="s">
        <v>25</v>
      </c>
      <c r="E2" s="9" t="s">
        <v>31</v>
      </c>
      <c r="F2" s="9" t="s">
        <v>60</v>
      </c>
      <c r="G2" s="100" t="s">
        <v>32</v>
      </c>
      <c r="H2" s="35" t="s">
        <v>29</v>
      </c>
      <c r="K2" s="127" t="s">
        <v>56</v>
      </c>
      <c r="L2" s="127"/>
      <c r="M2" s="127"/>
      <c r="N2" s="127"/>
      <c r="O2" s="127"/>
      <c r="P2" s="127"/>
      <c r="Q2" s="127"/>
      <c r="R2" s="127"/>
      <c r="S2" s="127"/>
      <c r="T2" s="127"/>
      <c r="U2" s="127"/>
    </row>
    <row r="3" spans="1:22" ht="36" customHeight="1" x14ac:dyDescent="0.45">
      <c r="A3" s="39"/>
      <c r="B3" s="40">
        <f>'Control Entry'!N23</f>
        <v>44431.25</v>
      </c>
      <c r="C3" s="40">
        <f>'Control Entry'!O23</f>
        <v>44431.291666666664</v>
      </c>
      <c r="D3" s="41"/>
      <c r="E3" s="42" t="str">
        <f>IF(ISBLANK('Control Entry'!F23),"",'Control Entry'!F23)</f>
        <v>Little River Bay</v>
      </c>
      <c r="F3" s="42" t="str">
        <f>IF(ISBLANK('Control Entry'!I23),"",'Control Entry'!I23)</f>
        <v>Restrictions signpost</v>
      </c>
      <c r="G3" s="10"/>
      <c r="H3" s="35" t="s">
        <v>29</v>
      </c>
      <c r="K3" s="16"/>
      <c r="N3" s="134" t="s">
        <v>78</v>
      </c>
      <c r="O3" s="134"/>
      <c r="P3" s="134"/>
      <c r="Q3" s="134"/>
      <c r="R3" s="134"/>
      <c r="S3" s="134"/>
      <c r="T3" s="52"/>
      <c r="U3" s="52"/>
    </row>
    <row r="4" spans="1:22" ht="36" customHeight="1" x14ac:dyDescent="0.2">
      <c r="A4" s="48">
        <f>IF(ISBLANK('Control Entry'!D23),"",'Control Entry'!D23)</f>
        <v>0</v>
      </c>
      <c r="B4" s="49">
        <f>'Control Entry'!N23</f>
        <v>44431.25</v>
      </c>
      <c r="C4" s="49">
        <f>'Control Entry'!O23</f>
        <v>44431.291666666664</v>
      </c>
      <c r="D4" s="50" t="str">
        <f>IF(ISBLANK('Control Entry'!E23),"",'Control Entry'!E23)</f>
        <v>COMOX</v>
      </c>
      <c r="E4" s="42" t="str">
        <f>IF(ISBLANK('Control Entry'!G23),"",'Control Entry'!G23)</f>
        <v>Beach Access</v>
      </c>
      <c r="F4" s="42" t="str">
        <f>IF(ISBLANK('Control Entry'!J23),"",'Control Entry'!J23)</f>
        <v/>
      </c>
      <c r="G4" s="10"/>
      <c r="H4" s="35" t="s">
        <v>29</v>
      </c>
      <c r="K4" s="16"/>
      <c r="M4" s="131" t="str">
        <f>IF(ISBLANK(brevet),"",brevet&amp;" km Randonnée")</f>
        <v>400 km Randonnée</v>
      </c>
      <c r="N4" s="131"/>
      <c r="O4" s="131"/>
      <c r="P4" s="131"/>
      <c r="Q4" s="131"/>
      <c r="R4" s="131"/>
      <c r="S4" s="131"/>
      <c r="T4" s="131"/>
      <c r="U4" s="53"/>
    </row>
    <row r="5" spans="1:22" ht="36" customHeight="1" thickBot="1" x14ac:dyDescent="0.25">
      <c r="A5" s="43"/>
      <c r="B5" s="44">
        <f>'Control Entry'!N23</f>
        <v>44431.25</v>
      </c>
      <c r="C5" s="44">
        <f>'Control Entry'!O23</f>
        <v>44431.291666666664</v>
      </c>
      <c r="D5" s="45"/>
      <c r="E5" s="46" t="str">
        <f>IF(ISBLANK('Control Entry'!H23),"",'Control Entry'!H23)</f>
        <v>(end of road)</v>
      </c>
      <c r="F5" s="46" t="str">
        <f>IF(ISBLANK('Control Entry'!K23),"",'Control Entry'!K23)</f>
        <v>___________________parking?</v>
      </c>
      <c r="G5" s="11"/>
      <c r="H5" s="35" t="s">
        <v>29</v>
      </c>
      <c r="K5" s="16"/>
      <c r="M5" s="17"/>
      <c r="N5" s="132" t="s">
        <v>48</v>
      </c>
      <c r="O5" s="132"/>
      <c r="P5" s="81">
        <f>IF(ISBLANK(Brevet_Number),"",Brevet_Number)</f>
        <v>5100</v>
      </c>
      <c r="Q5" s="82"/>
      <c r="R5" s="126">
        <f>IF(ISBLANK('Control Entry'!$B5),"",'Control Entry'!$B5)</f>
        <v>44431</v>
      </c>
      <c r="S5" s="126"/>
      <c r="T5" s="126"/>
      <c r="U5" s="126"/>
      <c r="V5" s="54"/>
    </row>
    <row r="6" spans="1:22" ht="36" customHeight="1" x14ac:dyDescent="0.2">
      <c r="A6" s="39"/>
      <c r="B6" s="40">
        <f>'Control Entry'!N24</f>
        <v>44431.305555555555</v>
      </c>
      <c r="C6" s="40">
        <f>'Control Entry'!O24</f>
        <v>44431.376388888886</v>
      </c>
      <c r="D6" s="47"/>
      <c r="E6" s="42" t="str">
        <f>IF(ISBLANK('Control Entry'!F24),"",'Control Entry'!F24)</f>
        <v>50th Parallel Marker</v>
      </c>
      <c r="F6" s="42" t="str">
        <f>IF(ISBLANK('Control Entry'!I24),"",'Control Entry'!I24)</f>
        <v>Small blue sign 10 metres south</v>
      </c>
      <c r="G6" s="10"/>
      <c r="H6" s="35" t="s">
        <v>29</v>
      </c>
      <c r="K6" s="16"/>
      <c r="L6" s="137" t="str">
        <f>IF(ISBLANK(Brevet_Description),"",Brevet_Description)</f>
        <v>Parallels with Latitude</v>
      </c>
      <c r="M6" s="137"/>
      <c r="N6" s="137"/>
      <c r="O6" s="137"/>
      <c r="P6" s="137"/>
      <c r="Q6" s="137"/>
      <c r="R6" s="137"/>
      <c r="S6" s="137"/>
      <c r="T6" s="137"/>
      <c r="U6" s="137"/>
    </row>
    <row r="7" spans="1:22" ht="36" customHeight="1" x14ac:dyDescent="0.2">
      <c r="A7" s="48">
        <f>IF(ISBLANK('Control Entry'!D24),"",'Control Entry'!D24)</f>
        <v>45.400000000000006</v>
      </c>
      <c r="B7" s="49">
        <f>'Control Entry'!N24</f>
        <v>44431.305555555555</v>
      </c>
      <c r="C7" s="49">
        <f>'Control Entry'!O24</f>
        <v>44431.376388888886</v>
      </c>
      <c r="D7" s="50" t="str">
        <f>IF(ISBLANK('Control Entry'!E24),"",'Control Entry'!E24)</f>
        <v>CAMPBELL RIVER</v>
      </c>
      <c r="E7" s="42" t="str">
        <f>IF(ISBLANK('Control Entry'!G24),"",'Control Entry'!G24)</f>
        <v>Seawalk</v>
      </c>
      <c r="F7" s="42" t="str">
        <f>IF(ISBLANK('Control Entry'!J24),"",'Control Entry'!J24)</f>
        <v/>
      </c>
      <c r="G7" s="10"/>
      <c r="H7" s="35" t="s">
        <v>29</v>
      </c>
    </row>
    <row r="8" spans="1:22" ht="36" customHeight="1" thickBot="1" x14ac:dyDescent="0.25">
      <c r="A8" s="43"/>
      <c r="B8" s="44">
        <f>'Control Entry'!N24</f>
        <v>44431.305555555555</v>
      </c>
      <c r="C8" s="44">
        <f>'Control Entry'!O24</f>
        <v>44431.376388888886</v>
      </c>
      <c r="D8" s="45"/>
      <c r="E8" s="46" t="str">
        <f>IF(ISBLANK('Control Entry'!H24),"",'Control Entry'!H24)</f>
        <v>(Island Hwy 19A)</v>
      </c>
      <c r="F8" s="46" t="str">
        <f>IF(ISBLANK('Control Entry'!K24),"",'Control Entry'!K24)</f>
        <v>50th Parallel on this___________?</v>
      </c>
      <c r="G8" s="11"/>
      <c r="H8" s="35" t="s">
        <v>29</v>
      </c>
      <c r="J8" s="17" t="s">
        <v>34</v>
      </c>
      <c r="L8" s="128"/>
      <c r="M8" s="128"/>
      <c r="N8" s="128"/>
      <c r="O8" s="128"/>
      <c r="P8" s="128"/>
      <c r="Q8" s="128"/>
      <c r="R8" s="36"/>
      <c r="S8" s="55" t="s">
        <v>47</v>
      </c>
      <c r="T8" s="121"/>
      <c r="U8" s="121"/>
    </row>
    <row r="9" spans="1:22" ht="36" customHeight="1" thickBot="1" x14ac:dyDescent="0.3">
      <c r="A9" s="39"/>
      <c r="B9" s="40">
        <f>'Control Entry'!N25</f>
        <v>44431.361805555556</v>
      </c>
      <c r="C9" s="40">
        <f>'Control Entry'!O25</f>
        <v>44431.50277777778</v>
      </c>
      <c r="D9" s="47"/>
      <c r="E9" s="42" t="str">
        <f>IF(ISBLANK('Control Entry'!F25),"",'Control Entry'!F25)</f>
        <v>Greaves Cr @ Piercy Rd</v>
      </c>
      <c r="F9" s="42" t="str">
        <f>IF(ISBLANK('Control Entry'!I25),"",'Control Entry'!I25)</f>
        <v>Number at bottom left ?</v>
      </c>
      <c r="G9" s="10"/>
      <c r="H9" s="35" t="s">
        <v>29</v>
      </c>
      <c r="J9" s="17" t="s">
        <v>35</v>
      </c>
      <c r="K9" s="17"/>
      <c r="L9" s="65" t="s">
        <v>55</v>
      </c>
      <c r="M9" s="23"/>
      <c r="N9" s="23"/>
      <c r="O9" s="23"/>
      <c r="P9" s="23"/>
      <c r="Q9" s="23"/>
      <c r="R9" s="23"/>
      <c r="S9" s="23"/>
      <c r="T9" s="23"/>
      <c r="U9" s="21"/>
    </row>
    <row r="10" spans="1:22" ht="36" customHeight="1" thickBot="1" x14ac:dyDescent="0.3">
      <c r="A10" s="48">
        <f>IF(ISBLANK('Control Entry'!D25),"",'Control Entry'!D25)</f>
        <v>91.100000000000023</v>
      </c>
      <c r="B10" s="49">
        <f>'Control Entry'!N25</f>
        <v>44431.361805555556</v>
      </c>
      <c r="C10" s="49">
        <f>'Control Entry'!O25</f>
        <v>44431.50277777778</v>
      </c>
      <c r="D10" s="50" t="str">
        <f>IF(ISBLANK('Control Entry'!E25),"",'Control Entry'!E25)</f>
        <v>COURTENAY</v>
      </c>
      <c r="E10" s="42" t="str">
        <f>IF(ISBLANK('Control Entry'!G25),"",'Control Entry'!G25)</f>
        <v>Mailboxes</v>
      </c>
      <c r="F10" s="42" t="str">
        <f>IF(ISBLANK('Control Entry'!J25),"",'Control Entry'!J25)</f>
        <v/>
      </c>
      <c r="G10" s="10"/>
      <c r="H10" s="35" t="s">
        <v>29</v>
      </c>
      <c r="J10" s="17"/>
      <c r="K10" s="17"/>
      <c r="L10" s="37"/>
      <c r="M10" s="23"/>
      <c r="N10" s="23"/>
      <c r="O10" s="23"/>
      <c r="P10" s="23"/>
      <c r="Q10" s="23"/>
      <c r="R10" s="23"/>
      <c r="S10" s="23"/>
      <c r="T10" s="23"/>
      <c r="U10" s="21"/>
    </row>
    <row r="11" spans="1:22" ht="36" customHeight="1" thickBot="1" x14ac:dyDescent="0.3">
      <c r="A11" s="43"/>
      <c r="B11" s="44">
        <f>'Control Entry'!N25</f>
        <v>44431.361805555556</v>
      </c>
      <c r="C11" s="44">
        <f>'Control Entry'!O25</f>
        <v>44431.50277777778</v>
      </c>
      <c r="D11" s="45"/>
      <c r="E11" s="46" t="str">
        <f>IF(ISBLANK('Control Entry'!H25),"",'Control Entry'!H25)</f>
        <v>Superbox 1</v>
      </c>
      <c r="F11" s="46" t="str">
        <f>IF(ISBLANK('Control Entry'!K25),"",'Control Entry'!K25)</f>
        <v/>
      </c>
      <c r="G11" s="11"/>
      <c r="H11" s="35" t="s">
        <v>29</v>
      </c>
      <c r="J11" s="17" t="s">
        <v>36</v>
      </c>
      <c r="K11" s="17"/>
      <c r="L11" s="37"/>
      <c r="M11" s="23"/>
      <c r="N11" s="23"/>
      <c r="O11" s="24"/>
      <c r="P11" s="24" t="s">
        <v>37</v>
      </c>
      <c r="Q11" s="24"/>
      <c r="R11" s="24"/>
      <c r="S11" s="57"/>
      <c r="T11" s="37"/>
      <c r="U11" s="21"/>
    </row>
    <row r="12" spans="1:22" ht="36" customHeight="1" thickBot="1" x14ac:dyDescent="0.3">
      <c r="A12" s="39"/>
      <c r="B12" s="40">
        <f>'Control Entry'!N26</f>
        <v>44431.379861111112</v>
      </c>
      <c r="C12" s="40">
        <f>'Control Entry'!O26</f>
        <v>44431.543749999997</v>
      </c>
      <c r="D12" s="47"/>
      <c r="E12" s="42" t="str">
        <f>IF(ISBLANK('Control Entry'!F26),"",'Control Entry'!F26)</f>
        <v>4th St @ Dunsmuir Ave</v>
      </c>
      <c r="F12" s="42" t="str">
        <f>IF(ISBLANK('Control Entry'!I26),"",'Control Entry'!I26)</f>
        <v>How far to Museum?</v>
      </c>
      <c r="G12" s="10"/>
      <c r="H12" s="35" t="s">
        <v>29</v>
      </c>
      <c r="J12" s="17" t="s">
        <v>38</v>
      </c>
      <c r="K12" s="17"/>
      <c r="L12" s="37"/>
      <c r="M12" s="23"/>
      <c r="N12" s="23"/>
      <c r="O12" s="24"/>
      <c r="P12" s="24" t="s">
        <v>39</v>
      </c>
      <c r="Q12" s="24"/>
      <c r="R12" s="24"/>
      <c r="S12" s="57"/>
      <c r="T12" s="37"/>
      <c r="U12" s="21"/>
    </row>
    <row r="13" spans="1:22" ht="36" customHeight="1" thickBot="1" x14ac:dyDescent="0.3">
      <c r="A13" s="48">
        <f>IF(ISBLANK('Control Entry'!D26),"",'Control Entry'!D26)</f>
        <v>105.80000000000001</v>
      </c>
      <c r="B13" s="49">
        <f>'Control Entry'!N26</f>
        <v>44431.379861111112</v>
      </c>
      <c r="C13" s="49">
        <f>'Control Entry'!O26</f>
        <v>44431.543749999997</v>
      </c>
      <c r="D13" s="50" t="str">
        <f>IF(ISBLANK('Control Entry'!E26),"",'Control Entry'!E26)</f>
        <v>CUMBERLAND</v>
      </c>
      <c r="E13" s="42" t="str">
        <f>IF(ISBLANK('Control Entry'!G26),"",'Control Entry'!G26)</f>
        <v>Directional sign by ambulance hall</v>
      </c>
      <c r="F13" s="42" t="str">
        <f>IF(ISBLANK('Control Entry'!J26),"",'Control Entry'!J26)</f>
        <v/>
      </c>
      <c r="G13" s="10"/>
      <c r="H13" s="35" t="s">
        <v>29</v>
      </c>
      <c r="J13" s="17" t="s">
        <v>40</v>
      </c>
      <c r="L13" s="79"/>
      <c r="M13" s="80"/>
      <c r="N13" s="80"/>
      <c r="O13" s="25"/>
      <c r="P13" s="24" t="s">
        <v>41</v>
      </c>
      <c r="Q13" s="24"/>
      <c r="R13" s="38"/>
      <c r="S13" s="26"/>
      <c r="T13" s="26"/>
      <c r="U13" s="22"/>
    </row>
    <row r="14" spans="1:22" ht="36" customHeight="1" thickBot="1" x14ac:dyDescent="0.25">
      <c r="A14" s="43"/>
      <c r="B14" s="44">
        <f>'Control Entry'!N26</f>
        <v>44431.379861111112</v>
      </c>
      <c r="C14" s="44">
        <f>'Control Entry'!O26</f>
        <v>44431.543749999997</v>
      </c>
      <c r="D14" s="45"/>
      <c r="E14" s="46" t="str">
        <f>IF(ISBLANK('Control Entry'!H26),"",'Control Entry'!H26)</f>
        <v/>
      </c>
      <c r="F14" s="46" t="str">
        <f>IF(ISBLANK('Control Entry'!K26),"",'Control Entry'!K26)</f>
        <v/>
      </c>
      <c r="G14" s="11"/>
      <c r="H14" s="35" t="s">
        <v>29</v>
      </c>
    </row>
    <row r="15" spans="1:22" ht="36" customHeight="1" x14ac:dyDescent="0.2">
      <c r="A15" s="39"/>
      <c r="B15" s="40">
        <f>'Control Entry'!N27</f>
        <v>44431.455555555556</v>
      </c>
      <c r="C15" s="40">
        <f>'Control Entry'!O27</f>
        <v>44431.71597222222</v>
      </c>
      <c r="D15" s="47"/>
      <c r="E15" s="42" t="str">
        <f>IF(ISBLANK('Control Entry'!F27),"",'Control Entry'!F27)</f>
        <v>Shell Gas</v>
      </c>
      <c r="F15" s="42" t="str">
        <f>IF(ISBLANK('Control Entry'!I27),"",'Control Entry'!I27)</f>
        <v>Yellow social distance sign</v>
      </c>
      <c r="G15" s="10"/>
      <c r="H15" s="35" t="s">
        <v>29</v>
      </c>
      <c r="J15" s="17"/>
      <c r="L15" s="136" t="s">
        <v>59</v>
      </c>
      <c r="M15" s="136"/>
      <c r="N15" s="136"/>
      <c r="O15" s="136"/>
      <c r="P15" s="136"/>
      <c r="Q15" s="136"/>
      <c r="R15" s="136"/>
      <c r="S15" s="136"/>
      <c r="T15" s="136"/>
      <c r="U15" s="136"/>
    </row>
    <row r="16" spans="1:22" ht="36" customHeight="1" thickBot="1" x14ac:dyDescent="0.25">
      <c r="A16" s="48">
        <f>IF(ISBLANK('Control Entry'!D27),"",'Control Entry'!D27)</f>
        <v>167.8</v>
      </c>
      <c r="B16" s="49">
        <f>'Control Entry'!N27</f>
        <v>44431.455555555556</v>
      </c>
      <c r="C16" s="49">
        <f>'Control Entry'!O27</f>
        <v>44431.71597222222</v>
      </c>
      <c r="D16" s="50" t="str">
        <f>IF(ISBLANK('Control Entry'!E27),"",'Control Entry'!E27)</f>
        <v>QUALICUM BEACH</v>
      </c>
      <c r="E16" s="42" t="str">
        <f>IF(ISBLANK('Control Entry'!G27),"",'Control Entry'!G27)</f>
        <v>Island Hwy @ Memorial Ave</v>
      </c>
      <c r="F16" s="42" t="str">
        <f>IF(ISBLANK('Control Entry'!J27),"",'Control Entry'!J27)</f>
        <v/>
      </c>
      <c r="G16" s="10"/>
      <c r="H16" s="35" t="s">
        <v>29</v>
      </c>
      <c r="L16" s="74"/>
      <c r="M16" s="74"/>
      <c r="N16" s="74"/>
      <c r="O16" s="74"/>
      <c r="P16" s="74"/>
      <c r="Q16" s="75"/>
      <c r="R16" s="75"/>
      <c r="S16" s="75"/>
      <c r="T16" s="75"/>
      <c r="U16" s="75"/>
    </row>
    <row r="17" spans="1:22" ht="36" customHeight="1" thickBot="1" x14ac:dyDescent="0.25">
      <c r="A17" s="43"/>
      <c r="B17" s="44">
        <f>'Control Entry'!N27</f>
        <v>44431.455555555556</v>
      </c>
      <c r="C17" s="44">
        <f>'Control Entry'!O27</f>
        <v>44431.71597222222</v>
      </c>
      <c r="D17" s="45"/>
      <c r="E17" s="46" t="str">
        <f>IF(ISBLANK('Control Entry'!H27),"",'Control Entry'!H27)</f>
        <v>Right door</v>
      </c>
      <c r="F17" s="46" t="str">
        <f>IF(ISBLANK('Control Entry'!K27),"",'Control Entry'!K27)</f>
        <v>Go __________?</v>
      </c>
      <c r="G17" s="11"/>
      <c r="H17" s="35" t="s">
        <v>29</v>
      </c>
    </row>
    <row r="18" spans="1:22" ht="36" customHeight="1" x14ac:dyDescent="0.2">
      <c r="A18" s="39"/>
      <c r="B18" s="40">
        <f>'Control Entry'!N28</f>
        <v>44431.512499999997</v>
      </c>
      <c r="C18" s="40">
        <f>'Control Entry'!O28</f>
        <v>44431.842361111114</v>
      </c>
      <c r="D18" s="47"/>
      <c r="E18" s="42" t="str">
        <f>IF(ISBLANK('Control Entry'!F28),"",'Control Entry'!F28)</f>
        <v>Tim Hortons</v>
      </c>
      <c r="F18" s="42" t="str">
        <f>IF(ISBLANK('Control Entry'!I28),"",'Control Entry'!I28)</f>
        <v>Bike rack across entrance</v>
      </c>
      <c r="G18" s="10"/>
      <c r="H18" s="35" t="s">
        <v>29</v>
      </c>
    </row>
    <row r="19" spans="1:22" ht="36" customHeight="1" x14ac:dyDescent="0.2">
      <c r="A19" s="48">
        <f>IF(ISBLANK('Control Entry'!D28),"",'Control Entry'!D28)</f>
        <v>213.2</v>
      </c>
      <c r="B19" s="49">
        <f>'Control Entry'!N28</f>
        <v>44431.512499999997</v>
      </c>
      <c r="C19" s="49">
        <f>'Control Entry'!O28</f>
        <v>44431.842361111114</v>
      </c>
      <c r="D19" s="50" t="str">
        <f>IF(ISBLANK('Control Entry'!E28),"",'Control Entry'!E28)</f>
        <v>NANAIMO</v>
      </c>
      <c r="E19" s="42" t="str">
        <f>IF(ISBLANK('Control Entry'!G28),"",'Control Entry'!G28)</f>
        <v>Brooks Landing</v>
      </c>
      <c r="F19" s="42" t="str">
        <f>IF(ISBLANK('Control Entry'!J28),"",'Control Entry'!J28)</f>
        <v>Serial number?</v>
      </c>
      <c r="G19" s="10"/>
      <c r="H19" s="35" t="s">
        <v>29</v>
      </c>
    </row>
    <row r="20" spans="1:22" ht="36" customHeight="1" thickBot="1" x14ac:dyDescent="0.25">
      <c r="A20" s="43"/>
      <c r="B20" s="44">
        <f>'Control Entry'!N28</f>
        <v>44431.512499999997</v>
      </c>
      <c r="C20" s="44">
        <f>'Control Entry'!O28</f>
        <v>44431.842361111114</v>
      </c>
      <c r="D20" s="45"/>
      <c r="E20" s="46" t="str">
        <f>IF(ISBLANK('Control Entry'!H28),"",'Control Entry'!H28)</f>
        <v>Island Hwy @ Departure Bay Rd</v>
      </c>
      <c r="F20" s="46" t="str">
        <f>IF(ISBLANK('Control Entry'!K28),"",'Control Entry'!K28)</f>
        <v>230.11-________________</v>
      </c>
      <c r="G20" s="11"/>
      <c r="H20" s="35" t="s">
        <v>29</v>
      </c>
      <c r="J20" s="73" t="s">
        <v>45</v>
      </c>
      <c r="K20" s="73"/>
      <c r="L20" s="76"/>
      <c r="M20" s="76"/>
      <c r="N20" s="76"/>
      <c r="P20" s="24" t="s">
        <v>0</v>
      </c>
      <c r="Q20" s="24"/>
      <c r="S20" s="135">
        <f>'Control Entry'!B8</f>
        <v>0.25</v>
      </c>
      <c r="T20" s="135"/>
      <c r="U20" s="135"/>
    </row>
    <row r="21" spans="1:22" ht="36" customHeight="1" x14ac:dyDescent="0.2">
      <c r="A21" s="39"/>
      <c r="B21" s="40">
        <f>'Control Entry'!N29</f>
        <v>44431.550694444442</v>
      </c>
      <c r="C21" s="40">
        <f>'Control Entry'!O29</f>
        <v>44431.924305555556</v>
      </c>
      <c r="D21" s="47"/>
      <c r="E21" s="42" t="str">
        <f>IF(ISBLANK('Control Entry'!F29),"",'Control Entry'!F29)</f>
        <v>Aggie Hall</v>
      </c>
      <c r="F21" s="42" t="str">
        <f>IF(ISBLANK('Control Entry'!I29),"",'Control Entry'!I29)</f>
        <v>Green 49th Parallel sign</v>
      </c>
      <c r="G21" s="10"/>
      <c r="H21" s="35" t="s">
        <v>29</v>
      </c>
      <c r="J21" s="73"/>
      <c r="K21" s="73"/>
      <c r="L21" s="71"/>
      <c r="M21" s="71"/>
      <c r="N21" s="71"/>
      <c r="P21" s="24"/>
      <c r="Q21" s="24"/>
      <c r="R21" s="29"/>
      <c r="S21" s="77"/>
      <c r="T21" s="77"/>
      <c r="U21" s="77"/>
      <c r="V21" s="36"/>
    </row>
    <row r="22" spans="1:22" ht="36" customHeight="1" thickBot="1" x14ac:dyDescent="0.25">
      <c r="A22" s="48">
        <f>IF(ISBLANK('Control Entry'!D29),"",'Control Entry'!D29)</f>
        <v>242.79999999999998</v>
      </c>
      <c r="B22" s="49">
        <f>'Control Entry'!N29</f>
        <v>44431.550694444442</v>
      </c>
      <c r="C22" s="49">
        <f>'Control Entry'!O29</f>
        <v>44431.924305555556</v>
      </c>
      <c r="D22" s="50" t="str">
        <f>IF(ISBLANK('Control Entry'!E29),"",'Control Entry'!E29)</f>
        <v>LADYSMITH</v>
      </c>
      <c r="E22" s="42" t="str">
        <f>IF(ISBLANK('Control Entry'!G29),"",'Control Entry'!G29)</f>
        <v>Plaza by tractor</v>
      </c>
      <c r="F22" s="42" t="str">
        <f>IF(ISBLANK('Control Entry'!J29),"",'Control Entry'!J29)</f>
        <v/>
      </c>
      <c r="G22" s="10"/>
      <c r="H22" s="35" t="s">
        <v>29</v>
      </c>
      <c r="J22" s="113" t="s">
        <v>46</v>
      </c>
      <c r="K22" s="113"/>
      <c r="L22" s="76"/>
      <c r="M22" s="76"/>
      <c r="N22" s="76"/>
      <c r="O22" s="25"/>
      <c r="P22" s="24" t="s">
        <v>1</v>
      </c>
      <c r="Q22" s="24"/>
      <c r="R22" s="25"/>
      <c r="S22" s="78"/>
      <c r="T22" s="78"/>
      <c r="U22" s="78"/>
    </row>
    <row r="23" spans="1:22" ht="36" customHeight="1" thickBot="1" x14ac:dyDescent="0.25">
      <c r="A23" s="43"/>
      <c r="B23" s="44">
        <f>'Control Entry'!N29</f>
        <v>44431.550694444442</v>
      </c>
      <c r="C23" s="44">
        <f>'Control Entry'!O29</f>
        <v>44431.924305555556</v>
      </c>
      <c r="D23" s="45"/>
      <c r="E23" s="46" t="str">
        <f>IF(ISBLANK('Control Entry'!H29),"",'Control Entry'!H29)</f>
        <v>1st Ave @ Symonds St</v>
      </c>
      <c r="F23" s="46" t="str">
        <f>IF(ISBLANK('Control Entry'!K29),"",'Control Entry'!K29)</f>
        <v>The __________treaty of 1846?</v>
      </c>
      <c r="G23" s="11"/>
      <c r="H23" s="35" t="s">
        <v>29</v>
      </c>
      <c r="J23" s="113"/>
      <c r="K23" s="113"/>
      <c r="L23" s="71"/>
      <c r="M23" s="71"/>
      <c r="N23" s="71"/>
      <c r="O23" s="29"/>
      <c r="P23" s="70"/>
      <c r="Q23" s="70"/>
      <c r="R23" s="29"/>
      <c r="S23" s="29"/>
      <c r="T23" s="29"/>
      <c r="U23" s="29"/>
      <c r="V23" s="36"/>
    </row>
    <row r="24" spans="1:22" ht="36" customHeight="1" thickBot="1" x14ac:dyDescent="0.25">
      <c r="A24" s="39"/>
      <c r="B24" s="40">
        <f>'Control Entry'!N30</f>
        <v>44431.628472222219</v>
      </c>
      <c r="C24" s="40">
        <f>'Control Entry'!O30</f>
        <v>44432.089583333334</v>
      </c>
      <c r="D24" s="47"/>
      <c r="E24" s="42" t="str">
        <f>IF(ISBLANK('Control Entry'!F30),"",'Control Entry'!F30)</f>
        <v>Beachcomber</v>
      </c>
      <c r="F24" s="42" t="str">
        <f>IF(ISBLANK('Control Entry'!I30),"",'Control Entry'!I30)</f>
        <v>List ONE of the native plant species photos</v>
      </c>
      <c r="G24" s="10"/>
      <c r="H24" s="35" t="s">
        <v>29</v>
      </c>
      <c r="J24" s="18"/>
      <c r="K24" s="18"/>
      <c r="L24" s="18"/>
      <c r="M24" s="26"/>
      <c r="N24" s="26"/>
      <c r="O24" s="25"/>
      <c r="P24" s="24" t="s">
        <v>2</v>
      </c>
      <c r="Q24" s="24"/>
      <c r="R24" s="25"/>
      <c r="S24" s="26"/>
      <c r="T24" s="26"/>
      <c r="U24" s="26"/>
    </row>
    <row r="25" spans="1:22" ht="36" customHeight="1" x14ac:dyDescent="0.2">
      <c r="A25" s="48">
        <f>IF(ISBLANK('Control Entry'!D30),"",'Control Entry'!D30)</f>
        <v>302.2</v>
      </c>
      <c r="B25" s="49">
        <f>'Control Entry'!N30</f>
        <v>44431.628472222219</v>
      </c>
      <c r="C25" s="49">
        <f>'Control Entry'!O30</f>
        <v>44432.089583333334</v>
      </c>
      <c r="D25" s="50" t="str">
        <f>IF(ISBLANK('Control Entry'!E30),"",'Control Entry'!E30)</f>
        <v>NANOOSE</v>
      </c>
      <c r="E25" s="42" t="str">
        <f>IF(ISBLANK('Control Entry'!G30),"",'Control Entry'!G30)</f>
        <v>Regional Park</v>
      </c>
      <c r="F25" s="42" t="str">
        <f>IF(ISBLANK('Control Entry'!J30),"",'Control Entry'!J30)</f>
        <v/>
      </c>
      <c r="G25" s="10"/>
      <c r="H25" s="35" t="s">
        <v>29</v>
      </c>
      <c r="J25" s="133" t="s">
        <v>17</v>
      </c>
      <c r="K25" s="133"/>
      <c r="L25" s="133"/>
      <c r="M25" s="133"/>
      <c r="N25" s="133"/>
      <c r="O25" s="63"/>
      <c r="P25" s="123"/>
      <c r="Q25" s="123"/>
      <c r="R25" s="63"/>
      <c r="S25" s="124"/>
      <c r="T25" s="124"/>
      <c r="U25" s="124"/>
      <c r="V25" s="124"/>
    </row>
    <row r="26" spans="1:22" ht="36" customHeight="1" thickBot="1" x14ac:dyDescent="0.25">
      <c r="A26" s="43"/>
      <c r="B26" s="44">
        <f>'Control Entry'!N30</f>
        <v>44431.628472222219</v>
      </c>
      <c r="C26" s="44">
        <f>'Control Entry'!O30</f>
        <v>44432.089583333334</v>
      </c>
      <c r="D26" s="45"/>
      <c r="E26" s="46" t="str">
        <f>IF(ISBLANK('Control Entry'!H30),"",'Control Entry'!H30)</f>
        <v>Info sign @ 1326 Marina</v>
      </c>
      <c r="F26" s="46" t="str">
        <f>IF(ISBLANK('Control Entry'!K30),"",'Control Entry'!K30)</f>
        <v/>
      </c>
      <c r="G26" s="11"/>
      <c r="H26" s="35" t="s">
        <v>29</v>
      </c>
    </row>
    <row r="27" spans="1:22" ht="36" customHeight="1" x14ac:dyDescent="0.2">
      <c r="A27" s="39"/>
      <c r="B27" s="40">
        <f>'Control Entry'!N31</f>
        <v>44431.758333333331</v>
      </c>
      <c r="C27" s="40">
        <f>'Control Entry'!O31</f>
        <v>44432.375</v>
      </c>
      <c r="D27" s="47"/>
      <c r="E27" s="42" t="str">
        <f>IF(ISBLANK('Control Entry'!F31),"",'Control Entry'!F31)</f>
        <v>Little River Bay</v>
      </c>
      <c r="F27" s="42" t="str">
        <f>IF(ISBLANK('Control Entry'!I31),"",'Control Entry'!I31)</f>
        <v>Self sign</v>
      </c>
      <c r="G27" s="10"/>
      <c r="H27" s="35" t="s">
        <v>29</v>
      </c>
      <c r="K27" s="131" t="s">
        <v>57</v>
      </c>
      <c r="L27" s="123"/>
      <c r="M27" s="62" t="s">
        <v>58</v>
      </c>
      <c r="N27" s="123" t="s">
        <v>50</v>
      </c>
      <c r="O27" s="123"/>
      <c r="P27" s="123" t="s">
        <v>51</v>
      </c>
      <c r="Q27" s="123"/>
      <c r="R27" s="63" t="s">
        <v>52</v>
      </c>
      <c r="S27" s="124" t="s">
        <v>53</v>
      </c>
      <c r="T27" s="124"/>
      <c r="U27" s="124" t="s">
        <v>54</v>
      </c>
      <c r="V27" s="124"/>
    </row>
    <row r="28" spans="1:22" ht="36" customHeight="1" x14ac:dyDescent="0.2">
      <c r="A28" s="48">
        <f>IF(ISBLANK('Control Entry'!D31),"",'Control Entry'!D31)</f>
        <v>402.2</v>
      </c>
      <c r="B28" s="49">
        <f>'Control Entry'!N31</f>
        <v>44431.758333333331</v>
      </c>
      <c r="C28" s="49">
        <f>'Control Entry'!O31</f>
        <v>44432.375</v>
      </c>
      <c r="D28" s="50" t="str">
        <f>IF(ISBLANK('Control Entry'!E31),"",'Control Entry'!E31)</f>
        <v>COMOX</v>
      </c>
      <c r="E28" s="42" t="str">
        <f>IF(ISBLANK('Control Entry'!G31),"",'Control Entry'!G31)</f>
        <v>Beach Access</v>
      </c>
      <c r="F28" s="42" t="str">
        <f>IF(ISBLANK('Control Entry'!J31),"",'Control Entry'!J31)</f>
        <v/>
      </c>
      <c r="G28" s="10"/>
      <c r="H28" s="35" t="s">
        <v>29</v>
      </c>
    </row>
    <row r="29" spans="1:22" ht="36" customHeight="1" thickBot="1" x14ac:dyDescent="0.25">
      <c r="A29" s="43"/>
      <c r="B29" s="44">
        <f>'Control Entry'!N31</f>
        <v>44431.758333333331</v>
      </c>
      <c r="C29" s="44">
        <f>'Control Entry'!O31</f>
        <v>44432.375</v>
      </c>
      <c r="D29" s="45"/>
      <c r="E29" s="46" t="str">
        <f>IF(ISBLANK('Control Entry'!H31),"",'Control Entry'!H31)</f>
        <v>(end of road)</v>
      </c>
      <c r="F29" s="46" t="str">
        <f>IF(ISBLANK('Control Entry'!K31),"",'Control Entry'!K31)</f>
        <v/>
      </c>
      <c r="G29" s="11"/>
      <c r="H29" s="35" t="s">
        <v>29</v>
      </c>
      <c r="M29" s="122" t="s">
        <v>42</v>
      </c>
      <c r="N29" s="122"/>
      <c r="O29" s="122"/>
      <c r="P29" s="122"/>
      <c r="Q29" s="122"/>
      <c r="R29" s="122"/>
      <c r="S29" s="122"/>
      <c r="T29" s="122"/>
      <c r="U29" s="68"/>
    </row>
    <row r="30" spans="1:22" ht="36" customHeight="1" x14ac:dyDescent="0.2">
      <c r="A30" s="39"/>
      <c r="B30" s="40" t="str">
        <f>'Control Entry'!N32</f>
        <v/>
      </c>
      <c r="C30" s="40" t="str">
        <f>'Control Entry'!O32</f>
        <v/>
      </c>
      <c r="D30" s="47"/>
      <c r="E30" s="42" t="str">
        <f>IF(ISBLANK('Control Entry'!F32),"",'Control Entry'!F32)</f>
        <v/>
      </c>
      <c r="F30" s="42" t="str">
        <f>IF(ISBLANK('Control Entry'!I32),"",'Control Entry'!I32)</f>
        <v/>
      </c>
      <c r="G30" s="10"/>
      <c r="H30" s="35" t="s">
        <v>29</v>
      </c>
      <c r="M30" s="19"/>
      <c r="N30" s="27"/>
      <c r="O30" s="27"/>
      <c r="P30" s="28"/>
      <c r="Q30" s="27"/>
      <c r="R30" s="27"/>
      <c r="S30" s="27"/>
      <c r="T30" s="28"/>
      <c r="U30" s="29"/>
    </row>
    <row r="31" spans="1:22" ht="36" customHeight="1" x14ac:dyDescent="0.2">
      <c r="A31" s="48" t="str">
        <f>IF(ISBLANK('Control Entry'!D32),"",'Control Entry'!D32)</f>
        <v/>
      </c>
      <c r="B31" s="49" t="str">
        <f>'Control Entry'!N32</f>
        <v/>
      </c>
      <c r="C31" s="49" t="str">
        <f>'Control Entry'!O32</f>
        <v/>
      </c>
      <c r="D31" s="50" t="str">
        <f>IF(ISBLANK('Control Entry'!E32),"",'Control Entry'!E32)</f>
        <v/>
      </c>
      <c r="E31" s="42" t="str">
        <f>IF(ISBLANK('Control Entry'!G32),"",'Control Entry'!G32)</f>
        <v/>
      </c>
      <c r="F31" s="42" t="str">
        <f>IF(ISBLANK('Control Entry'!J32),"",'Control Entry'!J32)</f>
        <v/>
      </c>
      <c r="G31" s="10"/>
      <c r="H31" s="35" t="s">
        <v>29</v>
      </c>
      <c r="M31" s="20"/>
      <c r="N31" s="29"/>
      <c r="O31" s="29"/>
      <c r="P31" s="30"/>
      <c r="Q31" s="29"/>
      <c r="R31" s="29"/>
      <c r="S31" s="29"/>
      <c r="T31" s="30"/>
      <c r="U31" s="29"/>
    </row>
    <row r="32" spans="1:22" ht="36" customHeight="1" thickBot="1" x14ac:dyDescent="0.25">
      <c r="A32" s="43"/>
      <c r="B32" s="44" t="str">
        <f>'Control Entry'!N32</f>
        <v/>
      </c>
      <c r="C32" s="44" t="str">
        <f>'Control Entry'!O32</f>
        <v/>
      </c>
      <c r="D32" s="45"/>
      <c r="E32" s="46" t="str">
        <f>IF(ISBLANK('Control Entry'!H32),"",'Control Entry'!H32)</f>
        <v/>
      </c>
      <c r="F32" s="46" t="str">
        <f>IF(ISBLANK('Control Entry'!K32),"",'Control Entry'!K32)</f>
        <v/>
      </c>
      <c r="G32" s="11"/>
      <c r="H32" s="35" t="s">
        <v>29</v>
      </c>
      <c r="M32" s="66"/>
      <c r="N32" s="26"/>
      <c r="O32" s="26"/>
      <c r="P32" s="31"/>
      <c r="Q32" s="26"/>
      <c r="R32" s="26"/>
      <c r="S32" s="26"/>
      <c r="T32" s="31"/>
      <c r="U32" s="29"/>
    </row>
    <row r="33" spans="1:22" ht="36" customHeight="1" x14ac:dyDescent="0.2">
      <c r="A33" s="130" t="s">
        <v>43</v>
      </c>
      <c r="B33" s="130"/>
      <c r="C33" s="130"/>
      <c r="D33" s="130"/>
      <c r="E33" s="130"/>
      <c r="F33" s="130"/>
      <c r="G33" s="130"/>
      <c r="H33" s="51"/>
      <c r="I33" s="51"/>
      <c r="N33" s="125"/>
      <c r="O33" s="125"/>
      <c r="P33" s="125"/>
      <c r="Q33" s="125"/>
      <c r="R33" s="125"/>
      <c r="S33" s="125"/>
      <c r="T33" s="125"/>
      <c r="U33" s="125"/>
      <c r="V33" s="71"/>
    </row>
    <row r="34" spans="1:22" ht="36" customHeight="1" x14ac:dyDescent="0.2">
      <c r="A34"/>
      <c r="O34" s="59"/>
      <c r="P34" s="59"/>
      <c r="Q34" s="59"/>
      <c r="R34" s="58"/>
    </row>
    <row r="35" spans="1:22" ht="36" customHeight="1" x14ac:dyDescent="0.2">
      <c r="A35"/>
      <c r="N35" s="122"/>
      <c r="O35" s="122"/>
      <c r="P35" s="122"/>
      <c r="Q35" s="122"/>
      <c r="R35" s="122"/>
      <c r="S35" s="122"/>
      <c r="T35" s="122"/>
      <c r="U35" s="122"/>
    </row>
    <row r="36" spans="1:22" ht="36" customHeight="1" x14ac:dyDescent="0.15">
      <c r="A36"/>
      <c r="N36" s="36"/>
      <c r="O36" s="29"/>
      <c r="P36" s="29"/>
      <c r="Q36" s="29"/>
      <c r="R36" s="29"/>
      <c r="S36" s="29"/>
      <c r="T36" s="29"/>
      <c r="U36" s="29"/>
    </row>
    <row r="37" spans="1:22" ht="36" customHeight="1" x14ac:dyDescent="0.15">
      <c r="A37"/>
      <c r="N37" s="36"/>
      <c r="O37" s="29"/>
      <c r="P37" s="29"/>
      <c r="Q37" s="29"/>
      <c r="R37" s="29"/>
      <c r="S37" s="29"/>
      <c r="T37" s="29"/>
      <c r="U37" s="29"/>
    </row>
    <row r="38" spans="1:22" ht="36" customHeight="1" x14ac:dyDescent="0.2">
      <c r="A38"/>
      <c r="N38" s="69"/>
      <c r="O38" s="29"/>
      <c r="P38" s="29"/>
      <c r="Q38" s="29"/>
      <c r="R38" s="29"/>
      <c r="S38" s="29"/>
      <c r="T38" s="29"/>
      <c r="U38" s="29"/>
    </row>
    <row r="39" spans="1:22" ht="36" customHeight="1" x14ac:dyDescent="0.15">
      <c r="A39"/>
    </row>
    <row r="40" spans="1:22" ht="36" customHeight="1" x14ac:dyDescent="0.15">
      <c r="A40"/>
    </row>
  </sheetData>
  <mergeCells count="24">
    <mergeCell ref="L6:U6"/>
    <mergeCell ref="T8:U8"/>
    <mergeCell ref="A1:G1"/>
    <mergeCell ref="K2:U2"/>
    <mergeCell ref="N3:S3"/>
    <mergeCell ref="M4:T4"/>
    <mergeCell ref="N5:O5"/>
    <mergeCell ref="R5:U5"/>
    <mergeCell ref="A33:G33"/>
    <mergeCell ref="N33:U33"/>
    <mergeCell ref="N35:U35"/>
    <mergeCell ref="L8:Q8"/>
    <mergeCell ref="M29:T29"/>
    <mergeCell ref="L15:U15"/>
    <mergeCell ref="S20:U20"/>
    <mergeCell ref="J25:N25"/>
    <mergeCell ref="P25:Q25"/>
    <mergeCell ref="S25:T25"/>
    <mergeCell ref="U25:V25"/>
    <mergeCell ref="K27:L27"/>
    <mergeCell ref="N27:O27"/>
    <mergeCell ref="P27:Q27"/>
    <mergeCell ref="S27:T27"/>
    <mergeCell ref="U27:V27"/>
  </mergeCells>
  <phoneticPr fontId="16" type="noConversion"/>
  <printOptions horizontalCentered="1" verticalCentered="1"/>
  <pageMargins left="0.2" right="0.2" top="0.2" bottom="0.2" header="0.51" footer="0.51"/>
  <pageSetup scale="44" orientation="landscape" horizontalDpi="4294967292" verticalDpi="4294967292"/>
  <drawing r:id="rId1"/>
  <extLst>
    <ext xmlns:mx="http://schemas.microsoft.com/office/mac/excel/2008/main" uri="{64002731-A6B0-56B0-2670-7721B7C09600}">
      <mx:PLV Mode="0" OnePage="0" WScale="10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28</vt:i4>
      </vt:variant>
    </vt:vector>
  </HeadingPairs>
  <TitlesOfParts>
    <vt:vector size="31" baseType="lpstr">
      <vt:lpstr>Control Entry</vt:lpstr>
      <vt:lpstr>Control Card Nanaimo Start</vt:lpstr>
      <vt:lpstr>Control Card Comox Start</vt:lpstr>
      <vt:lpstr>brevet</vt:lpstr>
      <vt:lpstr>Brevet_Description</vt:lpstr>
      <vt:lpstr>Brevet_Length</vt:lpstr>
      <vt:lpstr>Brevet_Number</vt:lpstr>
      <vt:lpstr>Close</vt:lpstr>
      <vt:lpstr>Close_time</vt:lpstr>
      <vt:lpstr>Control_1</vt:lpstr>
      <vt:lpstr>Control_10</vt:lpstr>
      <vt:lpstr>Control_2</vt:lpstr>
      <vt:lpstr>Control_3</vt:lpstr>
      <vt:lpstr>Control_4</vt:lpstr>
      <vt:lpstr>Control_5</vt:lpstr>
      <vt:lpstr>Control_6</vt:lpstr>
      <vt:lpstr>Control_7</vt:lpstr>
      <vt:lpstr>Control_8</vt:lpstr>
      <vt:lpstr>Control_9</vt:lpstr>
      <vt:lpstr>Distance</vt:lpstr>
      <vt:lpstr>Establishment_1</vt:lpstr>
      <vt:lpstr>Establishment_2</vt:lpstr>
      <vt:lpstr>Establishment_3</vt:lpstr>
      <vt:lpstr>Locale</vt:lpstr>
      <vt:lpstr>Max_time</vt:lpstr>
      <vt:lpstr>Open</vt:lpstr>
      <vt:lpstr>Open_time</vt:lpstr>
      <vt:lpstr>'Control Card Comox Start'!Print_Titles</vt:lpstr>
      <vt:lpstr>'Control Card Nanaimo Start'!Print_Titles</vt:lpstr>
      <vt:lpstr>Start_date</vt:lpstr>
      <vt:lpstr>Start_time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Stephen Hinde</dc:creator>
  <cp:lastModifiedBy>Stephen Hinde</cp:lastModifiedBy>
  <cp:lastPrinted>2021-07-17T01:13:34Z</cp:lastPrinted>
  <dcterms:created xsi:type="dcterms:W3CDTF">1997-11-12T04:43:39Z</dcterms:created>
  <dcterms:modified xsi:type="dcterms:W3CDTF">2021-08-11T17:07:45Z</dcterms:modified>
</cp:coreProperties>
</file>