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showInkAnnotation="0" autoCompressPictures="0"/>
  <bookViews>
    <workbookView xWindow="8780" yWindow="580" windowWidth="25600" windowHeight="16060" tabRatio="606"/>
  </bookViews>
  <sheets>
    <sheet name="Control Entry" sheetId="1" r:id="rId1"/>
    <sheet name="Control Card 1" sheetId="2" r:id="rId2"/>
    <sheet name="Control Card 2" sheetId="19" r:id="rId3"/>
    <sheet name=" Route" sheetId="18" r:id="rId4"/>
    <sheet name="Riders" sheetId="11" state="hidden" r:id="rId5"/>
  </sheets>
  <definedNames>
    <definedName name="Address_1" localSheetId="3">#REF!</definedName>
    <definedName name="Address_1">Riders!$E$2</definedName>
    <definedName name="Address_2" localSheetId="3">#REF!</definedName>
    <definedName name="Address_2">Riders!$F$2</definedName>
    <definedName name="brevet" localSheetId="3">'Control Entry'!$C$1</definedName>
    <definedName name="brevet">'Control Entry'!$C$1</definedName>
    <definedName name="Brevet_Description" localSheetId="3">'Control Entry'!$B$3</definedName>
    <definedName name="Brevet_Description">'Control Entry'!$B$3</definedName>
    <definedName name="Brevet_Length" localSheetId="3">'Control Entry'!$B$1</definedName>
    <definedName name="Brevet_Length">'Control Entry'!$B$1</definedName>
    <definedName name="Brevet_Number" localSheetId="3">'Control Entry'!$B$4</definedName>
    <definedName name="Brevet_Number">'Control Entry'!$B$4</definedName>
    <definedName name="City" localSheetId="3">#REF!</definedName>
    <definedName name="City">Riders!$G$2</definedName>
    <definedName name="Close" localSheetId="3">'Control Entry'!$J$10:$J$19</definedName>
    <definedName name="Close">'Control Entry'!$J$12:$J$31</definedName>
    <definedName name="Close_time" localSheetId="3">'Control Entry'!$L$10:$L$19</definedName>
    <definedName name="Close_time">'Control Entry'!$L$12:$L$31</definedName>
    <definedName name="Control_1" localSheetId="3">'Control Entry'!$D$10:$L$10</definedName>
    <definedName name="Control_1">'Control Entry'!$D$12:$L$12</definedName>
    <definedName name="Control_10" localSheetId="3">'Control Entry'!$D$19:$L$19</definedName>
    <definedName name="Control_10">'Control Entry'!$D$21:$L$21</definedName>
    <definedName name="Control_11" localSheetId="3">'Control Entry'!#REF!</definedName>
    <definedName name="Control_11">'Control Entry'!$D$22:$L$22</definedName>
    <definedName name="Control_12" localSheetId="3">'Control Entry'!#REF!</definedName>
    <definedName name="Control_12">'Control Entry'!$D$23:$L$23</definedName>
    <definedName name="Control_13" localSheetId="3">'Control Entry'!#REF!</definedName>
    <definedName name="Control_13">'Control Entry'!$D$24:$L$24</definedName>
    <definedName name="Control_14" localSheetId="3">'Control Entry'!#REF!</definedName>
    <definedName name="Control_14">'Control Entry'!$D$25:$L$25</definedName>
    <definedName name="Control_15" localSheetId="3">'Control Entry'!#REF!</definedName>
    <definedName name="Control_15">'Control Entry'!$D$26:$L$26</definedName>
    <definedName name="Control_16" localSheetId="3">'Control Entry'!#REF!</definedName>
    <definedName name="Control_16">'Control Entry'!$D$27:$L$27</definedName>
    <definedName name="Control_17" localSheetId="3">'Control Entry'!#REF!</definedName>
    <definedName name="Control_17">'Control Entry'!$D$28:$L$28</definedName>
    <definedName name="Control_18" localSheetId="3">'Control Entry'!#REF!</definedName>
    <definedName name="Control_18">'Control Entry'!$D$29:$L$29</definedName>
    <definedName name="Control_19" localSheetId="3">'Control Entry'!#REF!</definedName>
    <definedName name="Control_19">'Control Entry'!$D$30:$L$30</definedName>
    <definedName name="Control_2" localSheetId="3">'Control Entry'!$D$11:$L$11</definedName>
    <definedName name="Control_2">'Control Entry'!$D$13:$L$13</definedName>
    <definedName name="Control_20" localSheetId="3">'Control Entry'!#REF!</definedName>
    <definedName name="Control_20">'Control Entry'!$D$31:$L$31</definedName>
    <definedName name="Control_3" localSheetId="3">'Control Entry'!$D$12:$L$12</definedName>
    <definedName name="Control_3">'Control Entry'!$D$14:$L$14</definedName>
    <definedName name="Control_4" localSheetId="3">'Control Entry'!$D$13:$L$13</definedName>
    <definedName name="Control_4">'Control Entry'!$D$15:$L$15</definedName>
    <definedName name="Control_5" localSheetId="3">'Control Entry'!$D$14:$L$14</definedName>
    <definedName name="Control_5">'Control Entry'!$D$16:$L$16</definedName>
    <definedName name="Control_6" localSheetId="3">'Control Entry'!$D$15:$L$15</definedName>
    <definedName name="Control_6">'Control Entry'!$D$17:$L$17</definedName>
    <definedName name="Control_7" localSheetId="3">'Control Entry'!$D$16:$L$16</definedName>
    <definedName name="Control_7">'Control Entry'!$D$18:$L$18</definedName>
    <definedName name="Control_8" localSheetId="3">'Control Entry'!$D$17:$L$17</definedName>
    <definedName name="Control_8">'Control Entry'!$D$19:$L$19</definedName>
    <definedName name="Control_9" localSheetId="3">'Control Entry'!$D$18:$L$18</definedName>
    <definedName name="Control_9">'Control Entry'!$D$20:$L$20</definedName>
    <definedName name="Country" localSheetId="3">#REF!</definedName>
    <definedName name="Country">Riders!$I$2</definedName>
    <definedName name="Distance" localSheetId="3">'Control Entry'!$D$10:$D$19</definedName>
    <definedName name="Distance">'Control Entry'!$D$12:$D$31</definedName>
    <definedName name="email" localSheetId="3">#REF!</definedName>
    <definedName name="email">Riders!$N$2</definedName>
    <definedName name="Establishment_1" localSheetId="3">'Control Entry'!$F$10:$F$19</definedName>
    <definedName name="Establishment_1">'Control Entry'!$F$12:$F$31</definedName>
    <definedName name="Establishment_2" localSheetId="3">'Control Entry'!$G$10:$G$19</definedName>
    <definedName name="Establishment_2">'Control Entry'!$G$12:$G$31</definedName>
    <definedName name="Establishment_3" localSheetId="3">'Control Entry'!$H$10:$H$19</definedName>
    <definedName name="Establishment_3">'Control Entry'!$H$12:$H$31</definedName>
    <definedName name="Fax" localSheetId="3">#REF!</definedName>
    <definedName name="Fax">Riders!$M$2</definedName>
    <definedName name="First_Name" localSheetId="3">#REF!</definedName>
    <definedName name="First_Name">Riders!$C$2</definedName>
    <definedName name="Home_telephone" localSheetId="3">#REF!</definedName>
    <definedName name="Home_telephone">Riders!$K$2</definedName>
    <definedName name="HTML_CodePage" hidden="1">1252</definedName>
    <definedName name="HTML_Control" localSheetId="3" hidden="1">{"'Web sheet'!$A$1:$D$92"}</definedName>
    <definedName name="HTML_Control" localSheetId="4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localSheetId="4" hidden="1">"'[VI0100B Nanaimo Populaire.xls]Web results'!$A$2:$D$30"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localSheetId="4" hidden="1">"C:\My Documents\Web Page\100km_results.htm"</definedName>
    <definedName name="HTML7_12" hidden="1">"C:\My Documents\Web Page\200km_route_sheet.htm"</definedName>
    <definedName name="HTML7_2" hidden="1">1</definedName>
    <definedName name="HTML7_3" localSheetId="4" hidden="1">"VI0100B Nanaimo Populaire"</definedName>
    <definedName name="HTML7_3" hidden="1">"VI0200A  Tour of Cowichan Valley"</definedName>
    <definedName name="HTML7_4" localSheetId="4" hidden="1">"Ride Results"</definedName>
    <definedName name="HTML7_4" hidden="1">"Vancouver Island 200 km Brevet"</definedName>
    <definedName name="HTML7_5" localSheetId="4" hidden="1">"Results from March 15th, 1998"</definedName>
    <definedName name="HTML7_5" hidden="1">""</definedName>
    <definedName name="HTML7_6" hidden="1">1</definedName>
    <definedName name="HTML7_7" hidden="1">1</definedName>
    <definedName name="HTML7_8" localSheetId="4" hidden="1">"98-03-26"</definedName>
    <definedName name="HTML7_8" hidden="1">"97-11-23"</definedName>
    <definedName name="HTML7_9" hidden="1">"Stephen Hinde"</definedName>
    <definedName name="HTML8_1" localSheetId="4" hidden="1">"'[VI0100B Nanaimo Populaire.xls]Web results'!$A$1:$J$17"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4" hidden="1">"C:\My Documents\Web Page\100km_results.htm"</definedName>
    <definedName name="HTML8_12" hidden="1">"C:\My Documents\Web Page\300km_route_sheet_duncan.htm"</definedName>
    <definedName name="HTML8_2" hidden="1">1</definedName>
    <definedName name="HTML8_3" localSheetId="4" hidden="1">"VI0100B Nanaimo Populaire results"</definedName>
    <definedName name="HTML8_3" hidden="1">"VI0300A  Duncan--Victoria"</definedName>
    <definedName name="HTML8_4" localSheetId="4" hidden="1">"Populaire results"</definedName>
    <definedName name="HTML8_4" hidden="1">"Web sheet"</definedName>
    <definedName name="HTML8_5" localSheetId="4" hidden="1">"100 km bicycle ride on 15th March, 1998._x000D_Co-sponsored by the BC Randonneur Cycling Club and the Nanaimo Bicycle Club."</definedName>
    <definedName name="HTML8_5" hidden="1">""</definedName>
    <definedName name="HTML8_6" hidden="1">1</definedName>
    <definedName name="HTML8_7" hidden="1">1</definedName>
    <definedName name="HTML8_8" localSheetId="4" hidden="1">"98-03-26"</definedName>
    <definedName name="HTML8_8" hidden="1">"98-01-25"</definedName>
    <definedName name="HTML8_9" hidden="1">"Stephen Hinde"</definedName>
    <definedName name="HTMLCount" hidden="1">8</definedName>
    <definedName name="Initial" localSheetId="3">#REF!</definedName>
    <definedName name="Initial">Riders!$D$2</definedName>
    <definedName name="Locale" localSheetId="3">'Control Entry'!$E$10:$E$19</definedName>
    <definedName name="Locale">'Control Entry'!$E$12:$E$31</definedName>
    <definedName name="Max_time" localSheetId="3">'Control Entry'!$B$2</definedName>
    <definedName name="Max_time">'Control Entry'!$B$2</definedName>
    <definedName name="Open" localSheetId="3">'Control Entry'!$I$10:$I$19</definedName>
    <definedName name="Open">'Control Entry'!$I$12:$I$31</definedName>
    <definedName name="Open_time" localSheetId="3">'Control Entry'!$K$10:$K$19</definedName>
    <definedName name="Open_time">'Control Entry'!$K$12:$K$31</definedName>
    <definedName name="Postal_Code" localSheetId="3">#REF!</definedName>
    <definedName name="Postal_Code">Riders!$J$2</definedName>
    <definedName name="_xlnm.Print_Area" localSheetId="3">' Route'!$A$1:$D$354</definedName>
    <definedName name="_xlnm.Print_Area" localSheetId="1">'Control Card 1'!$A$1:$V$34</definedName>
    <definedName name="_xlnm.Print_Area" localSheetId="2">'Control Card 2'!$A$1:$V$34</definedName>
    <definedName name="_xlnm.Print_Titles" localSheetId="3">' Route'!$1:$1</definedName>
    <definedName name="Province_State" localSheetId="3">#REF!</definedName>
    <definedName name="Province_State">Riders!$H$2</definedName>
    <definedName name="Start_date" localSheetId="3">'Control Entry'!$B$7</definedName>
    <definedName name="Start_date">'Control Entry'!$B$7</definedName>
    <definedName name="Start_time" localSheetId="3">'Control Entry'!$B$8</definedName>
    <definedName name="Start_time">'Control Entry'!$B$8</definedName>
    <definedName name="surname" localSheetId="3">#REF!</definedName>
    <definedName name="surname">Riders!$B$2</definedName>
    <definedName name="Work_telephone" localSheetId="3">#REF!</definedName>
    <definedName name="Work_telephone">Riders!$L$2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4" i="18" l="1"/>
  <c r="D345" i="18"/>
  <c r="D346" i="18"/>
  <c r="D347" i="18"/>
  <c r="D348" i="18"/>
  <c r="D349" i="18"/>
  <c r="D350" i="18"/>
  <c r="D343" i="18"/>
  <c r="D342" i="18"/>
  <c r="D340" i="18"/>
  <c r="D25" i="1"/>
  <c r="E9" i="19"/>
  <c r="T7" i="19"/>
  <c r="L7" i="19"/>
  <c r="D26" i="1"/>
  <c r="D24" i="1"/>
  <c r="D23" i="1"/>
  <c r="D22" i="1"/>
  <c r="D19" i="1"/>
  <c r="D18" i="1"/>
  <c r="D17" i="1"/>
  <c r="D16" i="1"/>
  <c r="D15" i="1"/>
  <c r="D14" i="1"/>
  <c r="D13" i="1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8" i="19"/>
  <c r="E7" i="19"/>
  <c r="E6" i="19"/>
  <c r="D31" i="19"/>
  <c r="D28" i="19"/>
  <c r="D25" i="19"/>
  <c r="D22" i="19"/>
  <c r="D19" i="19"/>
  <c r="D16" i="19"/>
  <c r="D13" i="19"/>
  <c r="D10" i="19"/>
  <c r="D7" i="19"/>
  <c r="L31" i="1"/>
  <c r="C32" i="19"/>
  <c r="C31" i="19"/>
  <c r="C30" i="19"/>
  <c r="L30" i="1"/>
  <c r="C29" i="19"/>
  <c r="C28" i="19"/>
  <c r="C27" i="19"/>
  <c r="L29" i="1"/>
  <c r="C26" i="19"/>
  <c r="C25" i="19"/>
  <c r="C24" i="19"/>
  <c r="L28" i="1"/>
  <c r="C23" i="19"/>
  <c r="C22" i="19"/>
  <c r="C21" i="19"/>
  <c r="L27" i="1"/>
  <c r="C20" i="19"/>
  <c r="C19" i="19"/>
  <c r="C18" i="19"/>
  <c r="I12" i="1"/>
  <c r="K12" i="1"/>
  <c r="C1" i="1"/>
  <c r="B2" i="1"/>
  <c r="J26" i="1"/>
  <c r="L26" i="1"/>
  <c r="C17" i="19"/>
  <c r="C16" i="19"/>
  <c r="C15" i="19"/>
  <c r="J25" i="1"/>
  <c r="L25" i="1"/>
  <c r="C14" i="19"/>
  <c r="C13" i="19"/>
  <c r="C12" i="19"/>
  <c r="J24" i="1"/>
  <c r="L24" i="1"/>
  <c r="C11" i="19"/>
  <c r="C10" i="19"/>
  <c r="C9" i="19"/>
  <c r="J23" i="1"/>
  <c r="L23" i="1"/>
  <c r="C8" i="19"/>
  <c r="C7" i="19"/>
  <c r="C6" i="19"/>
  <c r="K31" i="1"/>
  <c r="B32" i="19"/>
  <c r="B31" i="19"/>
  <c r="B30" i="19"/>
  <c r="K30" i="1"/>
  <c r="B29" i="19"/>
  <c r="B28" i="19"/>
  <c r="B27" i="19"/>
  <c r="K29" i="1"/>
  <c r="B26" i="19"/>
  <c r="B25" i="19"/>
  <c r="B24" i="19"/>
  <c r="K28" i="1"/>
  <c r="B23" i="19"/>
  <c r="B22" i="19"/>
  <c r="B21" i="19"/>
  <c r="K27" i="1"/>
  <c r="B20" i="19"/>
  <c r="B19" i="19"/>
  <c r="B18" i="19"/>
  <c r="I26" i="1"/>
  <c r="K26" i="1"/>
  <c r="B17" i="19"/>
  <c r="B16" i="19"/>
  <c r="B15" i="19"/>
  <c r="I25" i="1"/>
  <c r="K25" i="1"/>
  <c r="B14" i="19"/>
  <c r="B13" i="19"/>
  <c r="B12" i="19"/>
  <c r="I24" i="1"/>
  <c r="K24" i="1"/>
  <c r="B11" i="19"/>
  <c r="B10" i="19"/>
  <c r="B9" i="19"/>
  <c r="I23" i="1"/>
  <c r="K23" i="1"/>
  <c r="B8" i="19"/>
  <c r="B7" i="19"/>
  <c r="B6" i="19"/>
  <c r="A31" i="19"/>
  <c r="A28" i="19"/>
  <c r="A25" i="19"/>
  <c r="A22" i="19"/>
  <c r="A19" i="19"/>
  <c r="A16" i="19"/>
  <c r="A13" i="19"/>
  <c r="A10" i="19"/>
  <c r="A7" i="19"/>
  <c r="E5" i="19"/>
  <c r="E4" i="19"/>
  <c r="E3" i="19"/>
  <c r="D4" i="19"/>
  <c r="J22" i="1"/>
  <c r="L22" i="1"/>
  <c r="C5" i="19"/>
  <c r="C4" i="19"/>
  <c r="C3" i="19"/>
  <c r="I22" i="1"/>
  <c r="K22" i="1"/>
  <c r="B5" i="19"/>
  <c r="B4" i="19"/>
  <c r="A4" i="19"/>
  <c r="B3" i="19"/>
  <c r="L21" i="1"/>
  <c r="K21" i="1"/>
  <c r="L20" i="1"/>
  <c r="K20" i="1"/>
  <c r="J19" i="1"/>
  <c r="L19" i="1"/>
  <c r="I19" i="1"/>
  <c r="K19" i="1"/>
  <c r="J18" i="1"/>
  <c r="L18" i="1"/>
  <c r="I18" i="1"/>
  <c r="K18" i="1"/>
  <c r="J17" i="1"/>
  <c r="L17" i="1"/>
  <c r="I17" i="1"/>
  <c r="K17" i="1"/>
  <c r="J16" i="1"/>
  <c r="L16" i="1"/>
  <c r="I16" i="1"/>
  <c r="K16" i="1"/>
  <c r="J15" i="1"/>
  <c r="L15" i="1"/>
  <c r="I15" i="1"/>
  <c r="K15" i="1"/>
  <c r="J14" i="1"/>
  <c r="L14" i="1"/>
  <c r="I14" i="1"/>
  <c r="K14" i="1"/>
  <c r="J13" i="1"/>
  <c r="L13" i="1"/>
  <c r="I13" i="1"/>
  <c r="K13" i="1"/>
  <c r="J12" i="1"/>
  <c r="L12" i="1"/>
  <c r="M6" i="19"/>
  <c r="R5" i="19"/>
  <c r="P5" i="19"/>
  <c r="M4" i="19"/>
  <c r="E32" i="2"/>
  <c r="C32" i="2"/>
  <c r="B32" i="2"/>
  <c r="E31" i="2"/>
  <c r="D31" i="2"/>
  <c r="C31" i="2"/>
  <c r="B31" i="2"/>
  <c r="A31" i="2"/>
  <c r="E30" i="2"/>
  <c r="C30" i="2"/>
  <c r="B30" i="2"/>
  <c r="E29" i="2"/>
  <c r="C29" i="2"/>
  <c r="B29" i="2"/>
  <c r="E28" i="2"/>
  <c r="D28" i="2"/>
  <c r="C28" i="2"/>
  <c r="B28" i="2"/>
  <c r="A28" i="2"/>
  <c r="E27" i="2"/>
  <c r="C27" i="2"/>
  <c r="B27" i="2"/>
  <c r="E26" i="2"/>
  <c r="C26" i="2"/>
  <c r="B26" i="2"/>
  <c r="E25" i="2"/>
  <c r="D25" i="2"/>
  <c r="C25" i="2"/>
  <c r="B25" i="2"/>
  <c r="A25" i="2"/>
  <c r="E24" i="2"/>
  <c r="C24" i="2"/>
  <c r="B24" i="2"/>
  <c r="E23" i="2"/>
  <c r="C23" i="2"/>
  <c r="B23" i="2"/>
  <c r="S22" i="2"/>
  <c r="L22" i="2"/>
  <c r="E22" i="2"/>
  <c r="D22" i="2"/>
  <c r="C22" i="2"/>
  <c r="B22" i="2"/>
  <c r="A22" i="2"/>
  <c r="E21" i="2"/>
  <c r="C21" i="2"/>
  <c r="B21" i="2"/>
  <c r="E20" i="2"/>
  <c r="C20" i="2"/>
  <c r="B20" i="2"/>
  <c r="E19" i="2"/>
  <c r="D19" i="2"/>
  <c r="C19" i="2"/>
  <c r="B19" i="2"/>
  <c r="A19" i="2"/>
  <c r="E18" i="2"/>
  <c r="C18" i="2"/>
  <c r="B18" i="2"/>
  <c r="E17" i="2"/>
  <c r="C17" i="2"/>
  <c r="B17" i="2"/>
  <c r="E16" i="2"/>
  <c r="D16" i="2"/>
  <c r="C16" i="2"/>
  <c r="B16" i="2"/>
  <c r="A16" i="2"/>
  <c r="E15" i="2"/>
  <c r="C15" i="2"/>
  <c r="B15" i="2"/>
  <c r="E14" i="2"/>
  <c r="C14" i="2"/>
  <c r="B14" i="2"/>
  <c r="E13" i="2"/>
  <c r="D13" i="2"/>
  <c r="C13" i="2"/>
  <c r="B13" i="2"/>
  <c r="A13" i="2"/>
  <c r="E12" i="2"/>
  <c r="C12" i="2"/>
  <c r="B12" i="2"/>
  <c r="E11" i="2"/>
  <c r="C11" i="2"/>
  <c r="B11" i="2"/>
  <c r="E10" i="2"/>
  <c r="D10" i="2"/>
  <c r="C10" i="2"/>
  <c r="B10" i="2"/>
  <c r="A10" i="2"/>
  <c r="E9" i="2"/>
  <c r="C9" i="2"/>
  <c r="B9" i="2"/>
  <c r="E8" i="2"/>
  <c r="C8" i="2"/>
  <c r="B8" i="2"/>
  <c r="E7" i="2"/>
  <c r="D7" i="2"/>
  <c r="C7" i="2"/>
  <c r="B7" i="2"/>
  <c r="A7" i="2"/>
  <c r="M6" i="2"/>
  <c r="E6" i="2"/>
  <c r="C6" i="2"/>
  <c r="B6" i="2"/>
  <c r="R5" i="2"/>
  <c r="P5" i="2"/>
  <c r="E5" i="2"/>
  <c r="C5" i="2"/>
  <c r="B5" i="2"/>
  <c r="M4" i="2"/>
  <c r="E4" i="2"/>
  <c r="D4" i="2"/>
  <c r="C4" i="2"/>
  <c r="B4" i="2"/>
  <c r="A4" i="2"/>
  <c r="E3" i="2"/>
  <c r="C3" i="2"/>
  <c r="B3" i="2"/>
  <c r="D341" i="18"/>
  <c r="D339" i="18"/>
  <c r="D338" i="18"/>
  <c r="D337" i="18"/>
  <c r="D336" i="18"/>
  <c r="D335" i="18"/>
  <c r="D334" i="18"/>
  <c r="D333" i="18"/>
  <c r="D332" i="18"/>
  <c r="D331" i="18"/>
  <c r="D330" i="18"/>
  <c r="D329" i="18"/>
  <c r="D328" i="18"/>
  <c r="D327" i="18"/>
  <c r="D326" i="18"/>
  <c r="D325" i="18"/>
  <c r="D324" i="18"/>
  <c r="D323" i="18"/>
  <c r="D322" i="18"/>
  <c r="D321" i="18"/>
  <c r="D320" i="18"/>
  <c r="D319" i="18"/>
  <c r="D318" i="18"/>
  <c r="D317" i="18"/>
  <c r="D316" i="18"/>
  <c r="D315" i="18"/>
  <c r="D314" i="18"/>
  <c r="D313" i="18"/>
  <c r="D312" i="18"/>
  <c r="D311" i="18"/>
  <c r="D310" i="18"/>
  <c r="D309" i="18"/>
  <c r="D308" i="18"/>
  <c r="D307" i="18"/>
  <c r="D306" i="18"/>
  <c r="D305" i="18"/>
  <c r="D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90" i="18"/>
  <c r="D289" i="18"/>
  <c r="D288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8" i="18"/>
  <c r="D257" i="18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J27" i="1"/>
  <c r="J28" i="1"/>
  <c r="J29" i="1"/>
  <c r="J30" i="1"/>
  <c r="J31" i="1"/>
  <c r="I27" i="1"/>
  <c r="I28" i="1"/>
  <c r="I29" i="1"/>
  <c r="I30" i="1"/>
  <c r="I31" i="1"/>
  <c r="B2" i="11"/>
  <c r="C2" i="11"/>
  <c r="D2" i="11"/>
  <c r="N2" i="11"/>
  <c r="I2" i="11"/>
  <c r="H2" i="11"/>
  <c r="G2" i="11"/>
  <c r="F2" i="11"/>
  <c r="E2" i="11"/>
  <c r="J2" i="11"/>
  <c r="K2" i="11"/>
  <c r="M2" i="11"/>
  <c r="L2" i="11"/>
  <c r="I20" i="1"/>
  <c r="I21" i="1"/>
  <c r="J21" i="1"/>
  <c r="J20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<sst xmlns="http://schemas.openxmlformats.org/spreadsheetml/2006/main" count="932" uniqueCount="419">
  <si>
    <t>Founding member of LES RANDONNEURS MONDIAUX (1983)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</si>
  <si>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</si>
  <si>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</si>
  <si>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</si>
  <si>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</si>
  <si>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</si>
  <si>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</si>
  <si>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</si>
  <si>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</si>
  <si>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</si>
  <si>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</si>
  <si>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</si>
  <si>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20</t>
  </si>
  <si>
    <t>|</t>
  </si>
  <si>
    <t>DIST (km)</t>
  </si>
  <si>
    <t>Establishment</t>
  </si>
  <si>
    <t>Time of Passage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</si>
  <si>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</si>
  <si>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</si>
  <si>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</si>
  <si>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</si>
  <si>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</si>
  <si>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</si>
  <si>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</si>
  <si>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</si>
  <si>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Start time</t>
  </si>
  <si>
    <t>Finish time</t>
  </si>
  <si>
    <t>Elapsed time</t>
  </si>
  <si>
    <t>Rider's signature at completion</t>
  </si>
  <si>
    <t>Randonneur Committee Authorization</t>
  </si>
  <si>
    <t>Control 13</t>
  </si>
  <si>
    <t>Control 14</t>
  </si>
  <si>
    <t>Control 15</t>
  </si>
  <si>
    <t>Control 1</t>
  </si>
  <si>
    <t>r - 1/2 hr - route violation</t>
  </si>
  <si>
    <t>l - 1/2 hr - no lights</t>
  </si>
  <si>
    <t>Control 16</t>
  </si>
  <si>
    <t>Control 17</t>
  </si>
  <si>
    <t>Control 18</t>
  </si>
  <si>
    <t>Control 19</t>
  </si>
  <si>
    <t>Surname</t>
  </si>
  <si>
    <t>First Name</t>
  </si>
  <si>
    <t>Initial</t>
  </si>
  <si>
    <t>Address 1</t>
  </si>
  <si>
    <t>SO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</si>
  <si>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</si>
  <si>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</si>
  <si>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</si>
  <si>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</si>
  <si>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</si>
  <si>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</si>
  <si>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</si>
  <si>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</si>
  <si>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</si>
  <si>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</si>
  <si>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</si>
  <si>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</si>
  <si>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Open</t>
  </si>
  <si>
    <t>Close</t>
  </si>
  <si>
    <t>Open time</t>
  </si>
  <si>
    <t>Close time</t>
  </si>
  <si>
    <t>f - 1/2 hr - no fenders</t>
  </si>
  <si>
    <t>e - rode early</t>
  </si>
  <si>
    <t>d - rode late</t>
  </si>
  <si>
    <t>Address 2</t>
  </si>
  <si>
    <t>Home telephone</t>
  </si>
  <si>
    <t>Work telephone</t>
  </si>
  <si>
    <t>Fax</t>
  </si>
  <si>
    <t>Turn</t>
  </si>
  <si>
    <t>L</t>
  </si>
  <si>
    <t>R</t>
  </si>
  <si>
    <t>Finish Time</t>
  </si>
  <si>
    <t>Penalties</t>
  </si>
  <si>
    <t>Rand Memb</t>
  </si>
  <si>
    <t>Pin</t>
  </si>
  <si>
    <t>U</t>
  </si>
  <si>
    <t>SAANICH</t>
  </si>
  <si>
    <t>Remembrance Day</t>
  </si>
  <si>
    <t>at km</t>
  </si>
  <si>
    <r>
      <rPr>
        <sz val="10"/>
        <rFont val="Arial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</si>
  <si>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</si>
  <si>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START--Tulista Park Washrooms  
Fifth Avenue, Sidney</t>
  </si>
  <si>
    <t>EXIT thru parking lot</t>
  </si>
  <si>
    <t>FIFTH ST</t>
  </si>
  <si>
    <t>FIFTH ST, roundabout exit 2</t>
  </si>
  <si>
    <t>BEACON AVE</t>
  </si>
  <si>
    <t>FOURTH ST</t>
  </si>
  <si>
    <t>Memorial: ANAF #302:  
F86 Sabre and Tank Memorial</t>
  </si>
  <si>
    <t>SIDNEY AVE</t>
  </si>
  <si>
    <t>Memorial: Sidney Cenotaph</t>
  </si>
  <si>
    <t>THIRD ST</t>
  </si>
  <si>
    <t>AMELIA AVE</t>
  </si>
  <si>
    <t>RESTHAVEN AVE</t>
  </si>
  <si>
    <t>MCDONALD PARK RD</t>
  </si>
  <si>
    <t>PATRICIA BAY HWY, 17</t>
  </si>
  <si>
    <t>EXIT 33, LANDS END RD</t>
  </si>
  <si>
    <t>LANDS END RD</t>
  </si>
  <si>
    <t>CHALET RD</t>
  </si>
  <si>
    <t>BIRCH RD</t>
  </si>
  <si>
    <t>MADRONA DR</t>
  </si>
  <si>
    <t>NORRIS RD</t>
  </si>
  <si>
    <t>DERRICK RD</t>
  </si>
  <si>
    <t>DOWNEY RD</t>
  </si>
  <si>
    <t>W SAANICH RD</t>
  </si>
  <si>
    <t>MILLS RD</t>
  </si>
  <si>
    <t>CONTROL 1 -- HOLY TRINITY CHURCH
MILLS RD, NORTH SAANICH</t>
  </si>
  <si>
    <t>Return to Mills Rd</t>
  </si>
  <si>
    <t>FLIGHT PATH Access</t>
  </si>
  <si>
    <t>THE FLIGHT PATH</t>
  </si>
  <si>
    <t>WIDGEON DR</t>
  </si>
  <si>
    <t>WILLINGDON RD</t>
  </si>
  <si>
    <t>EAST SAANICH RD</t>
  </si>
  <si>
    <t>VEYANESS RD</t>
  </si>
  <si>
    <t>REID COURT</t>
  </si>
  <si>
    <t>WHITE RD</t>
  </si>
  <si>
    <t>SEABROOK RD</t>
  </si>
  <si>
    <t>TRAIL</t>
  </si>
  <si>
    <t>OLDFIELD RD</t>
  </si>
  <si>
    <t>BROOKLEIGH RD</t>
  </si>
  <si>
    <t>HAMSTERRLY RD</t>
  </si>
  <si>
    <t>HALIBURTON RD</t>
  </si>
  <si>
    <t>PATH</t>
  </si>
  <si>
    <t>CHERRY TREE BEND</t>
  </si>
  <si>
    <t>FALAISE DR</t>
  </si>
  <si>
    <t>ROYAL OAK BURIAL PARK</t>
  </si>
  <si>
    <t>Park road</t>
  </si>
  <si>
    <t>CONTROL 2 - ROYAL OAK BURIAL PARK
Falaise Dr, Saanich</t>
  </si>
  <si>
    <t>Park road (return to Falaise Dr)</t>
  </si>
  <si>
    <t>Cross Royal Oak (pedestrian crossing)</t>
  </si>
  <si>
    <t>ROYAL OAK DR</t>
  </si>
  <si>
    <t>LOCHSIDE DR</t>
  </si>
  <si>
    <t>BLENKINSOP GREENWAY</t>
  </si>
  <si>
    <t>BRAEFOOT RD</t>
  </si>
  <si>
    <t>HARROP RD</t>
  </si>
  <si>
    <t>WENDE RD</t>
  </si>
  <si>
    <t>SHORNCLIFFE RD</t>
  </si>
  <si>
    <t>TRAIL (AFTERR YELLOW GATES)</t>
  </si>
  <si>
    <t>SHORNCLIFFE RD SOUTH</t>
  </si>
  <si>
    <t>SYNOD RD</t>
  </si>
  <si>
    <t>St. Luke's parking lot</t>
  </si>
  <si>
    <t>Return to parking lot</t>
  </si>
  <si>
    <t>SIDEWALK before Cedar Hill X Rd</t>
  </si>
  <si>
    <t>CEDAR HILL RD</t>
  </si>
  <si>
    <t>DERBY RD</t>
  </si>
  <si>
    <t>TRAIL BEFORE PARKING LOT</t>
  </si>
  <si>
    <t>TRAIL towards clubhouse</t>
  </si>
  <si>
    <t>GRAVEL TRAIL</t>
  </si>
  <si>
    <t>SALSBURY WAY</t>
  </si>
  <si>
    <t>CAMROSE CR</t>
  </si>
  <si>
    <t>COOK ST</t>
  </si>
  <si>
    <t>Move to left lane (not curb)</t>
  </si>
  <si>
    <t>CLOVERDALE AVE</t>
  </si>
  <si>
    <t>KELVIN RD</t>
  </si>
  <si>
    <t>GALLOPING GOOSE TRAIL</t>
  </si>
  <si>
    <t>TRAIL BESIDE GALLOPING GOOSE</t>
  </si>
  <si>
    <t>REGINA AVE</t>
  </si>
  <si>
    <t>HARRIET RD</t>
  </si>
  <si>
    <t>WASCANA ST</t>
  </si>
  <si>
    <t>HAMPTON RD</t>
  </si>
  <si>
    <t>BURNSIDE RD W</t>
  </si>
  <si>
    <t>MADDOCK AVE W</t>
  </si>
  <si>
    <t>ARENA RD</t>
  </si>
  <si>
    <t>BODEGA RD</t>
  </si>
  <si>
    <t>Memorial: G Pearkes Arena (see control 1)</t>
  </si>
  <si>
    <t>KER AVE</t>
  </si>
  <si>
    <t>DYSART RD</t>
  </si>
  <si>
    <t>AUSTIN AVE</t>
  </si>
  <si>
    <t>NEWBURY ST</t>
  </si>
  <si>
    <t>COLQUITZ AVE</t>
  </si>
  <si>
    <t>SIDEWALK</t>
  </si>
  <si>
    <t>SIDEWALK OVER BRIDGE</t>
  </si>
  <si>
    <t>ESSON RD</t>
  </si>
  <si>
    <t>PORTAGE RD</t>
  </si>
  <si>
    <t>Trail thru Portage Park</t>
  </si>
  <si>
    <t>ST GILES ST</t>
  </si>
  <si>
    <t>CHANCELLOR AVE</t>
  </si>
  <si>
    <r>
      <t>ST GILES</t>
    </r>
    <r>
      <rPr>
        <sz val="12"/>
        <color theme="1"/>
        <rFont val="Calibri"/>
        <family val="2"/>
        <scheme val="minor"/>
      </rPr>
      <t xml:space="preserve"> ST</t>
    </r>
  </si>
  <si>
    <t>STILLWATERR RD</t>
  </si>
  <si>
    <t>VICKERY RD</t>
  </si>
  <si>
    <t>MACLENNAN TRAIL</t>
  </si>
  <si>
    <t>PADDOCK PL</t>
  </si>
  <si>
    <t>PHEASANT LN</t>
  </si>
  <si>
    <t>BURNETT RD</t>
  </si>
  <si>
    <t>E&amp;N TRAIL</t>
  </si>
  <si>
    <t>ADMIRALS RD</t>
  </si>
  <si>
    <t>WOODWAY RD</t>
  </si>
  <si>
    <t>GRENVILLE AVE</t>
  </si>
  <si>
    <t>PARK TERR</t>
  </si>
  <si>
    <t>MEMORIAL PARK</t>
  </si>
  <si>
    <t>CONTROL 4 - MEMORIAL PARK
ESQUIMALT</t>
  </si>
  <si>
    <t>Return to Park Terr</t>
  </si>
  <si>
    <t>OLD ESQUIMALT RD</t>
  </si>
  <si>
    <t>WILSON ST</t>
  </si>
  <si>
    <t>ESQUIMALT RD</t>
  </si>
  <si>
    <t>WHARF ST</t>
  </si>
  <si>
    <t>Memorial: The Homecoming</t>
  </si>
  <si>
    <t>HUMBOLT ST BIKE WAY</t>
  </si>
  <si>
    <t>HUMBOLDT ST</t>
  </si>
  <si>
    <t>VANCOUVER ST</t>
  </si>
  <si>
    <t>PARK BLVD</t>
  </si>
  <si>
    <t>HEYWOOD WAY</t>
  </si>
  <si>
    <t>CIRCLE DR</t>
  </si>
  <si>
    <t>Trail to Tallest Totem</t>
  </si>
  <si>
    <t>CONTROL 5 - BC INDIANS WAR MEMORIAL
Circle Dr, Beacon Hill, Victoria</t>
  </si>
  <si>
    <t>Return to Circle Dr.</t>
  </si>
  <si>
    <t>DALLAS RD</t>
  </si>
  <si>
    <t>HOLLYWOOD CR</t>
  </si>
  <si>
    <t>ROBERTSON ST</t>
  </si>
  <si>
    <t>ROSS ST</t>
  </si>
  <si>
    <t>CRESCENT RD</t>
  </si>
  <si>
    <t>IRVING RD</t>
  </si>
  <si>
    <t>FAIRFIELD RD</t>
  </si>
  <si>
    <t>BEACH DR</t>
  </si>
  <si>
    <t>DORSET RD</t>
  </si>
  <si>
    <t>MIDLAND RD</t>
  </si>
  <si>
    <t>LANSDOWNE RD</t>
  </si>
  <si>
    <t>CADBORO BAY RD</t>
  </si>
  <si>
    <t>TELEGRAPH BAY RD</t>
  </si>
  <si>
    <t>ARBUTUS RD</t>
  </si>
  <si>
    <t>SAN JUAN AVE</t>
  </si>
  <si>
    <r>
      <t>SAN JUAN AVE</t>
    </r>
    <r>
      <rPr>
        <sz val="12"/>
        <color theme="1"/>
        <rFont val="Calibri"/>
        <family val="2"/>
        <scheme val="minor"/>
      </rPr>
      <t xml:space="preserve"> (cross Gordon Head)</t>
    </r>
  </si>
  <si>
    <t xml:space="preserve">TRAIL </t>
  </si>
  <si>
    <t>MAJESTIC DR</t>
  </si>
  <si>
    <t>ASH RD</t>
  </si>
  <si>
    <t>CORDOVA BAY RD</t>
  </si>
  <si>
    <t>BOULDERWOOD DR</t>
  </si>
  <si>
    <t>KENTWOOD LN</t>
  </si>
  <si>
    <t>past yellow gates</t>
  </si>
  <si>
    <t>DEVENTERR DR</t>
  </si>
  <si>
    <t>FALAISE CR</t>
  </si>
  <si>
    <t>CONTROL 6 - FALAISE PARK
Falaise Cr, Saanich</t>
  </si>
  <si>
    <t>!!!CONGRATULATIONS!!!</t>
  </si>
  <si>
    <t>Continue on Falaise Cr</t>
  </si>
  <si>
    <r>
      <t>PARKING LOT</t>
    </r>
    <r>
      <rPr>
        <sz val="12"/>
        <color theme="1"/>
        <rFont val="Calibri"/>
        <family val="2"/>
        <scheme val="minor"/>
      </rPr>
      <t xml:space="preserve"> (Broadmead Mall)</t>
    </r>
  </si>
  <si>
    <t>at Artsee Optical</t>
  </si>
  <si>
    <t>to road</t>
  </si>
  <si>
    <r>
      <t>CHATTERRTON WAY</t>
    </r>
    <r>
      <rPr>
        <sz val="12"/>
        <color theme="1"/>
        <rFont val="Calibri"/>
        <family val="2"/>
        <scheme val="minor"/>
      </rPr>
      <t xml:space="preserve"> (slow for turn ahead)</t>
    </r>
  </si>
  <si>
    <t>ROYAL OAK AVE</t>
  </si>
  <si>
    <t>CAROLWOOD DR</t>
  </si>
  <si>
    <t>SHADYWOOD DR</t>
  </si>
  <si>
    <t>EMILY CARR DR</t>
  </si>
  <si>
    <t>CROWNWOOD LN</t>
  </si>
  <si>
    <t>MALTWOOD TERR</t>
  </si>
  <si>
    <t>DENNIS DR</t>
  </si>
  <si>
    <t>past gate</t>
  </si>
  <si>
    <t>PANORAMA DR</t>
  </si>
  <si>
    <t>BECKWITH AVE</t>
  </si>
  <si>
    <t>PARKING LOT</t>
  </si>
  <si>
    <t>LUCAS AVE</t>
  </si>
  <si>
    <t>MORRIS DR</t>
  </si>
  <si>
    <t>CEDAR HILL CROSS RD</t>
  </si>
  <si>
    <t>LOCHSIDE TRAIL BESIDE BORDEN RD</t>
  </si>
  <si>
    <t>LOCHSIDE TRAIL</t>
  </si>
  <si>
    <t>HARBOUR RD</t>
  </si>
  <si>
    <t>cross Store St</t>
  </si>
  <si>
    <t>STORE ST</t>
  </si>
  <si>
    <t>FISGARD ST</t>
  </si>
  <si>
    <t>Food:  La Roue Patisserie</t>
  </si>
  <si>
    <t>CONTROL 7 - CHINESE GATE WAR MEMORIAL
Fisgard St, Chinatown, Victoria</t>
  </si>
  <si>
    <t>GOVERNMENT ST</t>
  </si>
  <si>
    <t>PANDORA AVE BIKE LN</t>
  </si>
  <si>
    <t>JOHNSTON ST BRIDGE SIDEWALK</t>
  </si>
  <si>
    <t>OVERPASS to E&amp;N trail</t>
  </si>
  <si>
    <t>KIMTA RD</t>
  </si>
  <si>
    <t>CATHERINE ST</t>
  </si>
  <si>
    <t>ALLEY</t>
  </si>
  <si>
    <t>WALE RD</t>
  </si>
  <si>
    <t>OCEAN BLVD (cross Island Hwy)</t>
  </si>
  <si>
    <r>
      <t>TRAIL</t>
    </r>
    <r>
      <rPr>
        <sz val="12"/>
        <color theme="1"/>
        <rFont val="Calibri"/>
        <family val="2"/>
        <scheme val="minor"/>
      </rPr>
      <t xml:space="preserve"> to sidewalk</t>
    </r>
  </si>
  <si>
    <t>UNIVERSITY DR</t>
  </si>
  <si>
    <t>W CAMPUS RD</t>
  </si>
  <si>
    <t>thru gate</t>
  </si>
  <si>
    <t>WISHART RD</t>
  </si>
  <si>
    <t>METCHOSIN RD</t>
  </si>
  <si>
    <t>PAINTER RD</t>
  </si>
  <si>
    <t>onto RD</t>
  </si>
  <si>
    <t>RYDER HESJEDAHL WAY</t>
  </si>
  <si>
    <t>LATORIA BLVD</t>
  </si>
  <si>
    <t>CO</t>
  </si>
  <si>
    <t>HAPPY VALLEY RD</t>
  </si>
  <si>
    <t>SOOKE RD, 14</t>
  </si>
  <si>
    <t>CY JENKINS TRAIL</t>
  </si>
  <si>
    <t>KELLY RD</t>
  </si>
  <si>
    <t>VETERRANS MEMORIAL PWY, 14</t>
  </si>
  <si>
    <t>TRAIL AFTERR RRX</t>
  </si>
  <si>
    <t>Memorial: The Mountie and the Girl</t>
  </si>
  <si>
    <t>ATKINS AVE</t>
  </si>
  <si>
    <t>OVERPASS</t>
  </si>
  <si>
    <t>GORGE RD W</t>
  </si>
  <si>
    <t>JUTLAND RD</t>
  </si>
  <si>
    <t>FINLAYSON ST</t>
  </si>
  <si>
    <t>NORTH DAIRY RD</t>
  </si>
  <si>
    <t>DONCASTER DR</t>
  </si>
  <si>
    <t>DONCASTER GREENWAY</t>
  </si>
  <si>
    <t>PEARL ST</t>
  </si>
  <si>
    <t>SHAKESPEARE ST</t>
  </si>
  <si>
    <t>OAKLANDS PARK TRAIL</t>
  </si>
  <si>
    <t>HAULTAIN ST</t>
  </si>
  <si>
    <t>RICHMOND RD</t>
  </si>
  <si>
    <t>BAY ST</t>
  </si>
  <si>
    <t>towards parkade</t>
  </si>
  <si>
    <t>CONTROL 9 - MEMORIAL PAVILION
Royal Jubilee Hospital, Victoria</t>
  </si>
  <si>
    <t>return to Bay St</t>
  </si>
  <si>
    <t>LEE AVE</t>
  </si>
  <si>
    <t>FORT ST</t>
  </si>
  <si>
    <t>FOUL BAY RD</t>
  </si>
  <si>
    <t>HENDERSON RD</t>
  </si>
  <si>
    <t>RING RD</t>
  </si>
  <si>
    <t>FINNERTY RD</t>
  </si>
  <si>
    <t>MCKENZIE AVE</t>
  </si>
  <si>
    <t>VIKES WAY</t>
  </si>
  <si>
    <t>MCCOY RD TRAIL</t>
  </si>
  <si>
    <t>MCCOY RD</t>
  </si>
  <si>
    <t>GORDON HEAD RD</t>
  </si>
  <si>
    <t>LAVAL AVE</t>
  </si>
  <si>
    <t>LARCHWOOD DR</t>
  </si>
  <si>
    <t>LAMBRICK PARK TRAIL</t>
  </si>
  <si>
    <t>TORQUAY DR</t>
  </si>
  <si>
    <t>KENMORE RD</t>
  </si>
  <si>
    <t>SHELBOURNE ST</t>
  </si>
  <si>
    <t>ELNIDO RD</t>
  </si>
  <si>
    <t>CONTROL 10 - ROAD TO REMEMBRANCE
Shelbourne St, Saanich</t>
  </si>
  <si>
    <t>PARKSIDE CR</t>
  </si>
  <si>
    <t>WINCHESTERR RD</t>
  </si>
  <si>
    <t>SAN JUAN GREENWAY</t>
  </si>
  <si>
    <t>GLENDENNING RD</t>
  </si>
  <si>
    <t>MOUNT NEWTON CROSS RD</t>
  </si>
  <si>
    <t>MCTAVISH RD</t>
  </si>
  <si>
    <t>CANORA RD</t>
  </si>
  <si>
    <t>towards road</t>
  </si>
  <si>
    <t>BEACON AVE W</t>
  </si>
  <si>
    <t>BEVAN AVE</t>
  </si>
  <si>
    <t>TULISTA PARK</t>
  </si>
  <si>
    <t>4845</t>
  </si>
  <si>
    <t>Schedule Date: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</si>
  <si>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</si>
  <si>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Signature/Answer</t>
  </si>
  <si>
    <t xml:space="preserve">Brevet No. </t>
  </si>
  <si>
    <t>Member #</t>
  </si>
  <si>
    <t>(only add if change needed to database)</t>
  </si>
  <si>
    <t>Ride Day Emergency Contact</t>
  </si>
  <si>
    <t>RIDE GROUP  CONTACT NAMES (max 6)</t>
  </si>
  <si>
    <t>Start Date</t>
  </si>
  <si>
    <t>Finish Date</t>
  </si>
  <si>
    <t>Bicycle Type
Circle one</t>
  </si>
  <si>
    <t>-------&gt;</t>
  </si>
  <si>
    <t>Single</t>
  </si>
  <si>
    <t>Tandem</t>
  </si>
  <si>
    <t>Fixed</t>
  </si>
  <si>
    <t>Recumbent</t>
  </si>
  <si>
    <t>Velomobile</t>
  </si>
  <si>
    <t>Report results or abandonment through registration email link</t>
  </si>
  <si>
    <t>Complete rider and finish information on Card 1</t>
  </si>
  <si>
    <t>Control Card 2</t>
  </si>
  <si>
    <t>Control Card 1</t>
  </si>
  <si>
    <t>SIDNEY</t>
  </si>
  <si>
    <t>Tulista Park</t>
  </si>
  <si>
    <t>Washrooms</t>
  </si>
  <si>
    <t>NORTH SAANICH</t>
  </si>
  <si>
    <t>CONTROL 3 - ST. LUKE'S CEMETERY
Cedar Hill Cross Rd, Saanich</t>
  </si>
  <si>
    <t>Royal Oak Burial Park</t>
  </si>
  <si>
    <t>Holy Trinity Church Cemetery</t>
  </si>
  <si>
    <t>Falaise Dr</t>
  </si>
  <si>
    <t>St. Luke's Cemetery</t>
  </si>
  <si>
    <t>ESQUIMALT</t>
  </si>
  <si>
    <t>Memorial Park</t>
  </si>
  <si>
    <t>Grave:  George Pearkes VC</t>
  </si>
  <si>
    <t>Grave:  Rowland Bourke VC</t>
  </si>
  <si>
    <t>Memorial: HMCS Esquimalt</t>
  </si>
  <si>
    <t>Park Terr</t>
  </si>
  <si>
    <t>VICTORIA</t>
  </si>
  <si>
    <t>Beacon Hill Park</t>
  </si>
  <si>
    <t>Circle Dr</t>
  </si>
  <si>
    <t>Falaise Park</t>
  </si>
  <si>
    <t>Falaise Cr</t>
  </si>
  <si>
    <t>Chinatown</t>
  </si>
  <si>
    <t>CONTROL 8 - ST. MARY THE VIRGIN CHURCH
Metchosin</t>
  </si>
  <si>
    <t>METCHOSIN</t>
  </si>
  <si>
    <t>St. Mary the Virgin</t>
  </si>
  <si>
    <t>Cenotaph</t>
  </si>
  <si>
    <t>Cedar Hill X Rd @ Cedar Hill Rd</t>
  </si>
  <si>
    <t>Mills Rd @ W. Saanich</t>
  </si>
  <si>
    <t>Fifth Ave @ Weiler Ave</t>
  </si>
  <si>
    <t>Royal Jubilee Hospital</t>
  </si>
  <si>
    <t>Road to Rembrance</t>
  </si>
  <si>
    <t>Shelbourne St @ Elnido Rd</t>
  </si>
  <si>
    <t>Self Sign</t>
  </si>
  <si>
    <t>CEMETERY</t>
  </si>
  <si>
    <t>HOLY TRINITY CHURCH CEMETERY</t>
  </si>
  <si>
    <t>Grave: William Knapp</t>
  </si>
  <si>
    <t>Information sign</t>
  </si>
  <si>
    <t xml:space="preserve">Plaque: Chinese Gate </t>
  </si>
  <si>
    <t xml:space="preserve">Plaque:  BC Indians </t>
  </si>
  <si>
    <t>Metchosin Rd near Happy Valley</t>
  </si>
  <si>
    <t xml:space="preserve">Plaque: Memorial Pavilion </t>
  </si>
  <si>
    <t>Left side front door</t>
  </si>
  <si>
    <t>Plaque in middle of road</t>
  </si>
  <si>
    <t>#of stone planters in front of WC's</t>
  </si>
  <si>
    <t>Knapp's rank?</t>
  </si>
  <si>
    <t>Year HMCS Esquimalt sank?</t>
  </si>
  <si>
    <t>Last first name on plaque</t>
  </si>
  <si>
    <t>Lord ????of Vimy</t>
  </si>
  <si>
    <t>Whose is first parking stall on left?</t>
  </si>
  <si>
    <t>Parking stall designation</t>
  </si>
  <si>
    <t>Sidney Air Cadet HQ</t>
  </si>
  <si>
    <t>Canora Rd &amp; DeHavilland Wy</t>
  </si>
  <si>
    <t># of tiers on the Cenotaph</t>
  </si>
  <si>
    <t>CONTROL 11 - AIR CADETS HALL
Victoria Airport, North Saanich</t>
  </si>
  <si>
    <t>BC Indian____ and Welfare Society</t>
  </si>
  <si>
    <t>Bourke's rank?</t>
  </si>
  <si>
    <t>Governor-General 1960-??</t>
  </si>
  <si>
    <t xml:space="preserve"> 'A Veterans' Community' sign</t>
  </si>
  <si>
    <t xml:space="preserve"> Lot numbers 12 and ??</t>
  </si>
  <si>
    <t>Left post, Fisgard St</t>
  </si>
  <si>
    <t>Year opened as Veterans' Hosp</t>
  </si>
  <si>
    <t>DE HAVILLAND WAY</t>
  </si>
  <si>
    <r>
      <t xml:space="preserve">return </t>
    </r>
    <r>
      <rPr>
        <sz val="12"/>
        <color theme="1"/>
        <rFont val="Calibri"/>
        <family val="2"/>
        <scheme val="minor"/>
      </rPr>
      <t>on DE HAVILLAND WAY</t>
    </r>
  </si>
  <si>
    <r>
      <t>TRAIL</t>
    </r>
    <r>
      <rPr>
        <sz val="12"/>
        <color theme="1"/>
        <rFont val="Calibri"/>
        <family val="2"/>
        <scheme val="minor"/>
      </rPr>
      <t xml:space="preserve"> across bridge</t>
    </r>
  </si>
  <si>
    <t>ROAD by bus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</si>
</sst>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8"/>
      <name val="Verdana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  <font>
      <b/>
      <sz val="16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6"/>
      <name val="Arial"/>
      <family val="2"/>
    </font>
    <font>
      <sz val="20"/>
      <color theme="0" tint="-0.14999847407452621"/>
      <name val="Impact"/>
      <family val="2"/>
    </font>
    <font>
      <sz val="16"/>
      <name val="Arial Narrow"/>
      <family val="2"/>
    </font>
    <font>
      <sz val="14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7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5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17" xfId="0" applyBorder="1"/>
    <xf numFmtId="0" fontId="0" fillId="0" borderId="0" xfId="0" applyAlignment="1">
      <alignment horizontal="righ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2" borderId="5" xfId="0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7" xfId="0" applyFill="1" applyBorder="1"/>
    <xf numFmtId="0" fontId="7" fillId="2" borderId="16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0" fillId="0" borderId="15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9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6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10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10" fillId="0" borderId="19" xfId="0" applyFont="1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19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0" borderId="0" xfId="0" applyBorder="1" applyProtection="1"/>
    <xf numFmtId="0" fontId="0" fillId="0" borderId="18" xfId="0" applyBorder="1" applyProtection="1"/>
    <xf numFmtId="0" fontId="0" fillId="0" borderId="9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169" fontId="12" fillId="2" borderId="16" xfId="0" applyNumberFormat="1" applyFont="1" applyFill="1" applyBorder="1"/>
    <xf numFmtId="169" fontId="12" fillId="2" borderId="16" xfId="0" applyNumberFormat="1" applyFont="1" applyFill="1" applyBorder="1" applyAlignment="1">
      <alignment horizontal="center"/>
    </xf>
    <xf numFmtId="169" fontId="0" fillId="0" borderId="0" xfId="0" applyNumberFormat="1"/>
    <xf numFmtId="169" fontId="10" fillId="0" borderId="19" xfId="0" applyNumberFormat="1" applyFont="1" applyBorder="1" applyAlignment="1" applyProtection="1">
      <alignment horizontal="centerContinuous"/>
    </xf>
    <xf numFmtId="167" fontId="0" fillId="0" borderId="12" xfId="0" applyNumberFormat="1" applyBorder="1" applyProtection="1">
      <protection locked="0"/>
    </xf>
    <xf numFmtId="167" fontId="0" fillId="0" borderId="14" xfId="0" applyNumberForma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3" xfId="0" applyFont="1" applyBorder="1" applyProtection="1">
      <protection locked="0"/>
    </xf>
    <xf numFmtId="169" fontId="13" fillId="0" borderId="3" xfId="0" applyNumberFormat="1" applyFont="1" applyBorder="1" applyProtection="1">
      <protection locked="0"/>
    </xf>
    <xf numFmtId="0" fontId="8" fillId="0" borderId="19" xfId="0" applyFont="1" applyBorder="1" applyProtection="1"/>
    <xf numFmtId="169" fontId="14" fillId="0" borderId="19" xfId="0" applyNumberFormat="1" applyFont="1" applyBorder="1" applyAlignment="1" applyProtection="1">
      <alignment horizontal="centerContinuous"/>
    </xf>
    <xf numFmtId="0" fontId="14" fillId="0" borderId="19" xfId="0" applyFont="1" applyBorder="1" applyProtection="1"/>
    <xf numFmtId="167" fontId="15" fillId="0" borderId="17" xfId="0" applyNumberFormat="1" applyFont="1" applyBorder="1" applyAlignment="1">
      <alignment horizontal="center" wrapText="1"/>
    </xf>
    <xf numFmtId="166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67" fontId="15" fillId="0" borderId="8" xfId="0" applyNumberFormat="1" applyFont="1" applyBorder="1"/>
    <xf numFmtId="165" fontId="15" fillId="0" borderId="8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wrapText="1"/>
    </xf>
    <xf numFmtId="0" fontId="0" fillId="0" borderId="3" xfId="0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0" xfId="0" applyFont="1"/>
    <xf numFmtId="0" fontId="12" fillId="2" borderId="16" xfId="0" applyFont="1" applyFill="1" applyBorder="1"/>
    <xf numFmtId="0" fontId="12" fillId="2" borderId="16" xfId="0" applyFont="1" applyFill="1" applyBorder="1" applyAlignment="1">
      <alignment wrapText="1"/>
    </xf>
    <xf numFmtId="0" fontId="12" fillId="2" borderId="16" xfId="0" applyFont="1" applyFill="1" applyBorder="1" applyAlignment="1">
      <alignment horizontal="center"/>
    </xf>
    <xf numFmtId="0" fontId="13" fillId="3" borderId="3" xfId="0" applyFont="1" applyFill="1" applyBorder="1"/>
    <xf numFmtId="169" fontId="13" fillId="3" borderId="3" xfId="0" applyNumberFormat="1" applyFont="1" applyFill="1" applyBorder="1" applyProtection="1">
      <protection locked="0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9" fontId="13" fillId="0" borderId="3" xfId="0" applyNumberFormat="1" applyFont="1" applyFill="1" applyBorder="1" applyProtection="1"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 applyProtection="1"/>
    <xf numFmtId="167" fontId="0" fillId="0" borderId="12" xfId="0" applyNumberFormat="1" applyBorder="1" applyProtection="1">
      <protection locked="0"/>
    </xf>
    <xf numFmtId="0" fontId="0" fillId="0" borderId="0" xfId="0" applyBorder="1" applyAlignment="1">
      <alignment horizontal="right"/>
    </xf>
    <xf numFmtId="0" fontId="0" fillId="0" borderId="3" xfId="0" applyFont="1" applyBorder="1" applyProtection="1">
      <protection locked="0"/>
    </xf>
    <xf numFmtId="0" fontId="19" fillId="0" borderId="3" xfId="99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21" fillId="0" borderId="4" xfId="0" applyNumberFormat="1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 applyProtection="1">
      <alignment horizontal="center"/>
      <protection locked="0"/>
    </xf>
    <xf numFmtId="0" fontId="24" fillId="0" borderId="17" xfId="0" applyFont="1" applyBorder="1" applyAlignment="1">
      <alignment horizontal="center" vertical="center" wrapText="1"/>
    </xf>
    <xf numFmtId="0" fontId="13" fillId="0" borderId="13" xfId="0" applyFont="1" applyBorder="1" applyProtection="1">
      <protection locked="0"/>
    </xf>
    <xf numFmtId="49" fontId="13" fillId="0" borderId="4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justify"/>
    </xf>
    <xf numFmtId="0" fontId="0" fillId="0" borderId="5" xfId="0" applyFont="1" applyBorder="1" applyAlignment="1" applyProtection="1">
      <alignment horizontal="centerContinuous"/>
      <protection locked="0"/>
    </xf>
    <xf numFmtId="167" fontId="12" fillId="3" borderId="26" xfId="162" applyNumberFormat="1" applyFont="1" applyFill="1" applyBorder="1" applyAlignment="1">
      <alignment horizontal="center" wrapText="1"/>
    </xf>
    <xf numFmtId="0" fontId="12" fillId="3" borderId="26" xfId="162" applyFont="1" applyFill="1" applyBorder="1" applyAlignment="1">
      <alignment horizontal="center" textRotation="90" wrapText="1"/>
    </xf>
    <xf numFmtId="0" fontId="12" fillId="3" borderId="26" xfId="162" applyFont="1" applyFill="1" applyBorder="1" applyAlignment="1">
      <alignment horizontal="center" vertical="top" wrapText="1"/>
    </xf>
    <xf numFmtId="167" fontId="12" fillId="3" borderId="26" xfId="162" applyNumberFormat="1" applyFont="1" applyFill="1" applyBorder="1" applyAlignment="1">
      <alignment horizontal="center" textRotation="90" wrapText="1"/>
    </xf>
    <xf numFmtId="0" fontId="13" fillId="0" borderId="0" xfId="163"/>
    <xf numFmtId="167" fontId="12" fillId="3" borderId="12" xfId="162" applyNumberFormat="1" applyFont="1" applyFill="1" applyBorder="1" applyAlignment="1">
      <alignment vertical="center"/>
    </xf>
    <xf numFmtId="0" fontId="12" fillId="3" borderId="31" xfId="162" applyFont="1" applyFill="1" applyBorder="1"/>
    <xf numFmtId="0" fontId="12" fillId="3" borderId="31" xfId="162" applyFont="1" applyFill="1" applyBorder="1" applyAlignment="1">
      <alignment horizontal="center" vertical="center" wrapText="1"/>
    </xf>
    <xf numFmtId="167" fontId="12" fillId="3" borderId="32" xfId="162" applyNumberFormat="1" applyFont="1" applyFill="1" applyBorder="1"/>
    <xf numFmtId="167" fontId="3" fillId="0" borderId="33" xfId="162" applyNumberFormat="1" applyFont="1" applyBorder="1" applyAlignment="1">
      <alignment wrapText="1"/>
    </xf>
    <xf numFmtId="167" fontId="0" fillId="0" borderId="26" xfId="162" applyNumberFormat="1" applyFont="1" applyBorder="1"/>
    <xf numFmtId="0" fontId="0" fillId="0" borderId="26" xfId="162" applyFont="1" applyBorder="1"/>
    <xf numFmtId="167" fontId="3" fillId="0" borderId="34" xfId="162" applyNumberFormat="1" applyFont="1" applyBorder="1" applyAlignment="1">
      <alignment wrapText="1"/>
    </xf>
    <xf numFmtId="167" fontId="3" fillId="0" borderId="26" xfId="162" applyNumberFormat="1" applyFont="1" applyBorder="1"/>
    <xf numFmtId="0" fontId="3" fillId="0" borderId="26" xfId="162" applyFont="1" applyBorder="1"/>
    <xf numFmtId="167" fontId="3" fillId="4" borderId="33" xfId="162" applyNumberFormat="1" applyFont="1" applyFill="1" applyBorder="1" applyAlignment="1">
      <alignment wrapText="1"/>
    </xf>
    <xf numFmtId="167" fontId="0" fillId="4" borderId="26" xfId="162" applyNumberFormat="1" applyFont="1" applyFill="1" applyBorder="1"/>
    <xf numFmtId="0" fontId="0" fillId="4" borderId="26" xfId="162" applyFont="1" applyFill="1" applyBorder="1" applyAlignment="1">
      <alignment wrapText="1"/>
    </xf>
    <xf numFmtId="167" fontId="3" fillId="4" borderId="34" xfId="162" applyNumberFormat="1" applyFont="1" applyFill="1" applyBorder="1" applyAlignment="1">
      <alignment wrapText="1"/>
    </xf>
    <xf numFmtId="167" fontId="3" fillId="4" borderId="26" xfId="162" applyNumberFormat="1" applyFont="1" applyFill="1" applyBorder="1"/>
    <xf numFmtId="0" fontId="3" fillId="4" borderId="26" xfId="162" applyFont="1" applyFill="1" applyBorder="1"/>
    <xf numFmtId="0" fontId="25" fillId="0" borderId="26" xfId="162" applyBorder="1"/>
    <xf numFmtId="167" fontId="3" fillId="5" borderId="33" xfId="162" applyNumberFormat="1" applyFont="1" applyFill="1" applyBorder="1" applyAlignment="1">
      <alignment wrapText="1"/>
    </xf>
    <xf numFmtId="167" fontId="3" fillId="5" borderId="26" xfId="162" applyNumberFormat="1" applyFont="1" applyFill="1" applyBorder="1"/>
    <xf numFmtId="0" fontId="3" fillId="5" borderId="26" xfId="162" applyFont="1" applyFill="1" applyBorder="1"/>
    <xf numFmtId="167" fontId="3" fillId="5" borderId="34" xfId="162" applyNumberFormat="1" applyFont="1" applyFill="1" applyBorder="1" applyAlignment="1">
      <alignment wrapText="1"/>
    </xf>
    <xf numFmtId="167" fontId="3" fillId="0" borderId="33" xfId="164" applyNumberFormat="1" applyFont="1" applyBorder="1"/>
    <xf numFmtId="0" fontId="3" fillId="0" borderId="26" xfId="164" applyFont="1" applyBorder="1"/>
    <xf numFmtId="167" fontId="3" fillId="4" borderId="33" xfId="164" applyNumberFormat="1" applyFill="1" applyBorder="1"/>
    <xf numFmtId="0" fontId="3" fillId="4" borderId="26" xfId="164" applyFill="1" applyBorder="1"/>
    <xf numFmtId="0" fontId="3" fillId="4" borderId="26" xfId="164" applyFont="1" applyFill="1" applyBorder="1"/>
    <xf numFmtId="167" fontId="3" fillId="0" borderId="33" xfId="164" applyNumberFormat="1" applyBorder="1"/>
    <xf numFmtId="0" fontId="3" fillId="0" borderId="26" xfId="164" applyBorder="1"/>
    <xf numFmtId="0" fontId="0" fillId="0" borderId="26" xfId="164" applyFont="1" applyBorder="1"/>
    <xf numFmtId="167" fontId="3" fillId="0" borderId="33" xfId="162" applyNumberFormat="1" applyFont="1" applyBorder="1"/>
    <xf numFmtId="0" fontId="3" fillId="0" borderId="26" xfId="162" applyFont="1" applyBorder="1" applyAlignment="1">
      <alignment wrapText="1"/>
    </xf>
    <xf numFmtId="0" fontId="26" fillId="0" borderId="26" xfId="162" applyFont="1" applyFill="1" applyBorder="1"/>
    <xf numFmtId="167" fontId="3" fillId="5" borderId="33" xfId="164" applyNumberFormat="1" applyFill="1" applyBorder="1"/>
    <xf numFmtId="0" fontId="3" fillId="5" borderId="26" xfId="164" applyFont="1" applyFill="1" applyBorder="1"/>
    <xf numFmtId="167" fontId="3" fillId="0" borderId="12" xfId="164" applyNumberFormat="1" applyBorder="1"/>
    <xf numFmtId="0" fontId="3" fillId="0" borderId="31" xfId="164" applyFont="1" applyBorder="1"/>
    <xf numFmtId="167" fontId="3" fillId="0" borderId="32" xfId="162" applyNumberFormat="1" applyFont="1" applyBorder="1" applyAlignment="1">
      <alignment wrapText="1"/>
    </xf>
    <xf numFmtId="167" fontId="25" fillId="0" borderId="31" xfId="162" applyNumberFormat="1" applyBorder="1"/>
    <xf numFmtId="0" fontId="25" fillId="0" borderId="31" xfId="162" applyBorder="1"/>
    <xf numFmtId="167" fontId="25" fillId="0" borderId="26" xfId="162" applyNumberFormat="1" applyBorder="1"/>
    <xf numFmtId="49" fontId="0" fillId="0" borderId="4" xfId="0" applyNumberFormat="1" applyFont="1" applyBorder="1" applyAlignment="1" applyProtection="1">
      <alignment horizontal="right"/>
      <protection locked="0"/>
    </xf>
    <xf numFmtId="0" fontId="0" fillId="2" borderId="37" xfId="0" applyFill="1" applyBorder="1" applyAlignment="1">
      <alignment horizontal="right"/>
    </xf>
    <xf numFmtId="15" fontId="0" fillId="0" borderId="30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24" fillId="0" borderId="17" xfId="0" applyNumberFormat="1" applyFont="1" applyBorder="1" applyAlignment="1">
      <alignment horizontal="center" vertical="center"/>
    </xf>
    <xf numFmtId="18" fontId="24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vertical="center"/>
    </xf>
    <xf numFmtId="169" fontId="7" fillId="0" borderId="0" xfId="0" applyNumberFormat="1" applyFont="1" applyBorder="1" applyAlignment="1" applyProtection="1">
      <alignment horizontal="left" vertical="center"/>
    </xf>
    <xf numFmtId="0" fontId="16" fillId="0" borderId="17" xfId="0" applyFont="1" applyBorder="1" applyAlignment="1">
      <alignment horizontal="center" vertical="top" wrapText="1"/>
    </xf>
    <xf numFmtId="0" fontId="0" fillId="0" borderId="0" xfId="0" applyBorder="1"/>
    <xf numFmtId="0" fontId="10" fillId="0" borderId="0" xfId="0" applyFont="1" applyBorder="1" applyAlignment="1" applyProtection="1">
      <alignment horizontal="right"/>
    </xf>
    <xf numFmtId="0" fontId="29" fillId="0" borderId="19" xfId="0" applyFont="1" applyBorder="1" applyProtection="1"/>
    <xf numFmtId="0" fontId="10" fillId="0" borderId="6" xfId="0" applyFont="1" applyBorder="1" applyProtection="1"/>
    <xf numFmtId="0" fontId="0" fillId="6" borderId="0" xfId="0" applyFill="1"/>
    <xf numFmtId="0" fontId="7" fillId="0" borderId="0" xfId="0" applyFont="1" applyAlignment="1">
      <alignment vertical="center" wrapText="1"/>
    </xf>
    <xf numFmtId="0" fontId="10" fillId="0" borderId="0" xfId="0" applyFont="1" applyBorder="1" applyProtection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right" vertical="center"/>
    </xf>
    <xf numFmtId="0" fontId="5" fillId="0" borderId="0" xfId="0" applyFont="1" applyBorder="1" applyAlignment="1" applyProtection="1">
      <alignment wrapText="1"/>
    </xf>
    <xf numFmtId="0" fontId="31" fillId="0" borderId="0" xfId="0" applyFont="1" applyAlignment="1">
      <alignment horizontal="center" vertical="top"/>
    </xf>
    <xf numFmtId="0" fontId="31" fillId="0" borderId="0" xfId="0" applyFont="1"/>
    <xf numFmtId="0" fontId="10" fillId="0" borderId="24" xfId="0" applyFont="1" applyBorder="1"/>
    <xf numFmtId="167" fontId="14" fillId="0" borderId="0" xfId="0" applyNumberFormat="1" applyFont="1" applyAlignment="1">
      <alignment vertical="top"/>
    </xf>
    <xf numFmtId="168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 applyProtection="1">
      <alignment horizontal="left"/>
    </xf>
    <xf numFmtId="0" fontId="5" fillId="0" borderId="21" xfId="0" applyFont="1" applyBorder="1" applyAlignment="1">
      <alignment vertical="top"/>
    </xf>
    <xf numFmtId="0" fontId="0" fillId="0" borderId="13" xfId="0" applyFont="1" applyBorder="1" applyProtection="1"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0" fontId="2" fillId="0" borderId="26" xfId="162" applyFont="1" applyBorder="1"/>
    <xf numFmtId="167" fontId="0" fillId="0" borderId="38" xfId="0" applyNumberFormat="1" applyBorder="1" applyProtection="1">
      <protection locked="0"/>
    </xf>
    <xf numFmtId="0" fontId="0" fillId="0" borderId="36" xfId="0" applyBorder="1" applyProtection="1">
      <protection locked="0"/>
    </xf>
    <xf numFmtId="49" fontId="0" fillId="0" borderId="36" xfId="0" applyNumberFormat="1" applyBorder="1" applyAlignment="1" applyProtection="1">
      <alignment horizontal="center"/>
      <protection locked="0"/>
    </xf>
    <xf numFmtId="49" fontId="13" fillId="0" borderId="3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/>
    </xf>
    <xf numFmtId="0" fontId="0" fillId="0" borderId="19" xfId="0" applyBorder="1" applyAlignment="1" applyProtection="1">
      <alignment horizontal="left"/>
    </xf>
    <xf numFmtId="0" fontId="10" fillId="0" borderId="0" xfId="0" applyFont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top"/>
    </xf>
    <xf numFmtId="0" fontId="10" fillId="0" borderId="19" xfId="0" applyFont="1" applyBorder="1" applyAlignment="1" applyProtection="1">
      <alignment horizontal="left"/>
    </xf>
    <xf numFmtId="0" fontId="18" fillId="0" borderId="0" xfId="0" applyFont="1" applyAlignment="1">
      <alignment horizontal="center"/>
    </xf>
    <xf numFmtId="0" fontId="7" fillId="0" borderId="19" xfId="0" applyFont="1" applyFill="1" applyBorder="1" applyAlignment="1">
      <alignment horizontal="center" wrapText="1"/>
    </xf>
    <xf numFmtId="169" fontId="7" fillId="0" borderId="19" xfId="0" applyNumberFormat="1" applyFont="1" applyFill="1" applyBorder="1" applyAlignment="1">
      <alignment horizontal="left" wrapText="1"/>
    </xf>
    <xf numFmtId="0" fontId="10" fillId="0" borderId="19" xfId="0" applyFont="1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/>
    </xf>
    <xf numFmtId="0" fontId="7" fillId="0" borderId="0" xfId="0" applyFont="1" applyAlignment="1" applyProtection="1">
      <alignment horizontal="right" vertical="center"/>
    </xf>
    <xf numFmtId="168" fontId="7" fillId="0" borderId="0" xfId="0" applyNumberFormat="1" applyFont="1" applyBorder="1" applyAlignment="1">
      <alignment horizontal="left" vertical="center"/>
    </xf>
    <xf numFmtId="167" fontId="14" fillId="0" borderId="21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center" wrapText="1"/>
    </xf>
    <xf numFmtId="169" fontId="7" fillId="6" borderId="19" xfId="0" applyNumberFormat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center"/>
    </xf>
    <xf numFmtId="169" fontId="14" fillId="6" borderId="19" xfId="0" applyNumberFormat="1" applyFont="1" applyFill="1" applyBorder="1" applyAlignment="1" applyProtection="1">
      <alignment horizontal="left"/>
    </xf>
    <xf numFmtId="168" fontId="10" fillId="0" borderId="6" xfId="0" applyNumberFormat="1" applyFont="1" applyBorder="1" applyAlignment="1">
      <alignment horizontal="center"/>
    </xf>
    <xf numFmtId="18" fontId="30" fillId="0" borderId="6" xfId="0" applyNumberFormat="1" applyFont="1" applyBorder="1" applyAlignment="1">
      <alignment horizontal="center" wrapText="1"/>
    </xf>
    <xf numFmtId="18" fontId="30" fillId="0" borderId="0" xfId="0" applyNumberFormat="1" applyFont="1" applyBorder="1" applyAlignment="1">
      <alignment horizontal="center" wrapText="1"/>
    </xf>
    <xf numFmtId="167" fontId="27" fillId="0" borderId="35" xfId="162" applyNumberFormat="1" applyFont="1" applyBorder="1" applyAlignment="1">
      <alignment horizontal="center"/>
    </xf>
    <xf numFmtId="167" fontId="27" fillId="0" borderId="25" xfId="162" applyNumberFormat="1" applyFont="1" applyBorder="1" applyAlignment="1">
      <alignment horizontal="center"/>
    </xf>
    <xf numFmtId="167" fontId="27" fillId="0" borderId="27" xfId="162" applyNumberFormat="1" applyFont="1" applyBorder="1" applyAlignment="1">
      <alignment horizontal="center"/>
    </xf>
    <xf numFmtId="167" fontId="3" fillId="0" borderId="28" xfId="164" applyNumberFormat="1" applyBorder="1" applyAlignment="1">
      <alignment horizontal="center"/>
    </xf>
    <xf numFmtId="167" fontId="3" fillId="0" borderId="29" xfId="164" applyNumberFormat="1" applyBorder="1" applyAlignment="1">
      <alignment horizontal="center"/>
    </xf>
    <xf numFmtId="167" fontId="3" fillId="0" borderId="36" xfId="164" applyNumberFormat="1" applyBorder="1" applyAlignment="1">
      <alignment horizontal="center"/>
    </xf>
    <xf numFmtId="167" fontId="3" fillId="0" borderId="35" xfId="164" applyNumberFormat="1" applyBorder="1" applyAlignment="1">
      <alignment horizontal="center"/>
    </xf>
    <xf numFmtId="167" fontId="3" fillId="0" borderId="25" xfId="164" applyNumberFormat="1" applyBorder="1" applyAlignment="1">
      <alignment horizontal="center"/>
    </xf>
    <xf numFmtId="167" fontId="3" fillId="0" borderId="27" xfId="164" applyNumberFormat="1" applyBorder="1" applyAlignment="1">
      <alignment horizontal="center"/>
    </xf>
    <xf numFmtId="0" fontId="1" fillId="0" borderId="26" xfId="164" applyFont="1" applyBorder="1"/>
    <xf numFmtId="0" fontId="1" fillId="0" borderId="31" xfId="164" applyFont="1" applyBorder="1"/>
  </cellXfs>
  <cellStyles count="1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1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/>
    <cellStyle name="Normal" xfId="0" builtinId="0"/>
    <cellStyle name="Normal 2" xfId="153"/>
    <cellStyle name="Normal 2 2" xfId="162"/>
    <cellStyle name="Normal 3" xfId="160"/>
    <cellStyle name="Normal 3 2" xfId="165"/>
    <cellStyle name="Normal 3 2 2" xfId="166"/>
    <cellStyle name="Normal 3 2 3" xfId="164"/>
    <cellStyle name="Normal 4" xfId="163"/>
    <cellStyle name="Normal 5" xfId="16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1308100</xdr:colOff>
      <xdr:row>1</xdr:row>
      <xdr:rowOff>406400</xdr:rowOff>
    </xdr:from>
    <xdr:to>
      <xdr:col>11</xdr:col>
      <xdr:colOff>663713</xdr:colOff>
      <xdr:row>5</xdr:row>
      <xdr:rowOff>172043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9300" y="647700"/>
          <a:ext cx="2009913" cy="1556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1308100</xdr:colOff>
      <xdr:row>1</xdr:row>
      <xdr:rowOff>406400</xdr:rowOff>
    </xdr:from>
    <xdr:to>
      <xdr:col>11</xdr:col>
      <xdr:colOff>587513</xdr:colOff>
      <xdr:row>5</xdr:row>
      <xdr:rowOff>172043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2700" y="647700"/>
          <a:ext cx="2009913" cy="1556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showGridLines="0" tabSelected="1" zoomScale="150" zoomScaleNormal="150" zoomScalePageLayoutView="150" workbookViewId="0">
      <selection activeCell="D26" sqref="D26"/>
    </sheetView>
  </sheetViews>
  <sheetFormatPr baseColWidth="10" defaultColWidth="8.83203125" defaultRowHeight="12" x14ac:dyDescent="0"/>
  <cols>
    <col min="1" max="1" width="16.5" style="2" customWidth="1"/>
    <col min="2" max="2" width="9.6640625" bestFit="1" customWidth="1"/>
    <col min="3" max="3" width="0" style="5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</cols>
  <sheetData>
    <row r="1" spans="1:12">
      <c r="A1" s="24" t="s">
        <v>45</v>
      </c>
      <c r="B1" s="25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2" ht="13" thickBot="1">
      <c r="A2" s="26" t="s">
        <v>46</v>
      </c>
      <c r="B2" s="27">
        <f>IF(brevet=1200,90,IF(brevet=1000,75,IF(brevet=600,40,IF(brevet=400,27,IF(brevet=300,20,IF(brevet=200,13.5,IF(brevet=100,7,0)))))))</f>
        <v>13.5</v>
      </c>
    </row>
    <row r="3" spans="1:12" ht="13" thickBot="1">
      <c r="A3" s="26" t="s">
        <v>47</v>
      </c>
      <c r="B3" s="100" t="s">
        <v>77</v>
      </c>
      <c r="C3" s="30"/>
      <c r="D3" s="3"/>
      <c r="E3" s="3"/>
      <c r="F3" s="3"/>
      <c r="G3" s="3"/>
      <c r="H3" s="4"/>
    </row>
    <row r="4" spans="1:12">
      <c r="A4" s="26" t="s">
        <v>48</v>
      </c>
      <c r="B4" s="146" t="s">
        <v>333</v>
      </c>
      <c r="C4" s="47"/>
      <c r="D4" s="48"/>
      <c r="E4" s="48"/>
      <c r="F4" s="48"/>
      <c r="G4" s="48"/>
      <c r="H4" s="48"/>
    </row>
    <row r="5" spans="1:12">
      <c r="A5" s="26" t="s">
        <v>334</v>
      </c>
      <c r="B5" s="28">
        <v>44146</v>
      </c>
      <c r="C5" s="47"/>
      <c r="D5" s="48"/>
      <c r="E5" s="48"/>
      <c r="F5" s="48"/>
      <c r="G5" s="48"/>
      <c r="H5" s="48"/>
    </row>
    <row r="6" spans="1:12" ht="8" customHeight="1">
      <c r="E6" s="48"/>
      <c r="F6" s="48"/>
      <c r="G6" s="48"/>
      <c r="H6" s="48"/>
    </row>
    <row r="7" spans="1:12" ht="13" thickBot="1">
      <c r="A7" s="147" t="s">
        <v>49</v>
      </c>
      <c r="B7" s="148">
        <v>44146</v>
      </c>
    </row>
    <row r="8" spans="1:12" ht="13" thickBot="1">
      <c r="A8" s="22" t="s">
        <v>50</v>
      </c>
      <c r="B8" s="23">
        <v>0.29166666666666669</v>
      </c>
    </row>
    <row r="9" spans="1:12" ht="13" thickBot="1">
      <c r="D9" s="8" t="s">
        <v>51</v>
      </c>
      <c r="E9" s="9"/>
      <c r="F9" s="9"/>
      <c r="G9" s="9"/>
      <c r="H9" s="10"/>
    </row>
    <row r="10" spans="1:12" ht="8.25" hidden="1" customHeight="1" thickBot="1">
      <c r="D10" s="11"/>
      <c r="E10" s="11"/>
      <c r="F10" s="11"/>
      <c r="G10" s="11"/>
      <c r="H10" s="11"/>
    </row>
    <row r="11" spans="1:12" ht="13" thickBot="1">
      <c r="D11" s="12" t="s">
        <v>52</v>
      </c>
      <c r="E11" s="13" t="s">
        <v>53</v>
      </c>
      <c r="F11" s="13" t="s">
        <v>54</v>
      </c>
      <c r="G11" s="13" t="s">
        <v>55</v>
      </c>
      <c r="H11" s="14" t="s">
        <v>56</v>
      </c>
      <c r="I11" t="s">
        <v>57</v>
      </c>
      <c r="J11" t="s">
        <v>58</v>
      </c>
      <c r="K11" t="s">
        <v>59</v>
      </c>
      <c r="L11" t="s">
        <v>60</v>
      </c>
    </row>
    <row r="12" spans="1:12">
      <c r="C12" s="5" t="s">
        <v>33</v>
      </c>
      <c r="D12" s="89">
        <v>0</v>
      </c>
      <c r="E12" s="176" t="s">
        <v>355</v>
      </c>
      <c r="F12" s="177" t="s">
        <v>356</v>
      </c>
      <c r="G12" s="177" t="s">
        <v>357</v>
      </c>
      <c r="H12" s="178" t="s">
        <v>382</v>
      </c>
      <c r="I12" s="6">
        <f>Start_date+Start_time</f>
        <v>44146.291666666664</v>
      </c>
      <c r="J12" s="6">
        <f>I12+"1:00"</f>
        <v>44146.333333333328</v>
      </c>
      <c r="K12" s="7">
        <f>IF(ISBLANK(Distance),"",Open Control_1)</f>
        <v>44146.291666666664</v>
      </c>
      <c r="L12" s="7">
        <f>IF(ISBLANK(Distance),"",Close Control_1)</f>
        <v>44146.333333333328</v>
      </c>
    </row>
    <row r="13" spans="1:12">
      <c r="C13" s="5" t="s">
        <v>1</v>
      </c>
      <c r="D13" s="89">
        <f>' Route'!A27</f>
        <v>21.2</v>
      </c>
      <c r="E13" s="176" t="s">
        <v>358</v>
      </c>
      <c r="F13" s="177" t="s">
        <v>361</v>
      </c>
      <c r="G13" s="177" t="s">
        <v>366</v>
      </c>
      <c r="H13" s="178" t="s">
        <v>381</v>
      </c>
      <c r="I13">
        <f>IF(ISBLANK(Distance),"",IF(Distance&gt;1000,(Distance-1000)/26+33.0847,(IF(Distance&gt;600,(Distance-600)/28+18.799,(IF(Distance&gt;400,(Distance-400)/30+12.1324,(IF(Distance&gt;200,(Distance-200)/32+5.8824,Distance/34))))))))</f>
        <v>0.62352941176470589</v>
      </c>
      <c r="J13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1.4133333333333333</v>
      </c>
      <c r="K13" s="7">
        <f>IF(ISBLANK(Distance),"",Open_time Control_1+(INT(Open)&amp;":"&amp;IF(ROUND(((Open-INT(Open))*60),0)&lt;10,0,"")&amp;ROUND(((Open-INT(Open))*60),0)))</f>
        <v>44146.317361111105</v>
      </c>
      <c r="L13" s="7">
        <f>IF(ISBLANK(Distance),"",Open_time Control_1+(INT(Close)&amp;":"&amp;IF(ROUND(((Close-INT(Close))*60),0)&lt;10,0,"")&amp;ROUND(((Close-INT(Close))*60),0)))</f>
        <v>44146.350694444445</v>
      </c>
    </row>
    <row r="14" spans="1:12">
      <c r="C14" s="5" t="s">
        <v>2</v>
      </c>
      <c r="D14" s="89">
        <f>' Route'!A59</f>
        <v>43.1</v>
      </c>
      <c r="E14" s="176" t="s">
        <v>76</v>
      </c>
      <c r="F14" s="177" t="s">
        <v>360</v>
      </c>
      <c r="G14" s="177" t="s">
        <v>367</v>
      </c>
      <c r="H14" s="178" t="s">
        <v>362</v>
      </c>
      <c r="I14">
        <f>IF(ISBLANK(Distance),"",IF(Distance&gt;1000,(Distance-1000)/26+33.0847,(IF(Distance&gt;600,(Distance-600)/28+18.799,(IF(Distance&gt;400,(Distance-400)/30+12.1324,(IF(Distance&gt;200,(Distance-200)/32+5.8824,Distance/34))))))))</f>
        <v>1.2676470588235293</v>
      </c>
      <c r="J14">
        <f t="shared" ref="J14:J2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2.8733333333333335</v>
      </c>
      <c r="K14" s="7">
        <f>IF(ISBLANK(Distance),"",Open_time Control_1+(INT(Open)&amp;":"&amp;IF(ROUND(((Open-INT(Open))*60),0)&lt;10,0,"")&amp;ROUND(((Open-INT(Open))*60),0)))</f>
        <v>44146.344444444439</v>
      </c>
      <c r="L14" s="7">
        <f>IF(ISBLANK(Distance),"",Open_time Control_1+(INT(Close)&amp;":"&amp;IF(ROUND(((Close-INT(Close))*60),0)&lt;10,0,"")&amp;ROUND(((Close-INT(Close))*60),0)))</f>
        <v>44146.411111111105</v>
      </c>
    </row>
    <row r="15" spans="1:12">
      <c r="C15" s="5" t="s">
        <v>3</v>
      </c>
      <c r="D15" s="89">
        <f>' Route'!A83</f>
        <v>52.05</v>
      </c>
      <c r="E15" s="176" t="s">
        <v>76</v>
      </c>
      <c r="F15" s="177" t="s">
        <v>363</v>
      </c>
      <c r="G15" s="177" t="s">
        <v>389</v>
      </c>
      <c r="H15" s="178" t="s">
        <v>380</v>
      </c>
      <c r="I15">
        <f t="shared" ref="I15:I30" si="1">IF(ISBLANK(Distance),"",IF(Distance&gt;1000,(Distance-1000)/26+33.0847,(IF(Distance&gt;600,(Distance-600)/28+18.799,(IF(Distance&gt;400,(Distance-400)/30+12.1324,(IF(Distance&gt;200,(Distance-200)/32+5.8824,Distance/34))))))))</f>
        <v>1.5308823529411764</v>
      </c>
      <c r="J15">
        <f t="shared" si="0"/>
        <v>3.4699999999999998</v>
      </c>
      <c r="K15" s="7">
        <f>IF(ISBLANK(Distance),"",Open_time Control_1+(INT(Open)&amp;":"&amp;IF(ROUND(((Open-INT(Open))*60),0)&lt;10,0,"")&amp;ROUND(((Open-INT(Open))*60),0)))</f>
        <v>44146.35555555555</v>
      </c>
      <c r="L15" s="7">
        <f>IF(ISBLANK(Distance),"",Open_time Control_1+(INT(Close)&amp;":"&amp;IF(ROUND(((Close-INT(Close))*60),0)&lt;10,0,"")&amp;ROUND(((Close-INT(Close))*60),0)))</f>
        <v>44146.436111111107</v>
      </c>
    </row>
    <row r="16" spans="1:12">
      <c r="C16" s="5" t="s">
        <v>4</v>
      </c>
      <c r="D16" s="89">
        <f>' Route'!A145</f>
        <v>68.67</v>
      </c>
      <c r="E16" s="176" t="s">
        <v>364</v>
      </c>
      <c r="F16" s="177" t="s">
        <v>365</v>
      </c>
      <c r="G16" s="177" t="s">
        <v>368</v>
      </c>
      <c r="H16" s="178" t="s">
        <v>369</v>
      </c>
      <c r="I16">
        <f t="shared" si="1"/>
        <v>2.019705882352941</v>
      </c>
      <c r="J16">
        <f t="shared" si="0"/>
        <v>4.5780000000000003</v>
      </c>
      <c r="K16" s="7">
        <f>IF(ISBLANK(Distance),"",Open_time Control_1+(INT(Open)&amp;":"&amp;IF(ROUND(((Open-INT(Open))*60),0)&lt;10,0,"")&amp;ROUND(((Open-INT(Open))*60),0)))</f>
        <v>44146.375694444439</v>
      </c>
      <c r="L16" s="7">
        <f>IF(ISBLANK(Distance),"",Open_time Control_1+(INT(Close)&amp;":"&amp;IF(ROUND(((Close-INT(Close))*60),0)&lt;10,0,"")&amp;ROUND(((Close-INT(Close))*60),0)))</f>
        <v>44146.482638888883</v>
      </c>
    </row>
    <row r="17" spans="3:12">
      <c r="C17" s="5" t="s">
        <v>5</v>
      </c>
      <c r="D17" s="89">
        <f>' Route'!A161</f>
        <v>74.900000000000006</v>
      </c>
      <c r="E17" s="176" t="s">
        <v>370</v>
      </c>
      <c r="F17" s="177" t="s">
        <v>371</v>
      </c>
      <c r="G17" s="177" t="s">
        <v>392</v>
      </c>
      <c r="H17" s="178" t="s">
        <v>372</v>
      </c>
      <c r="I17">
        <f t="shared" si="1"/>
        <v>2.2029411764705884</v>
      </c>
      <c r="J17">
        <f t="shared" si="0"/>
        <v>4.9933333333333341</v>
      </c>
      <c r="K17" s="7">
        <f>IF(ISBLANK(Distance),"",Open_time Control_1+(INT(Open)&amp;":"&amp;IF(ROUND(((Open-INT(Open))*60),0)&lt;10,0,"")&amp;ROUND(((Open-INT(Open))*60),0)))</f>
        <v>44146.383333333331</v>
      </c>
      <c r="L17" s="7">
        <f>IF(ISBLANK(Distance),"",Open_time Control_1+(INT(Close)&amp;":"&amp;IF(ROUND(((Close-INT(Close))*60),0)&lt;10,0,"")&amp;ROUND(((Close-INT(Close))*60),0)))</f>
        <v>44146.5</v>
      </c>
    </row>
    <row r="18" spans="3:12">
      <c r="C18" s="5" t="s">
        <v>6</v>
      </c>
      <c r="D18" s="89">
        <f>' Route'!A195</f>
        <v>99.26</v>
      </c>
      <c r="E18" s="176" t="s">
        <v>76</v>
      </c>
      <c r="F18" s="177" t="s">
        <v>373</v>
      </c>
      <c r="G18" s="177" t="s">
        <v>390</v>
      </c>
      <c r="H18" s="178" t="s">
        <v>374</v>
      </c>
      <c r="I18">
        <f t="shared" si="1"/>
        <v>2.9194117647058824</v>
      </c>
      <c r="J18">
        <f t="shared" si="0"/>
        <v>6.6173333333333337</v>
      </c>
      <c r="K18" s="7">
        <f>IF(ISBLANK(Distance),"",Open_time Control_1+(INT(Open)&amp;":"&amp;IF(ROUND(((Open-INT(Open))*60),0)&lt;10,0,"")&amp;ROUND(((Open-INT(Open))*60),0)))</f>
        <v>44146.413194444445</v>
      </c>
      <c r="L18" s="7">
        <f>IF(ISBLANK(Distance),"",Open_time Control_1+(INT(Close)&amp;":"&amp;IF(ROUND(((Close-INT(Close))*60),0)&lt;10,0,"")&amp;ROUND(((Close-INT(Close))*60),0)))</f>
        <v>44146.567361111105</v>
      </c>
    </row>
    <row r="19" spans="3:12">
      <c r="C19" s="5" t="s">
        <v>7</v>
      </c>
      <c r="D19" s="89">
        <f>' Route'!A228</f>
        <v>111.99</v>
      </c>
      <c r="E19" s="176" t="s">
        <v>370</v>
      </c>
      <c r="F19" s="177" t="s">
        <v>375</v>
      </c>
      <c r="G19" s="177" t="s">
        <v>391</v>
      </c>
      <c r="H19" s="178" t="s">
        <v>413</v>
      </c>
      <c r="I19">
        <f t="shared" si="1"/>
        <v>3.2938235294117644</v>
      </c>
      <c r="J19">
        <f t="shared" si="0"/>
        <v>7.4659999999999993</v>
      </c>
      <c r="K19" s="7">
        <f>IF(ISBLANK(Distance),"",Open_time Control_1+(INT(Open)&amp;":"&amp;IF(ROUND(((Open-INT(Open))*60),0)&lt;10,0,"")&amp;ROUND(((Open-INT(Open))*60),0)))</f>
        <v>44146.429166666661</v>
      </c>
      <c r="L19" s="7">
        <f>IF(ISBLANK(Distance),"",Open_time Control_1+(INT(Close)&amp;":"&amp;IF(ROUND(((Close-INT(Close))*60),0)&lt;10,0,"")&amp;ROUND(((Close-INT(Close))*60),0)))</f>
        <v>44146.602777777778</v>
      </c>
    </row>
    <row r="20" spans="3:12">
      <c r="C20" s="5" t="s">
        <v>8</v>
      </c>
      <c r="D20" s="89"/>
      <c r="E20" s="29"/>
      <c r="F20" s="95"/>
      <c r="G20" s="95"/>
      <c r="H20" s="98"/>
      <c r="I20" t="str">
        <f t="shared" si="1"/>
        <v/>
      </c>
      <c r="J20" t="str">
        <f t="shared" si="0"/>
        <v/>
      </c>
      <c r="K20" s="7" t="str">
        <f>IF(ISBLANK(Distance),"",Open_time Control_1+(INT(Open)&amp;":"&amp;IF(ROUND(((Open-INT(Open))*60),0)&lt;10,0,"")&amp;ROUND(((Open-INT(Open))*60),0)))</f>
        <v/>
      </c>
      <c r="L20" s="7" t="str">
        <f>IF(ISBLANK(Distance),"",Open_time Control_1+(INT(Close)&amp;":"&amp;IF(ROUND(((Close-INT(Close))*60),0)&lt;10,0,"")&amp;ROUND(((Close-INT(Close))*60),0)))</f>
        <v/>
      </c>
    </row>
    <row r="21" spans="3:12" ht="13" thickBot="1">
      <c r="C21" s="5" t="s">
        <v>9</v>
      </c>
      <c r="D21" s="180"/>
      <c r="E21" s="181"/>
      <c r="F21" s="182"/>
      <c r="G21" s="182"/>
      <c r="H21" s="183"/>
      <c r="I21" t="str">
        <f t="shared" si="1"/>
        <v/>
      </c>
      <c r="J21" t="str">
        <f t="shared" si="0"/>
        <v/>
      </c>
      <c r="K21" s="7" t="str">
        <f>IF(ISBLANK(Distance),"",Open_time Control_1+(INT(Open)&amp;":"&amp;IF(ROUND(((Open-INT(Open))*60),0)&lt;10,0,"")&amp;ROUND(((Open-INT(Open))*60),0)))</f>
        <v/>
      </c>
      <c r="L21" s="7" t="str">
        <f>IF(ISBLANK(Distance),"",Open_time Control_1+(INT(Close)&amp;":"&amp;IF(ROUND(((Close-INT(Close))*60),0)&lt;10,0,"")&amp;ROUND(((Close-INT(Close))*60),0)))</f>
        <v/>
      </c>
    </row>
    <row r="22" spans="3:12">
      <c r="C22" s="5" t="s">
        <v>10</v>
      </c>
      <c r="D22" s="89">
        <f>' Route'!A261</f>
        <v>135.96</v>
      </c>
      <c r="E22" s="176" t="s">
        <v>377</v>
      </c>
      <c r="F22" s="177" t="s">
        <v>378</v>
      </c>
      <c r="G22" s="177" t="s">
        <v>379</v>
      </c>
      <c r="H22" s="178" t="s">
        <v>393</v>
      </c>
      <c r="I22">
        <f t="shared" si="1"/>
        <v>3.9988235294117649</v>
      </c>
      <c r="J22">
        <f t="shared" si="0"/>
        <v>9.0640000000000001</v>
      </c>
      <c r="K22" s="7">
        <f>IF(ISBLANK(Distance),"",Open_time Control_1+(INT(Open)&amp;":"&amp;IF(ROUND(((Open-INT(Open))*60),0)&lt;10,0,"")&amp;ROUND(((Open-INT(Open))*60),0)))</f>
        <v>44146.458333333328</v>
      </c>
      <c r="L22" s="7">
        <f>IF(ISBLANK(Distance),"",Open_time Control_1+(INT(Close)&amp;":"&amp;IF(ROUND(((Close-INT(Close))*60),0)&lt;10,0,"")&amp;ROUND(((Close-INT(Close))*60),0)))</f>
        <v>44146.669444444444</v>
      </c>
    </row>
    <row r="23" spans="3:12">
      <c r="C23" s="5" t="s">
        <v>11</v>
      </c>
      <c r="D23" s="57">
        <f>' Route'!A293</f>
        <v>165.43</v>
      </c>
      <c r="E23" s="176" t="s">
        <v>370</v>
      </c>
      <c r="F23" s="177" t="s">
        <v>383</v>
      </c>
      <c r="G23" s="177" t="s">
        <v>394</v>
      </c>
      <c r="H23" s="178" t="s">
        <v>395</v>
      </c>
      <c r="I23">
        <f t="shared" si="1"/>
        <v>4.8655882352941182</v>
      </c>
      <c r="J23">
        <f t="shared" si="0"/>
        <v>11.028666666666668</v>
      </c>
      <c r="K23" s="7">
        <f>IF(ISBLANK(Distance),"",Open_time Control_1+(INT(Open)&amp;":"&amp;IF(ROUND(((Open-INT(Open))*60),0)&lt;10,0,"")&amp;ROUND(((Open-INT(Open))*60),0)))</f>
        <v>44146.494444444441</v>
      </c>
      <c r="L23" s="7">
        <f>IF(ISBLANK(Distance),"",Open_time Control_1+(INT(Close)&amp;":"&amp;IF(ROUND(((Close-INT(Close))*60),0)&lt;10,0,"")&amp;ROUND(((Close-INT(Close))*60),0)))</f>
        <v>44146.751388888886</v>
      </c>
    </row>
    <row r="24" spans="3:12">
      <c r="C24" s="5" t="s">
        <v>30</v>
      </c>
      <c r="D24" s="57">
        <f>' Route'!A316</f>
        <v>174.84</v>
      </c>
      <c r="E24" s="176" t="s">
        <v>76</v>
      </c>
      <c r="F24" s="177" t="s">
        <v>384</v>
      </c>
      <c r="G24" s="177" t="s">
        <v>396</v>
      </c>
      <c r="H24" s="178" t="s">
        <v>385</v>
      </c>
      <c r="I24">
        <f t="shared" si="1"/>
        <v>5.1423529411764708</v>
      </c>
      <c r="J24">
        <f t="shared" si="0"/>
        <v>11.656000000000001</v>
      </c>
      <c r="K24" s="7">
        <f>IF(ISBLANK(Distance),"",Open_time Control_1+(INT(Open)&amp;":"&amp;IF(ROUND(((Open-INT(Open))*60),0)&lt;10,0,"")&amp;ROUND(((Open-INT(Open))*60),0)))</f>
        <v>44146.506249999999</v>
      </c>
      <c r="L24" s="7">
        <f>IF(ISBLANK(Distance),"",Open_time Control_1+(INT(Close)&amp;":"&amp;IF(ROUND(((Close-INT(Close))*60),0)&lt;10,0,"")&amp;ROUND(((Close-INT(Close))*60),0)))</f>
        <v>44146.777083333334</v>
      </c>
    </row>
    <row r="25" spans="3:12">
      <c r="C25" s="5" t="s">
        <v>31</v>
      </c>
      <c r="D25" s="57">
        <f>' Route'!A342</f>
        <v>198.37</v>
      </c>
      <c r="E25" s="176" t="s">
        <v>358</v>
      </c>
      <c r="F25" s="177" t="s">
        <v>404</v>
      </c>
      <c r="G25" s="177" t="s">
        <v>403</v>
      </c>
      <c r="H25" s="178" t="s">
        <v>405</v>
      </c>
      <c r="I25">
        <f t="shared" si="1"/>
        <v>5.8344117647058829</v>
      </c>
      <c r="J25">
        <f t="shared" si="0"/>
        <v>13.224666666666668</v>
      </c>
      <c r="K25" s="7">
        <f>IF(ISBLANK(Distance),"",Open_time Control_1+(INT(Open)&amp;":"&amp;IF(ROUND(((Open-INT(Open))*60),0)&lt;10,0,"")&amp;ROUND(((Open-INT(Open))*60),0)))</f>
        <v>44146.534722222219</v>
      </c>
      <c r="L25" s="7">
        <f>IF(ISBLANK(Distance),"",Open_time Control_1+(INT(Close)&amp;":"&amp;IF(ROUND(((Close-INT(Close))*60),0)&lt;10,0,"")&amp;ROUND(((Close-INT(Close))*60),0)))</f>
        <v>44146.842361111107</v>
      </c>
    </row>
    <row r="26" spans="3:12">
      <c r="C26" s="5" t="s">
        <v>32</v>
      </c>
      <c r="D26" s="57">
        <f>' Route'!A351</f>
        <v>201.7</v>
      </c>
      <c r="E26" s="176" t="s">
        <v>355</v>
      </c>
      <c r="F26" s="177" t="s">
        <v>356</v>
      </c>
      <c r="G26" s="177" t="s">
        <v>357</v>
      </c>
      <c r="H26" s="178" t="s">
        <v>382</v>
      </c>
      <c r="I26">
        <f t="shared" si="1"/>
        <v>5.9355249999999993</v>
      </c>
      <c r="J26">
        <f t="shared" si="0"/>
        <v>13.5</v>
      </c>
      <c r="K26" s="7">
        <f>IF(ISBLANK(Distance),"",Open_time Control_1+(INT(Open)&amp;":"&amp;IF(ROUND(((Open-INT(Open))*60),0)&lt;10,0,"")&amp;ROUND(((Open-INT(Open))*60),0)))</f>
        <v>44146.538888888885</v>
      </c>
      <c r="L26" s="7">
        <f>IF(ISBLANK(Distance),"",Open_time Control_1+(INT(Close)&amp;":"&amp;IF(ROUND(((Close-INT(Close))*60),0)&lt;10,0,"")&amp;ROUND(((Close-INT(Close))*60),0)))</f>
        <v>44146.854166666664</v>
      </c>
    </row>
    <row r="27" spans="3:12">
      <c r="C27" s="5" t="s">
        <v>36</v>
      </c>
      <c r="D27" s="57"/>
      <c r="E27" s="97"/>
      <c r="F27" s="95"/>
      <c r="G27" s="95"/>
      <c r="H27" s="94"/>
      <c r="I27" t="str">
        <f t="shared" si="1"/>
        <v/>
      </c>
      <c r="J27" t="str">
        <f t="shared" si="0"/>
        <v/>
      </c>
      <c r="K27" s="7" t="str">
        <f>IF(ISBLANK(Distance),"",Open_time Control_1+(INT(Open)&amp;":"&amp;IF(ROUND(((Open-INT(Open))*60),0)&lt;10,0,"")&amp;ROUND(((Open-INT(Open))*60),0)))</f>
        <v/>
      </c>
      <c r="L27" s="7" t="str">
        <f>IF(ISBLANK(Distance),"",Open_time Control_1+(INT(Close)&amp;":"&amp;IF(ROUND(((Close-INT(Close))*60),0)&lt;10,0,"")&amp;ROUND(((Close-INT(Close))*60),0)))</f>
        <v/>
      </c>
    </row>
    <row r="28" spans="3:12">
      <c r="C28" s="5" t="s">
        <v>37</v>
      </c>
      <c r="D28" s="57"/>
      <c r="E28" s="29"/>
      <c r="F28" s="49"/>
      <c r="G28" s="49"/>
      <c r="H28" s="50"/>
      <c r="I28" t="str">
        <f t="shared" si="1"/>
        <v/>
      </c>
      <c r="J28" t="str">
        <f t="shared" si="0"/>
        <v/>
      </c>
      <c r="K28" s="7" t="str">
        <f>IF(ISBLANK(Distance),"",Open_time Control_1+(INT(Open)&amp;":"&amp;IF(ROUND(((Open-INT(Open))*60),0)&lt;10,0,"")&amp;ROUND(((Open-INT(Open))*60),0)))</f>
        <v/>
      </c>
      <c r="L28" s="7" t="str">
        <f>IF(ISBLANK(Distance),"",Open_time Control_1+(INT(Close)&amp;":"&amp;IF(ROUND(((Close-INT(Close))*60),0)&lt;10,0,"")&amp;ROUND(((Close-INT(Close))*60),0)))</f>
        <v/>
      </c>
    </row>
    <row r="29" spans="3:12">
      <c r="C29" s="5" t="s">
        <v>38</v>
      </c>
      <c r="D29" s="57"/>
      <c r="E29" s="29"/>
      <c r="F29" s="49"/>
      <c r="G29" s="49"/>
      <c r="H29" s="50"/>
      <c r="I29" t="str">
        <f t="shared" si="1"/>
        <v/>
      </c>
      <c r="J29" t="str">
        <f t="shared" si="0"/>
        <v/>
      </c>
      <c r="K29" s="7" t="str">
        <f>IF(ISBLANK(Distance),"",Open_time Control_1+(INT(Open)&amp;":"&amp;IF(ROUND(((Open-INT(Open))*60),0)&lt;10,0,"")&amp;ROUND(((Open-INT(Open))*60),0)))</f>
        <v/>
      </c>
      <c r="L29" s="7" t="str">
        <f>IF(ISBLANK(Distance),"",Open_time Control_1+(INT(Close)&amp;":"&amp;IF(ROUND(((Close-INT(Close))*60),0)&lt;10,0,"")&amp;ROUND(((Close-INT(Close))*60),0)))</f>
        <v/>
      </c>
    </row>
    <row r="30" spans="3:12">
      <c r="C30" s="5" t="s">
        <v>39</v>
      </c>
      <c r="D30" s="57"/>
      <c r="E30" s="29"/>
      <c r="F30" s="49"/>
      <c r="G30" s="49"/>
      <c r="H30" s="50"/>
      <c r="I30" t="str">
        <f t="shared" si="1"/>
        <v/>
      </c>
      <c r="J30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30" s="7" t="str">
        <f>IF(ISBLANK(Distance),"",Open_time Control_1+(INT(Open)&amp;":"&amp;IF(ROUND(((Open-INT(Open))*60),0)&lt;10,0,"")&amp;ROUND(((Open-INT(Open))*60),0)))</f>
        <v/>
      </c>
      <c r="L30" s="7" t="str">
        <f>IF(ISBLANK(Distance),"",Open_time Control_1+(INT(Close)&amp;":"&amp;IF(ROUND(((Close-INT(Close))*60),0)&lt;10,0,"")&amp;ROUND(((Close-INT(Close))*60),0)))</f>
        <v/>
      </c>
    </row>
    <row r="31" spans="3:12" ht="13" thickBot="1">
      <c r="C31" s="5" t="s">
        <v>12</v>
      </c>
      <c r="D31" s="58"/>
      <c r="E31" s="21"/>
      <c r="F31" s="51"/>
      <c r="G31" s="51"/>
      <c r="H31" s="52"/>
      <c r="I31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31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31" s="7" t="str">
        <f>IF(ISBLANK(Distance),"",Open_time Control_1+(INT(Open)&amp;":"&amp;IF(ROUND(((Open-INT(Open))*60),0)&lt;10,0,"")&amp;ROUND(((Open-INT(Open))*60),0)))</f>
        <v/>
      </c>
      <c r="L31" s="7" t="str">
        <f>IF(ISBLANK(Distance),"",Open_time Control_1+(INT(Close)&amp;":"&amp;IF(ROUND(((Close-INT(Close))*60),0)&lt;10,0,"")&amp;ROUND(((Close-INT(Close))*60),0)))</f>
        <v/>
      </c>
    </row>
  </sheetData>
  <phoneticPr fontId="17" type="noConversion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opLeftCell="A15" workbookViewId="0">
      <selection activeCell="E25" sqref="E25"/>
    </sheetView>
  </sheetViews>
  <sheetFormatPr baseColWidth="10" defaultColWidth="8.83203125" defaultRowHeight="12" x14ac:dyDescent="0"/>
  <cols>
    <col min="1" max="1" width="8.5" style="1" customWidth="1"/>
    <col min="2" max="3" width="11.6640625" customWidth="1"/>
    <col min="4" max="4" width="18" customWidth="1"/>
    <col min="5" max="5" width="23.83203125" customWidth="1"/>
    <col min="6" max="6" width="42" customWidth="1"/>
    <col min="7" max="7" width="13.5" customWidth="1"/>
    <col min="8" max="8" width="9" style="90" customWidth="1"/>
    <col min="9" max="9" width="12" customWidth="1"/>
    <col min="13" max="15" width="8.83203125" customWidth="1"/>
    <col min="20" max="22" width="8.83203125" customWidth="1"/>
  </cols>
  <sheetData>
    <row r="1" spans="1:22" ht="19" thickBot="1">
      <c r="A1" s="200" t="s">
        <v>335</v>
      </c>
      <c r="B1" s="200"/>
      <c r="C1" s="200"/>
      <c r="D1" s="200"/>
      <c r="E1" s="200"/>
      <c r="F1" s="200"/>
      <c r="G1" s="200"/>
      <c r="H1" s="149" t="s">
        <v>13</v>
      </c>
    </row>
    <row r="2" spans="1:22" ht="33.75" customHeight="1" thickBot="1">
      <c r="A2" s="15" t="s">
        <v>14</v>
      </c>
      <c r="B2" s="16" t="s">
        <v>57</v>
      </c>
      <c r="C2" s="16" t="s">
        <v>58</v>
      </c>
      <c r="D2" s="16" t="s">
        <v>53</v>
      </c>
      <c r="E2" s="16" t="s">
        <v>15</v>
      </c>
      <c r="F2" s="16" t="s">
        <v>336</v>
      </c>
      <c r="G2" s="15" t="s">
        <v>16</v>
      </c>
      <c r="H2" s="149" t="s">
        <v>13</v>
      </c>
      <c r="K2" s="201" t="s">
        <v>0</v>
      </c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2" ht="36" customHeight="1">
      <c r="A3" s="65"/>
      <c r="B3" s="66">
        <f>Control_1 Open_time</f>
        <v>44146.291666666664</v>
      </c>
      <c r="C3" s="66">
        <f>Control_1 Close_time</f>
        <v>44146.333333333328</v>
      </c>
      <c r="D3" s="67"/>
      <c r="E3" s="68" t="str">
        <f>IF(ISBLANK(Control_1 Establishment_1),"",Control_1 Establishment_1)</f>
        <v>Tulista Park</v>
      </c>
      <c r="F3" s="150" t="s">
        <v>397</v>
      </c>
      <c r="G3" s="17"/>
      <c r="H3" s="149" t="s">
        <v>13</v>
      </c>
      <c r="K3" s="31"/>
      <c r="N3" s="202" t="s">
        <v>354</v>
      </c>
      <c r="O3" s="202"/>
      <c r="P3" s="202"/>
      <c r="Q3" s="202"/>
      <c r="R3" s="202"/>
      <c r="S3" s="202"/>
      <c r="T3" s="151"/>
      <c r="U3" s="151"/>
    </row>
    <row r="4" spans="1:22" ht="36" customHeight="1">
      <c r="A4" s="152">
        <f>IF(ISBLANK(Distance Control_1),"",Control_1 Distance)</f>
        <v>0</v>
      </c>
      <c r="B4" s="153">
        <f>Control_1 Open_time</f>
        <v>44146.291666666664</v>
      </c>
      <c r="C4" s="153">
        <f>Control_1 Close_time</f>
        <v>44146.333333333328</v>
      </c>
      <c r="D4" s="96" t="str">
        <f>IF(ISBLANK(Locale Control_1),"",Locale Control_1)</f>
        <v>SIDNEY</v>
      </c>
      <c r="E4" s="68" t="str">
        <f>IF(ISBLANK(Control_1 Establishment_2),"",Control_1 Establishment_2)</f>
        <v>Washrooms</v>
      </c>
      <c r="F4" s="154"/>
      <c r="G4" s="17"/>
      <c r="H4" s="149" t="s">
        <v>13</v>
      </c>
      <c r="K4" s="31"/>
      <c r="M4" s="188" t="str">
        <f>IF(ISBLANK(brevet),"",brevet&amp;" km Randonnée")</f>
        <v>200 km Randonnée</v>
      </c>
      <c r="N4" s="188"/>
      <c r="O4" s="188"/>
      <c r="P4" s="188"/>
      <c r="Q4" s="188"/>
      <c r="R4" s="188"/>
      <c r="S4" s="188"/>
      <c r="T4" s="188"/>
      <c r="U4" s="155"/>
    </row>
    <row r="5" spans="1:22" ht="36" customHeight="1" thickBot="1">
      <c r="A5" s="69"/>
      <c r="B5" s="70">
        <f>Control_1 Open_time</f>
        <v>44146.291666666664</v>
      </c>
      <c r="C5" s="70">
        <f>Control_1 Close_time</f>
        <v>44146.333333333328</v>
      </c>
      <c r="D5" s="71"/>
      <c r="E5" s="72" t="str">
        <f>IF(ISBLANK(Control_1 Establishment_3),"",Control_1 Establishment_3)</f>
        <v>Fifth Ave @ Weiler Ave</v>
      </c>
      <c r="F5" s="20"/>
      <c r="G5" s="19"/>
      <c r="H5" s="149" t="s">
        <v>13</v>
      </c>
      <c r="K5" s="31"/>
      <c r="N5" s="203" t="s">
        <v>337</v>
      </c>
      <c r="O5" s="203"/>
      <c r="P5" s="156" t="str">
        <f>IF(ISBLANK(Brevet_Number),"",Brevet_Number)</f>
        <v>4845</v>
      </c>
      <c r="Q5" s="157"/>
      <c r="R5" s="204">
        <f>IF(ISBLANK('Control Entry'!$B5),"",'Control Entry'!$B5)</f>
        <v>44146</v>
      </c>
      <c r="S5" s="204"/>
      <c r="T5" s="204"/>
      <c r="U5" s="204"/>
      <c r="V5" s="99"/>
    </row>
    <row r="6" spans="1:22" ht="36" customHeight="1">
      <c r="A6" s="65"/>
      <c r="B6" s="66">
        <f>Control_2 Open_time</f>
        <v>44146.317361111105</v>
      </c>
      <c r="C6" s="66">
        <f>Control_2 Close_time</f>
        <v>44146.350694444445</v>
      </c>
      <c r="D6" s="73"/>
      <c r="E6" s="68" t="str">
        <f>IF(ISBLANK(Control_2 Establishment_1),"",Control_2 Establishment_1)</f>
        <v>Holy Trinity Church Cemetery</v>
      </c>
      <c r="F6" s="150" t="s">
        <v>410</v>
      </c>
      <c r="G6" s="17"/>
      <c r="H6" s="149" t="s">
        <v>13</v>
      </c>
      <c r="K6" s="31"/>
      <c r="M6" s="194" t="str">
        <f>IF(ISBLANK(Brevet_Description),"",Brevet_Description)</f>
        <v>Remembrance Day</v>
      </c>
      <c r="N6" s="194"/>
      <c r="O6" s="194"/>
      <c r="P6" s="194"/>
      <c r="Q6" s="194"/>
      <c r="R6" s="194"/>
      <c r="S6" s="194"/>
      <c r="T6" s="194"/>
    </row>
    <row r="7" spans="1:22" ht="36" customHeight="1" thickBot="1">
      <c r="A7" s="152">
        <f>IF(ISBLANK(Distance Control_2),"",Control_2 Distance)</f>
        <v>21.2</v>
      </c>
      <c r="B7" s="153">
        <f>Control_2 Open_time</f>
        <v>44146.317361111105</v>
      </c>
      <c r="C7" s="153">
        <f>Control_2 Close_time</f>
        <v>44146.350694444445</v>
      </c>
      <c r="D7" s="96" t="str">
        <f>IF(ISBLANK(Locale Control_2),"",Locale Control_2)</f>
        <v>NORTH SAANICH</v>
      </c>
      <c r="E7" s="158" t="str">
        <f>IF(ISBLANK(Control_2 Establishment_2),"",Control_2 Establishment_2)</f>
        <v>Grave:  George Pearkes VC</v>
      </c>
      <c r="F7" s="154"/>
      <c r="G7" s="17"/>
      <c r="H7" s="149" t="s">
        <v>13</v>
      </c>
      <c r="J7" s="32" t="s">
        <v>17</v>
      </c>
      <c r="L7" s="195"/>
      <c r="M7" s="195"/>
      <c r="N7" s="195"/>
      <c r="O7" s="195"/>
      <c r="P7" s="195"/>
      <c r="Q7" s="195"/>
      <c r="R7" s="159"/>
      <c r="S7" s="160" t="s">
        <v>338</v>
      </c>
      <c r="T7" s="199"/>
      <c r="U7" s="199"/>
    </row>
    <row r="8" spans="1:22" ht="36" customHeight="1" thickBot="1">
      <c r="A8" s="69"/>
      <c r="B8" s="70">
        <f>Control_2 Open_time</f>
        <v>44146.317361111105</v>
      </c>
      <c r="C8" s="70">
        <f>Control_2 Close_time</f>
        <v>44146.350694444445</v>
      </c>
      <c r="D8" s="71"/>
      <c r="E8" s="72" t="str">
        <f>IF(ISBLANK(Control_2 Establishment_3),"",Control_2 Establishment_3)</f>
        <v>Mills Rd @ W. Saanich</v>
      </c>
      <c r="F8" s="20"/>
      <c r="G8" s="19"/>
      <c r="H8" s="149" t="s">
        <v>13</v>
      </c>
      <c r="J8" s="32" t="s">
        <v>18</v>
      </c>
      <c r="K8" s="32"/>
      <c r="L8" s="161" t="s">
        <v>339</v>
      </c>
      <c r="M8" s="38"/>
      <c r="N8" s="38"/>
      <c r="O8" s="38"/>
      <c r="P8" s="38"/>
      <c r="Q8" s="38"/>
      <c r="R8" s="38"/>
      <c r="S8" s="38"/>
      <c r="T8" s="38"/>
      <c r="U8" s="36"/>
    </row>
    <row r="9" spans="1:22" ht="36" customHeight="1" thickBot="1">
      <c r="A9" s="65"/>
      <c r="B9" s="66">
        <f>Control_3 Open_time</f>
        <v>44146.344444444439</v>
      </c>
      <c r="C9" s="66">
        <f>Control_3 Close_time</f>
        <v>44146.411111111105</v>
      </c>
      <c r="D9" s="73"/>
      <c r="E9" s="68" t="str">
        <f>IF(ISBLANK(Control_3 Establishment_1),"",Control_3 Establishment_1)</f>
        <v>Royal Oak Burial Park</v>
      </c>
      <c r="F9" s="18" t="s">
        <v>409</v>
      </c>
      <c r="G9" s="17"/>
      <c r="H9" s="149" t="s">
        <v>13</v>
      </c>
      <c r="J9" s="32"/>
      <c r="K9" s="32"/>
      <c r="L9" s="62"/>
      <c r="M9" s="38"/>
      <c r="N9" s="38"/>
      <c r="O9" s="38"/>
      <c r="P9" s="38"/>
      <c r="Q9" s="38"/>
      <c r="R9" s="38"/>
      <c r="S9" s="38"/>
      <c r="T9" s="38"/>
      <c r="U9" s="36"/>
    </row>
    <row r="10" spans="1:22" ht="36" customHeight="1" thickBot="1">
      <c r="A10" s="152">
        <f>IF(ISBLANK(Distance Control_3),"",Control_3 Distance)</f>
        <v>43.1</v>
      </c>
      <c r="B10" s="153">
        <f>Control_3 Open_time</f>
        <v>44146.344444444439</v>
      </c>
      <c r="C10" s="153">
        <f>Control_3 Close_time</f>
        <v>44146.411111111105</v>
      </c>
      <c r="D10" s="96" t="str">
        <f>IF(ISBLANK(Locale Control_3),"",Locale Control_3)</f>
        <v>SAANICH</v>
      </c>
      <c r="E10" s="158" t="str">
        <f>IF(ISBLANK(Control_3 Establishment_2),"",Control_3 Establishment_2)</f>
        <v>Grave:  Rowland Bourke VC</v>
      </c>
      <c r="F10" s="154"/>
      <c r="G10" s="17"/>
      <c r="H10" s="149" t="s">
        <v>13</v>
      </c>
      <c r="J10" s="32" t="s">
        <v>19</v>
      </c>
      <c r="K10" s="32"/>
      <c r="L10" s="62"/>
      <c r="M10" s="38"/>
      <c r="N10" s="38"/>
      <c r="O10" s="39"/>
      <c r="P10" s="39" t="s">
        <v>20</v>
      </c>
      <c r="Q10" s="39"/>
      <c r="R10" s="39"/>
      <c r="S10" s="162"/>
      <c r="T10" s="62"/>
      <c r="U10" s="36"/>
    </row>
    <row r="11" spans="1:22" ht="36" customHeight="1" thickBot="1">
      <c r="A11" s="69"/>
      <c r="B11" s="70">
        <f>Control_3 Open_time</f>
        <v>44146.344444444439</v>
      </c>
      <c r="C11" s="70">
        <f>Control_3 Close_time</f>
        <v>44146.411111111105</v>
      </c>
      <c r="D11" s="71"/>
      <c r="E11" s="72" t="str">
        <f>IF(ISBLANK(Control_3 Establishment_3),"",Control_3 Establishment_3)</f>
        <v>Falaise Dr</v>
      </c>
      <c r="F11" s="20"/>
      <c r="G11" s="19"/>
      <c r="H11" s="149" t="s">
        <v>13</v>
      </c>
      <c r="J11" s="32" t="s">
        <v>21</v>
      </c>
      <c r="K11" s="32"/>
      <c r="L11" s="62"/>
      <c r="M11" s="38"/>
      <c r="N11" s="38"/>
      <c r="O11" s="39"/>
      <c r="P11" s="39" t="s">
        <v>22</v>
      </c>
      <c r="Q11" s="39"/>
      <c r="R11" s="39"/>
      <c r="S11" s="162"/>
      <c r="T11" s="62"/>
      <c r="U11" s="36"/>
    </row>
    <row r="12" spans="1:22" ht="36" customHeight="1" thickBot="1">
      <c r="A12" s="65"/>
      <c r="B12" s="66">
        <f>Control_4 Open_time</f>
        <v>44146.35555555555</v>
      </c>
      <c r="C12" s="66">
        <f>Control_4 Close_time</f>
        <v>44146.436111111107</v>
      </c>
      <c r="D12" s="73"/>
      <c r="E12" s="68" t="str">
        <f>IF(ISBLANK(Control_4 Establishment_1),"",Control_4 Establishment_1)</f>
        <v>St. Luke's Cemetery</v>
      </c>
      <c r="F12" s="150" t="s">
        <v>398</v>
      </c>
      <c r="G12" s="17"/>
      <c r="H12" s="149" t="s">
        <v>13</v>
      </c>
      <c r="J12" s="32" t="s">
        <v>23</v>
      </c>
      <c r="L12" s="63"/>
      <c r="M12" s="56"/>
      <c r="N12" s="56"/>
      <c r="O12" s="40"/>
      <c r="P12" s="39" t="s">
        <v>24</v>
      </c>
      <c r="Q12" s="39"/>
      <c r="R12" s="64"/>
      <c r="S12" s="41"/>
      <c r="T12" s="41"/>
      <c r="U12" s="37"/>
    </row>
    <row r="13" spans="1:22" ht="36" customHeight="1">
      <c r="A13" s="152">
        <f>IF(ISBLANK(Distance Control_4),"",Control_4 Distance)</f>
        <v>52.05</v>
      </c>
      <c r="B13" s="153">
        <f>Control_4 Open_time</f>
        <v>44146.35555555555</v>
      </c>
      <c r="C13" s="153">
        <f>Control_4 Close_time</f>
        <v>44146.436111111107</v>
      </c>
      <c r="D13" s="96" t="str">
        <f>IF(ISBLANK(Locale Control_4),"",Locale Control_4)</f>
        <v>SAANICH</v>
      </c>
      <c r="E13" s="68" t="str">
        <f>IF(ISBLANK(Control_4 Establishment_2),"",Control_4 Establishment_2)</f>
        <v>Grave: William Knapp</v>
      </c>
      <c r="F13" s="154"/>
      <c r="G13" s="17"/>
      <c r="H13" s="149" t="s">
        <v>13</v>
      </c>
      <c r="L13" s="196" t="s">
        <v>340</v>
      </c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2" ht="36" customHeight="1" thickBot="1">
      <c r="A14" s="69"/>
      <c r="B14" s="70">
        <f>Control_4 Open_time</f>
        <v>44146.35555555555</v>
      </c>
      <c r="C14" s="70">
        <f>Control_4 Close_time</f>
        <v>44146.436111111107</v>
      </c>
      <c r="D14" s="71"/>
      <c r="E14" s="72" t="str">
        <f>IF(ISBLANK(Control_4 Establishment_3),"",Control_4 Establishment_3)</f>
        <v>Cedar Hill X Rd @ Cedar Hill Rd</v>
      </c>
      <c r="F14" s="20"/>
      <c r="G14" s="19"/>
      <c r="H14" s="149" t="s">
        <v>13</v>
      </c>
      <c r="J14" s="32"/>
      <c r="L14" s="197"/>
      <c r="M14" s="197"/>
      <c r="N14" s="197"/>
      <c r="O14" s="197"/>
      <c r="P14" s="197"/>
      <c r="Q14" s="198"/>
      <c r="R14" s="198"/>
      <c r="S14" s="198"/>
      <c r="T14" s="198"/>
      <c r="U14" s="198"/>
    </row>
    <row r="15" spans="1:22" ht="36" customHeight="1">
      <c r="A15" s="65"/>
      <c r="B15" s="66">
        <f>Control_5 Open_time</f>
        <v>44146.375694444439</v>
      </c>
      <c r="C15" s="66">
        <f>Control_5 Close_time</f>
        <v>44146.482638888883</v>
      </c>
      <c r="D15" s="73"/>
      <c r="E15" s="68" t="str">
        <f>IF(ISBLANK(Control_5 Establishment_1),"",Control_5 Establishment_1)</f>
        <v>Memorial Park</v>
      </c>
      <c r="F15" s="150" t="s">
        <v>399</v>
      </c>
      <c r="G15" s="17"/>
      <c r="H15" s="149" t="s">
        <v>13</v>
      </c>
      <c r="L15" s="206" t="s">
        <v>341</v>
      </c>
      <c r="M15" s="206"/>
      <c r="N15" s="206"/>
      <c r="O15" s="206"/>
      <c r="P15" s="206"/>
      <c r="Q15" s="206"/>
      <c r="R15" s="206"/>
      <c r="S15" s="206"/>
      <c r="T15" s="206"/>
      <c r="U15" s="206"/>
    </row>
    <row r="16" spans="1:22" ht="36" customHeight="1">
      <c r="A16" s="152">
        <f>IF(ISBLANK(Distance Control_5),"",Control_5 Distance)</f>
        <v>68.67</v>
      </c>
      <c r="B16" s="153">
        <f>Control_5 Open_time</f>
        <v>44146.375694444439</v>
      </c>
      <c r="C16" s="153">
        <f>Control_5 Close_time</f>
        <v>44146.482638888883</v>
      </c>
      <c r="D16" s="96" t="str">
        <f>IF(ISBLANK(Locale Control_5),"",Locale Control_5)</f>
        <v>ESQUIMALT</v>
      </c>
      <c r="E16" s="68" t="str">
        <f>IF(ISBLANK(Control_5 Establishment_2),"",Control_5 Establishment_2)</f>
        <v>Memorial: HMCS Esquimalt</v>
      </c>
      <c r="F16" s="154"/>
      <c r="G16" s="17"/>
      <c r="H16" s="149" t="s">
        <v>13</v>
      </c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2" ht="36" customHeight="1" thickBot="1">
      <c r="A17" s="69"/>
      <c r="B17" s="70">
        <f>Control_5 Open_time</f>
        <v>44146.375694444439</v>
      </c>
      <c r="C17" s="70">
        <f>Control_5 Close_time</f>
        <v>44146.482638888883</v>
      </c>
      <c r="D17" s="71"/>
      <c r="E17" s="72" t="str">
        <f>IF(ISBLANK(Control_5 Establishment_3),"",Control_5 Establishment_3)</f>
        <v>Park Terr</v>
      </c>
      <c r="F17" s="20"/>
      <c r="G17" s="19"/>
      <c r="H17" s="149" t="s">
        <v>13</v>
      </c>
      <c r="L17" s="207"/>
      <c r="M17" s="207"/>
      <c r="N17" s="207"/>
      <c r="O17" s="207"/>
      <c r="P17" s="163"/>
      <c r="Q17" s="163"/>
      <c r="R17" s="207"/>
      <c r="S17" s="207"/>
      <c r="T17" s="207"/>
      <c r="U17" s="207"/>
    </row>
    <row r="18" spans="1:22" ht="36" customHeight="1">
      <c r="A18" s="65"/>
      <c r="B18" s="66">
        <f>Control_6 Open_time</f>
        <v>44146.383333333331</v>
      </c>
      <c r="C18" s="66">
        <f>Control_6 Close_time</f>
        <v>44146.5</v>
      </c>
      <c r="D18" s="73"/>
      <c r="E18" s="68" t="str">
        <f>IF(ISBLANK(Control_6 Establishment_1),"",Control_6 Establishment_1)</f>
        <v>Beacon Hill Park</v>
      </c>
      <c r="F18" s="150" t="s">
        <v>408</v>
      </c>
      <c r="G18" s="17"/>
      <c r="H18" s="149" t="s">
        <v>13</v>
      </c>
      <c r="L18" s="163"/>
      <c r="M18" s="163"/>
      <c r="N18" s="163"/>
      <c r="O18" s="163"/>
      <c r="P18" s="163"/>
      <c r="Q18" s="163"/>
      <c r="R18" s="163"/>
      <c r="S18" s="163"/>
      <c r="T18" s="163"/>
      <c r="U18" s="163"/>
    </row>
    <row r="19" spans="1:22" ht="36" customHeight="1" thickBot="1">
      <c r="A19" s="152">
        <f>IF(ISBLANK(Distance Control_6),"",Control_6 Distance)</f>
        <v>74.900000000000006</v>
      </c>
      <c r="B19" s="153">
        <f>Control_6 Open_time</f>
        <v>44146.383333333331</v>
      </c>
      <c r="C19" s="153">
        <f>Control_6 Close_time</f>
        <v>44146.5</v>
      </c>
      <c r="D19" s="96" t="str">
        <f>IF(ISBLANK(Locale Control_6),"",Locale Control_6)</f>
        <v>VICTORIA</v>
      </c>
      <c r="E19" s="68" t="str">
        <f>IF(ISBLANK(Control_6 Establishment_2),"",Control_6 Establishment_2)</f>
        <v xml:space="preserve">Plaque:  BC Indians </v>
      </c>
      <c r="F19" s="18"/>
      <c r="G19" s="17"/>
      <c r="H19" s="149" t="s">
        <v>13</v>
      </c>
      <c r="L19" s="207"/>
      <c r="M19" s="207"/>
      <c r="N19" s="207"/>
      <c r="O19" s="207"/>
      <c r="P19" s="163"/>
      <c r="Q19" s="163"/>
      <c r="R19" s="207"/>
      <c r="S19" s="207"/>
      <c r="T19" s="207"/>
      <c r="U19" s="207"/>
    </row>
    <row r="20" spans="1:22" ht="36" customHeight="1" thickBot="1">
      <c r="A20" s="69"/>
      <c r="B20" s="70">
        <f>Control_6 Open_time</f>
        <v>44146.383333333331</v>
      </c>
      <c r="C20" s="70">
        <f>Control_6 Close_time</f>
        <v>44146.5</v>
      </c>
      <c r="D20" s="71"/>
      <c r="E20" s="72" t="str">
        <f>IF(ISBLANK(Control_6 Establishment_3),"",Control_6 Establishment_3)</f>
        <v>Circle Dr</v>
      </c>
      <c r="F20" s="20"/>
      <c r="G20" s="19"/>
      <c r="H20" s="149" t="s">
        <v>13</v>
      </c>
      <c r="K20" s="164"/>
      <c r="L20" s="163"/>
      <c r="M20" s="163"/>
      <c r="N20" s="163"/>
      <c r="O20" s="163"/>
      <c r="P20" s="163"/>
      <c r="Q20" s="163"/>
      <c r="R20" s="163"/>
      <c r="S20" s="163"/>
      <c r="T20" s="163"/>
      <c r="U20" s="163"/>
    </row>
    <row r="21" spans="1:22" ht="36" customHeight="1" thickBot="1">
      <c r="A21" s="65"/>
      <c r="B21" s="66">
        <f>Control_7 Open_time</f>
        <v>44146.413194444445</v>
      </c>
      <c r="C21" s="66">
        <f>Control_7 Close_time</f>
        <v>44146.567361111105</v>
      </c>
      <c r="D21" s="73"/>
      <c r="E21" s="68" t="str">
        <f>IF(ISBLANK(Control_7 Establishment_1),"",Control_7 Establishment_1)</f>
        <v>Falaise Park</v>
      </c>
      <c r="F21" s="150" t="s">
        <v>411</v>
      </c>
      <c r="G21" s="17"/>
      <c r="H21" s="149" t="s">
        <v>13</v>
      </c>
      <c r="J21" s="208"/>
      <c r="K21" s="208"/>
      <c r="L21" s="207"/>
      <c r="M21" s="207"/>
      <c r="N21" s="207"/>
      <c r="O21" s="207"/>
      <c r="P21" s="163"/>
      <c r="Q21" s="163"/>
      <c r="R21" s="209"/>
      <c r="S21" s="209"/>
      <c r="T21" s="209"/>
      <c r="U21" s="209"/>
      <c r="V21" s="159"/>
    </row>
    <row r="22" spans="1:22" ht="36" customHeight="1" thickBot="1">
      <c r="A22" s="152">
        <f>IF(ISBLANK(Distance Control_7),"",Control_7 Distance)</f>
        <v>99.26</v>
      </c>
      <c r="B22" s="153">
        <f>Control_7 Open_time</f>
        <v>44146.413194444445</v>
      </c>
      <c r="C22" s="153">
        <f>Control_7 Close_time</f>
        <v>44146.567361111105</v>
      </c>
      <c r="D22" s="96" t="str">
        <f>IF(ISBLANK(Locale Control_7),"",Locale Control_7)</f>
        <v>SAANICH</v>
      </c>
      <c r="E22" s="68" t="str">
        <f>IF(ISBLANK(Control_7 Establishment_2),"",Control_7 Establishment_2)</f>
        <v>Information sign</v>
      </c>
      <c r="F22" s="154" t="s">
        <v>412</v>
      </c>
      <c r="G22" s="17"/>
      <c r="H22" s="149" t="s">
        <v>13</v>
      </c>
      <c r="J22" s="208" t="s">
        <v>342</v>
      </c>
      <c r="K22" s="208"/>
      <c r="L22" s="210">
        <f>IF(ISBLANK(Start_date),"",Start_date)</f>
        <v>44146</v>
      </c>
      <c r="M22" s="210"/>
      <c r="N22" s="210"/>
      <c r="P22" s="39" t="s">
        <v>25</v>
      </c>
      <c r="Q22" s="39"/>
      <c r="S22" s="211">
        <f>'Control Entry'!B8</f>
        <v>0.29166666666666669</v>
      </c>
      <c r="T22" s="211"/>
      <c r="U22" s="211"/>
    </row>
    <row r="23" spans="1:22" ht="36" customHeight="1" thickBot="1">
      <c r="A23" s="69"/>
      <c r="B23" s="70">
        <f>Control_7 Open_time</f>
        <v>44146.413194444445</v>
      </c>
      <c r="C23" s="70">
        <f>Control_7 Close_time</f>
        <v>44146.567361111105</v>
      </c>
      <c r="D23" s="71"/>
      <c r="E23" s="72" t="str">
        <f>IF(ISBLANK(Control_7 Establishment_3),"",Control_7 Establishment_3)</f>
        <v>Falaise Cr</v>
      </c>
      <c r="F23" s="20"/>
      <c r="G23" s="19"/>
      <c r="H23" s="149" t="s">
        <v>13</v>
      </c>
      <c r="J23" s="208"/>
      <c r="K23" s="208"/>
      <c r="L23" s="192"/>
      <c r="M23" s="192"/>
      <c r="N23" s="192"/>
      <c r="P23" s="39"/>
      <c r="Q23" s="39"/>
      <c r="R23" s="44"/>
      <c r="S23" s="212"/>
      <c r="T23" s="212"/>
      <c r="U23" s="212"/>
      <c r="V23" s="159"/>
    </row>
    <row r="24" spans="1:22" ht="36" customHeight="1" thickBot="1">
      <c r="A24" s="65"/>
      <c r="B24" s="66">
        <f>Control_8 Open_time</f>
        <v>44146.429166666661</v>
      </c>
      <c r="C24" s="66">
        <f>Control_8 Close_time</f>
        <v>44146.602777777778</v>
      </c>
      <c r="D24" s="73"/>
      <c r="E24" s="68" t="str">
        <f>IF(ISBLANK(Control_8 Establishment_1),"",Control_8 Establishment_1)</f>
        <v>Chinatown</v>
      </c>
      <c r="F24" s="150" t="s">
        <v>400</v>
      </c>
      <c r="G24" s="17"/>
      <c r="H24" s="149" t="s">
        <v>13</v>
      </c>
      <c r="J24" s="191" t="s">
        <v>343</v>
      </c>
      <c r="K24" s="191"/>
      <c r="L24" s="189"/>
      <c r="M24" s="189"/>
      <c r="N24" s="189"/>
      <c r="O24" s="40"/>
      <c r="P24" s="39" t="s">
        <v>26</v>
      </c>
      <c r="Q24" s="39"/>
      <c r="R24" s="40"/>
      <c r="S24" s="190"/>
      <c r="T24" s="190"/>
      <c r="U24" s="190"/>
    </row>
    <row r="25" spans="1:22" ht="36" customHeight="1">
      <c r="A25" s="152">
        <f>IF(ISBLANK(Distance Control_8),"",Control_8 Distance)</f>
        <v>111.99</v>
      </c>
      <c r="B25" s="153">
        <f>Control_8 Open_time</f>
        <v>44146.429166666661</v>
      </c>
      <c r="C25" s="153">
        <f>Control_8 Close_time</f>
        <v>44146.602777777778</v>
      </c>
      <c r="D25" s="96" t="str">
        <f>IF(ISBLANK(Locale Control_8),"",Locale Control_8)</f>
        <v>VICTORIA</v>
      </c>
      <c r="E25" s="158" t="str">
        <f>IF(ISBLANK(Control_8 Establishment_2),"",Control_8 Establishment_2)</f>
        <v xml:space="preserve">Plaque: Chinese Gate </v>
      </c>
      <c r="F25" s="154"/>
      <c r="G25" s="17"/>
      <c r="H25" s="149" t="s">
        <v>13</v>
      </c>
      <c r="J25" s="191"/>
      <c r="K25" s="191"/>
      <c r="L25" s="192"/>
      <c r="M25" s="192"/>
      <c r="N25" s="192"/>
      <c r="O25" s="44"/>
      <c r="P25" s="165"/>
      <c r="Q25" s="165"/>
      <c r="R25" s="44"/>
      <c r="S25" s="44"/>
      <c r="T25" s="44"/>
      <c r="U25" s="44"/>
      <c r="V25" s="159"/>
    </row>
    <row r="26" spans="1:22" ht="36" customHeight="1" thickBot="1">
      <c r="A26" s="69"/>
      <c r="B26" s="70">
        <f>Control_8 Open_time</f>
        <v>44146.429166666661</v>
      </c>
      <c r="C26" s="70">
        <f>Control_8 Close_time</f>
        <v>44146.602777777778</v>
      </c>
      <c r="D26" s="71"/>
      <c r="E26" s="72" t="str">
        <f>IF(ISBLANK(Control_8 Establishment_3),"",Control_8 Establishment_3)</f>
        <v>Left post, Fisgard St</v>
      </c>
      <c r="F26" s="20"/>
      <c r="G26" s="19"/>
      <c r="H26" s="149" t="s">
        <v>13</v>
      </c>
      <c r="J26" s="33"/>
      <c r="K26" s="33"/>
      <c r="L26" s="33"/>
      <c r="M26" s="41"/>
      <c r="N26" s="41"/>
      <c r="O26" s="40"/>
      <c r="P26" s="39" t="s">
        <v>27</v>
      </c>
      <c r="Q26" s="39"/>
      <c r="R26" s="40"/>
      <c r="S26" s="41"/>
      <c r="T26" s="41"/>
      <c r="U26" s="41"/>
    </row>
    <row r="27" spans="1:22" ht="36" customHeight="1">
      <c r="A27" s="65"/>
      <c r="B27" s="66" t="str">
        <f>Control_9 Open_time</f>
        <v/>
      </c>
      <c r="C27" s="66" t="str">
        <f>Control_9 Close_time</f>
        <v/>
      </c>
      <c r="D27" s="73"/>
      <c r="E27" s="68" t="str">
        <f>IF(ISBLANK(Control_9 Establishment_1),"",Control_9 Establishment_1)</f>
        <v/>
      </c>
      <c r="F27" s="150"/>
      <c r="G27" s="17"/>
      <c r="H27" s="149" t="s">
        <v>13</v>
      </c>
      <c r="J27" s="185" t="s">
        <v>28</v>
      </c>
      <c r="K27" s="185"/>
      <c r="L27" s="185"/>
      <c r="M27" s="185"/>
      <c r="N27" s="185"/>
      <c r="O27" s="166"/>
      <c r="P27" s="186"/>
      <c r="Q27" s="186"/>
      <c r="R27" s="166"/>
      <c r="S27" s="187"/>
      <c r="T27" s="187"/>
      <c r="U27" s="187"/>
      <c r="V27" s="187"/>
    </row>
    <row r="28" spans="1:22" ht="36" customHeight="1">
      <c r="A28" s="152" t="str">
        <f>IF(ISBLANK(Distance Control_9),"",Control_9 Distance)</f>
        <v/>
      </c>
      <c r="B28" s="153" t="str">
        <f>Control_9 Open_time</f>
        <v/>
      </c>
      <c r="C28" s="153" t="str">
        <f>Control_9 Close_time</f>
        <v/>
      </c>
      <c r="D28" s="96" t="str">
        <f>IF(ISBLANK(Locale Control_9),"",Locale Control_9)</f>
        <v/>
      </c>
      <c r="E28" s="68" t="str">
        <f>IF(ISBLANK(Control_9 Establishment_2),"",Control_9 Establishment_2)</f>
        <v/>
      </c>
      <c r="F28" s="154"/>
      <c r="G28" s="17"/>
      <c r="H28" s="149" t="s">
        <v>13</v>
      </c>
      <c r="K28" s="188" t="s">
        <v>344</v>
      </c>
      <c r="L28" s="186"/>
      <c r="M28" s="167" t="s">
        <v>345</v>
      </c>
      <c r="N28" s="186" t="s">
        <v>346</v>
      </c>
      <c r="O28" s="186"/>
      <c r="P28" s="186" t="s">
        <v>347</v>
      </c>
      <c r="Q28" s="186"/>
      <c r="R28" s="166" t="s">
        <v>348</v>
      </c>
      <c r="S28" s="187" t="s">
        <v>349</v>
      </c>
      <c r="T28" s="187"/>
      <c r="U28" s="187" t="s">
        <v>350</v>
      </c>
      <c r="V28" s="187"/>
    </row>
    <row r="29" spans="1:22" ht="36" customHeight="1" thickBot="1">
      <c r="A29" s="69"/>
      <c r="B29" s="70" t="str">
        <f>Control_9 Open_time</f>
        <v/>
      </c>
      <c r="C29" s="70" t="str">
        <f>Control_9 Close_time</f>
        <v/>
      </c>
      <c r="D29" s="71"/>
      <c r="E29" s="72" t="str">
        <f>IF(ISBLANK(Control_9 Establishment_3),"",Control_9 Establishment_3)</f>
        <v/>
      </c>
      <c r="F29" s="20"/>
      <c r="G29" s="19"/>
      <c r="H29" s="149" t="s">
        <v>13</v>
      </c>
      <c r="M29" s="193" t="s">
        <v>29</v>
      </c>
      <c r="N29" s="193"/>
      <c r="O29" s="193"/>
      <c r="P29" s="193"/>
      <c r="Q29" s="193"/>
      <c r="R29" s="193"/>
      <c r="S29" s="193"/>
      <c r="T29" s="193"/>
      <c r="U29" s="168"/>
    </row>
    <row r="30" spans="1:22" ht="36" customHeight="1">
      <c r="A30" s="65"/>
      <c r="B30" s="66" t="str">
        <f>Control_10 Open_time</f>
        <v/>
      </c>
      <c r="C30" s="66" t="str">
        <f>Control_10 Close_time</f>
        <v/>
      </c>
      <c r="D30" s="73"/>
      <c r="E30" s="68" t="str">
        <f>IF(ISBLANK(Control_10 Establishment_1),"",Control_10 Establishment_1)</f>
        <v/>
      </c>
      <c r="F30" s="150"/>
      <c r="G30" s="17"/>
      <c r="H30" s="149" t="s">
        <v>13</v>
      </c>
      <c r="M30" s="34"/>
      <c r="N30" s="42"/>
      <c r="O30" s="42"/>
      <c r="P30" s="43"/>
      <c r="Q30" s="42"/>
      <c r="R30" s="42"/>
      <c r="S30" s="42"/>
      <c r="T30" s="43"/>
      <c r="U30" s="44"/>
    </row>
    <row r="31" spans="1:22" ht="36" customHeight="1">
      <c r="A31" s="152" t="str">
        <f>IF(ISBLANK(Distance Control_10),"",Control_10 Distance)</f>
        <v/>
      </c>
      <c r="B31" s="153" t="str">
        <f>Control_10 Open_time</f>
        <v/>
      </c>
      <c r="C31" s="153" t="str">
        <f>Control_10 Close_time</f>
        <v/>
      </c>
      <c r="D31" s="96" t="str">
        <f>IF(ISBLANK(Locale Control_10),"",Locale Control_10)</f>
        <v/>
      </c>
      <c r="E31" s="68" t="str">
        <f>IF(ISBLANK(Control_10 Establishment_2),"",Control_10 Establishment_2)</f>
        <v/>
      </c>
      <c r="F31" s="169"/>
      <c r="G31" s="17"/>
      <c r="H31" s="149" t="s">
        <v>13</v>
      </c>
      <c r="M31" s="35"/>
      <c r="N31" s="44"/>
      <c r="O31" s="44"/>
      <c r="P31" s="45"/>
      <c r="Q31" s="44"/>
      <c r="R31" s="44"/>
      <c r="S31" s="44"/>
      <c r="T31" s="45"/>
      <c r="U31" s="44"/>
    </row>
    <row r="32" spans="1:22" ht="36" customHeight="1" thickBot="1">
      <c r="A32" s="69"/>
      <c r="B32" s="70" t="str">
        <f>Control_10 Open_time</f>
        <v/>
      </c>
      <c r="C32" s="70" t="str">
        <f>Control_10 Close_time</f>
        <v/>
      </c>
      <c r="D32" s="71"/>
      <c r="E32" s="72" t="str">
        <f>IF(ISBLANK(Control_10 Establishment_3),"",Control_10 Establishment_3)</f>
        <v/>
      </c>
      <c r="F32" s="170"/>
      <c r="G32" s="19"/>
      <c r="H32" s="149" t="s">
        <v>13</v>
      </c>
      <c r="M32" s="171"/>
      <c r="N32" s="41"/>
      <c r="O32" s="41"/>
      <c r="P32" s="46"/>
      <c r="Q32" s="41"/>
      <c r="R32" s="41"/>
      <c r="S32" s="41"/>
      <c r="T32" s="46"/>
      <c r="U32" s="44"/>
    </row>
    <row r="33" spans="1:22" ht="36" customHeight="1">
      <c r="A33" s="205" t="s">
        <v>351</v>
      </c>
      <c r="B33" s="205"/>
      <c r="C33" s="205"/>
      <c r="D33" s="205"/>
      <c r="E33" s="205"/>
      <c r="F33" s="205"/>
      <c r="G33" s="205"/>
      <c r="H33" s="172"/>
      <c r="I33" s="172"/>
      <c r="N33" s="184"/>
      <c r="O33" s="184"/>
      <c r="P33" s="184"/>
      <c r="Q33" s="184"/>
      <c r="R33" s="184"/>
      <c r="S33" s="184"/>
      <c r="T33" s="184"/>
      <c r="U33" s="184"/>
      <c r="V33" s="173"/>
    </row>
    <row r="34" spans="1:22" ht="36" customHeight="1">
      <c r="A34"/>
      <c r="H34" s="159"/>
      <c r="O34" s="88"/>
      <c r="P34" s="88"/>
      <c r="Q34" s="88"/>
      <c r="R34" s="174"/>
    </row>
  </sheetData>
  <mergeCells count="43">
    <mergeCell ref="A33:G33"/>
    <mergeCell ref="L15:U15"/>
    <mergeCell ref="L17:O17"/>
    <mergeCell ref="R17:U17"/>
    <mergeCell ref="L19:O19"/>
    <mergeCell ref="R19:U19"/>
    <mergeCell ref="J21:K21"/>
    <mergeCell ref="L21:O21"/>
    <mergeCell ref="R21:U21"/>
    <mergeCell ref="J22:K22"/>
    <mergeCell ref="L22:N22"/>
    <mergeCell ref="S22:U22"/>
    <mergeCell ref="J23:K23"/>
    <mergeCell ref="L23:N23"/>
    <mergeCell ref="S23:U23"/>
    <mergeCell ref="J24:K24"/>
    <mergeCell ref="A1:G1"/>
    <mergeCell ref="K2:U2"/>
    <mergeCell ref="N3:S3"/>
    <mergeCell ref="M4:T4"/>
    <mergeCell ref="N5:O5"/>
    <mergeCell ref="R5:U5"/>
    <mergeCell ref="M6:T6"/>
    <mergeCell ref="L7:Q7"/>
    <mergeCell ref="L13:U13"/>
    <mergeCell ref="L14:P14"/>
    <mergeCell ref="Q14:U14"/>
    <mergeCell ref="T7:U7"/>
    <mergeCell ref="L24:N24"/>
    <mergeCell ref="S24:U24"/>
    <mergeCell ref="J25:K25"/>
    <mergeCell ref="L25:N25"/>
    <mergeCell ref="M29:T29"/>
    <mergeCell ref="N33:U33"/>
    <mergeCell ref="J27:N27"/>
    <mergeCell ref="P27:Q27"/>
    <mergeCell ref="S27:T27"/>
    <mergeCell ref="U27:V27"/>
    <mergeCell ref="K28:L28"/>
    <mergeCell ref="N28:O28"/>
    <mergeCell ref="P28:Q28"/>
    <mergeCell ref="S28:T28"/>
    <mergeCell ref="U28:V28"/>
  </mergeCells>
  <phoneticPr fontId="17" type="noConversion"/>
  <pageMargins left="0.2" right="0.19375000000000001" top="0.2" bottom="0.2" header="0.51" footer="0.51"/>
  <pageSetup scale="4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opLeftCell="A5" workbookViewId="0">
      <selection activeCell="E8" sqref="E8"/>
    </sheetView>
  </sheetViews>
  <sheetFormatPr baseColWidth="10" defaultColWidth="8.83203125" defaultRowHeight="12" x14ac:dyDescent="0"/>
  <cols>
    <col min="1" max="1" width="8.5" style="1" customWidth="1"/>
    <col min="2" max="3" width="11.6640625" customWidth="1"/>
    <col min="4" max="4" width="18" customWidth="1"/>
    <col min="5" max="5" width="23.83203125" customWidth="1"/>
    <col min="6" max="6" width="42" customWidth="1"/>
    <col min="7" max="7" width="13.5" customWidth="1"/>
    <col min="8" max="8" width="9" style="90" customWidth="1"/>
    <col min="9" max="9" width="12" customWidth="1"/>
    <col min="13" max="15" width="8.83203125" customWidth="1"/>
    <col min="20" max="22" width="8.83203125" customWidth="1"/>
  </cols>
  <sheetData>
    <row r="1" spans="1:22" ht="19" thickBot="1">
      <c r="A1" s="200" t="s">
        <v>335</v>
      </c>
      <c r="B1" s="200"/>
      <c r="C1" s="200"/>
      <c r="D1" s="200"/>
      <c r="E1" s="200"/>
      <c r="F1" s="200"/>
      <c r="G1" s="200"/>
      <c r="H1" s="149" t="s">
        <v>13</v>
      </c>
    </row>
    <row r="2" spans="1:22" ht="33.75" customHeight="1" thickBot="1">
      <c r="A2" s="15" t="s">
        <v>14</v>
      </c>
      <c r="B2" s="16" t="s">
        <v>57</v>
      </c>
      <c r="C2" s="16" t="s">
        <v>58</v>
      </c>
      <c r="D2" s="16" t="s">
        <v>53</v>
      </c>
      <c r="E2" s="16" t="s">
        <v>15</v>
      </c>
      <c r="F2" s="16" t="s">
        <v>336</v>
      </c>
      <c r="G2" s="15" t="s">
        <v>16</v>
      </c>
      <c r="H2" s="149" t="s">
        <v>13</v>
      </c>
      <c r="K2" s="201" t="s">
        <v>0</v>
      </c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2" ht="36" customHeight="1">
      <c r="A3" s="65"/>
      <c r="B3" s="66">
        <f>Control_11 Open_time</f>
        <v>44146.458333333328</v>
      </c>
      <c r="C3" s="66">
        <f>Control_11 Close_time</f>
        <v>44146.669444444444</v>
      </c>
      <c r="D3" s="67"/>
      <c r="E3" s="68" t="str">
        <f>IF(ISBLANK(Control_11 Establishment_1),"",Control_11 Establishment_1)</f>
        <v>St. Mary the Virgin</v>
      </c>
      <c r="F3" s="150" t="s">
        <v>406</v>
      </c>
      <c r="G3" s="17"/>
      <c r="H3" s="149" t="s">
        <v>13</v>
      </c>
      <c r="K3" s="31"/>
      <c r="N3" s="202" t="s">
        <v>353</v>
      </c>
      <c r="O3" s="202"/>
      <c r="P3" s="202"/>
      <c r="Q3" s="202"/>
      <c r="R3" s="202"/>
      <c r="S3" s="202"/>
      <c r="T3" s="151"/>
      <c r="U3" s="151"/>
    </row>
    <row r="4" spans="1:22" ht="36" customHeight="1">
      <c r="A4" s="152">
        <f>IF(ISBLANK(Distance Control_11),"",Control_11 Distance)</f>
        <v>135.96</v>
      </c>
      <c r="B4" s="153">
        <f>Control_11 Open_time</f>
        <v>44146.458333333328</v>
      </c>
      <c r="C4" s="153">
        <f>Control_11 Close_time</f>
        <v>44146.669444444444</v>
      </c>
      <c r="D4" s="96" t="str">
        <f>IF(ISBLANK(Locale Control_11),"",Locale Control_11)</f>
        <v>METCHOSIN</v>
      </c>
      <c r="E4" s="68" t="str">
        <f>IF(ISBLANK(Control_11 Establishment_2),"",Control_11 Establishment_2)</f>
        <v>Cenotaph</v>
      </c>
      <c r="F4" s="154"/>
      <c r="G4" s="17"/>
      <c r="H4" s="149" t="s">
        <v>13</v>
      </c>
      <c r="K4" s="31"/>
      <c r="M4" s="188" t="str">
        <f>IF(ISBLANK(brevet),"",brevet&amp;" km Randonnée")</f>
        <v>200 km Randonnée</v>
      </c>
      <c r="N4" s="188"/>
      <c r="O4" s="188"/>
      <c r="P4" s="188"/>
      <c r="Q4" s="188"/>
      <c r="R4" s="188"/>
      <c r="S4" s="188"/>
      <c r="T4" s="188"/>
      <c r="U4" s="155"/>
    </row>
    <row r="5" spans="1:22" ht="36" customHeight="1" thickBot="1">
      <c r="A5" s="69"/>
      <c r="B5" s="70">
        <f>Control_11 Open_time</f>
        <v>44146.458333333328</v>
      </c>
      <c r="C5" s="70">
        <f>Control_11 Close_time</f>
        <v>44146.669444444444</v>
      </c>
      <c r="D5" s="71"/>
      <c r="E5" s="72" t="str">
        <f>IF(ISBLANK(Control_11 Establishment_3),"",Control_11 Establishment_3)</f>
        <v>Metchosin Rd near Happy Valley</v>
      </c>
      <c r="F5" s="20"/>
      <c r="G5" s="19"/>
      <c r="H5" s="149" t="s">
        <v>13</v>
      </c>
      <c r="K5" s="31"/>
      <c r="N5" s="203" t="s">
        <v>337</v>
      </c>
      <c r="O5" s="203"/>
      <c r="P5" s="156" t="str">
        <f>IF(ISBLANK(Brevet_Number),"",Brevet_Number)</f>
        <v>4845</v>
      </c>
      <c r="Q5" s="157"/>
      <c r="R5" s="204">
        <f>IF(ISBLANK('Control Entry'!$B5),"",'Control Entry'!$B5)</f>
        <v>44146</v>
      </c>
      <c r="S5" s="204"/>
      <c r="T5" s="204"/>
      <c r="U5" s="204"/>
      <c r="V5" s="99"/>
    </row>
    <row r="6" spans="1:22" ht="36" customHeight="1">
      <c r="A6" s="65"/>
      <c r="B6" s="66">
        <f>Control_12 Open_time</f>
        <v>44146.494444444441</v>
      </c>
      <c r="C6" s="66">
        <f>Control_12 Close_time</f>
        <v>44146.751388888886</v>
      </c>
      <c r="D6" s="73"/>
      <c r="E6" s="68" t="str">
        <f>IF(ISBLANK(Control_12 Establishment_1),"",Control_12 Establishment_1)</f>
        <v>Royal Jubilee Hospital</v>
      </c>
      <c r="F6" s="150" t="s">
        <v>414</v>
      </c>
      <c r="G6" s="17"/>
      <c r="H6" s="149" t="s">
        <v>13</v>
      </c>
      <c r="K6" s="31"/>
      <c r="M6" s="194" t="str">
        <f>IF(ISBLANK(Brevet_Description),"",Brevet_Description)</f>
        <v>Remembrance Day</v>
      </c>
      <c r="N6" s="194"/>
      <c r="O6" s="194"/>
      <c r="P6" s="194"/>
      <c r="Q6" s="194"/>
      <c r="R6" s="194"/>
      <c r="S6" s="194"/>
      <c r="T6" s="194"/>
    </row>
    <row r="7" spans="1:22" ht="36" customHeight="1" thickBot="1">
      <c r="A7" s="152">
        <f>IF(ISBLANK(Distance Control_12),"",Control_12 Distance)</f>
        <v>165.43</v>
      </c>
      <c r="B7" s="153">
        <f>Control_12 Open_time</f>
        <v>44146.494444444441</v>
      </c>
      <c r="C7" s="153">
        <f>Control_12 Close_time</f>
        <v>44146.751388888886</v>
      </c>
      <c r="D7" s="96" t="str">
        <f>IF(ISBLANK(Locale Control_12),"",Locale Control_12)</f>
        <v>VICTORIA</v>
      </c>
      <c r="E7" s="158" t="str">
        <f>IF(ISBLANK(Control_12 Establishment_2),"",Control_12 Establishment_2)</f>
        <v xml:space="preserve">Plaque: Memorial Pavilion </v>
      </c>
      <c r="F7" s="154"/>
      <c r="G7" s="17"/>
      <c r="H7" s="149" t="s">
        <v>13</v>
      </c>
      <c r="J7" s="32" t="s">
        <v>17</v>
      </c>
      <c r="L7" s="195">
        <f>'Control Card 1'!L7:Q7</f>
        <v>0</v>
      </c>
      <c r="M7" s="195"/>
      <c r="N7" s="195"/>
      <c r="O7" s="195"/>
      <c r="P7" s="195"/>
      <c r="Q7" s="195"/>
      <c r="R7" s="159"/>
      <c r="S7" s="160" t="s">
        <v>338</v>
      </c>
      <c r="T7" s="199">
        <f>'Control Card 1'!T7</f>
        <v>0</v>
      </c>
      <c r="U7" s="199"/>
    </row>
    <row r="8" spans="1:22" ht="36" customHeight="1" thickBot="1">
      <c r="A8" s="69"/>
      <c r="B8" s="70">
        <f>Control_12 Open_time</f>
        <v>44146.494444444441</v>
      </c>
      <c r="C8" s="70">
        <f>Control_12 Close_time</f>
        <v>44146.751388888886</v>
      </c>
      <c r="D8" s="71"/>
      <c r="E8" s="72" t="str">
        <f>IF(ISBLANK(Control_12 Establishment_3),"",Control_12 Establishment_3)</f>
        <v>Left side front door</v>
      </c>
      <c r="F8" s="20"/>
      <c r="G8" s="19"/>
      <c r="H8" s="149" t="s">
        <v>13</v>
      </c>
      <c r="J8" s="32"/>
      <c r="K8" s="32"/>
    </row>
    <row r="9" spans="1:22" ht="36" customHeight="1">
      <c r="A9" s="65"/>
      <c r="B9" s="66">
        <f>Control_13 Open_time</f>
        <v>44146.506249999999</v>
      </c>
      <c r="C9" s="66">
        <f>Control_13 Close_time</f>
        <v>44146.777083333334</v>
      </c>
      <c r="D9" s="73"/>
      <c r="E9" s="68" t="str">
        <f>IF(ISBLANK(Control_13 Establishment_1),"",Control_13 Establishment_1)</f>
        <v>Road to Rembrance</v>
      </c>
      <c r="F9" s="18" t="s">
        <v>401</v>
      </c>
      <c r="G9" s="17"/>
      <c r="H9" s="149" t="s">
        <v>13</v>
      </c>
      <c r="J9" s="32"/>
      <c r="K9" s="32"/>
    </row>
    <row r="10" spans="1:22" ht="36" customHeight="1">
      <c r="A10" s="152">
        <f>IF(ISBLANK(Distance Control_13),"",Control_13 Distance)</f>
        <v>174.84</v>
      </c>
      <c r="B10" s="153">
        <f>Control_13 Open_time</f>
        <v>44146.506249999999</v>
      </c>
      <c r="C10" s="153">
        <f>Control_13 Close_time</f>
        <v>44146.777083333334</v>
      </c>
      <c r="D10" s="96" t="str">
        <f>IF(ISBLANK(Locale Control_13),"",Locale Control_13)</f>
        <v>SAANICH</v>
      </c>
      <c r="E10" s="158" t="str">
        <f>IF(ISBLANK(Control_13 Establishment_2),"",Control_13 Establishment_2)</f>
        <v>Plaque in middle of road</v>
      </c>
      <c r="F10" s="154"/>
      <c r="G10" s="17"/>
      <c r="H10" s="149" t="s">
        <v>13</v>
      </c>
      <c r="J10" s="196" t="s">
        <v>352</v>
      </c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2" ht="36" customHeight="1" thickBot="1">
      <c r="A11" s="69"/>
      <c r="B11" s="70">
        <f>Control_13 Open_time</f>
        <v>44146.506249999999</v>
      </c>
      <c r="C11" s="70">
        <f>Control_13 Close_time</f>
        <v>44146.777083333334</v>
      </c>
      <c r="D11" s="71"/>
      <c r="E11" s="72" t="str">
        <f>IF(ISBLANK(Control_13 Establishment_3),"",Control_13 Establishment_3)</f>
        <v>Shelbourne St @ Elnido Rd</v>
      </c>
      <c r="F11" s="20"/>
      <c r="G11" s="19"/>
      <c r="H11" s="149" t="s">
        <v>13</v>
      </c>
      <c r="J11" s="32"/>
      <c r="K11" s="32"/>
    </row>
    <row r="12" spans="1:22" ht="36" customHeight="1">
      <c r="A12" s="65"/>
      <c r="B12" s="66">
        <f>Control_14 Open_time</f>
        <v>44146.534722222219</v>
      </c>
      <c r="C12" s="66">
        <f>Control_14 Close_time</f>
        <v>44146.842361111107</v>
      </c>
      <c r="D12" s="73"/>
      <c r="E12" s="68" t="str">
        <f>IF(ISBLANK(Control_14 Establishment_1),"",Control_14 Establishment_1)</f>
        <v>Sidney Air Cadet HQ</v>
      </c>
      <c r="F12" s="150" t="s">
        <v>402</v>
      </c>
      <c r="G12" s="17"/>
      <c r="H12" s="149" t="s">
        <v>13</v>
      </c>
      <c r="J12" s="32"/>
    </row>
    <row r="13" spans="1:22" ht="36" customHeight="1">
      <c r="A13" s="152">
        <f>IF(ISBLANK(Distance Control_14),"",Control_14 Distance)</f>
        <v>198.37</v>
      </c>
      <c r="B13" s="153">
        <f>Control_14 Open_time</f>
        <v>44146.534722222219</v>
      </c>
      <c r="C13" s="153">
        <f>Control_14 Close_time</f>
        <v>44146.842361111107</v>
      </c>
      <c r="D13" s="96" t="str">
        <f>IF(ISBLANK(Locale Control_14),"",Locale Control_14)</f>
        <v>NORTH SAANICH</v>
      </c>
      <c r="E13" s="68" t="str">
        <f>IF(ISBLANK(Control_14 Establishment_2),"",Control_14 Establishment_2)</f>
        <v>Parking stall designation</v>
      </c>
      <c r="F13" s="154"/>
      <c r="G13" s="17"/>
      <c r="H13" s="149" t="s">
        <v>13</v>
      </c>
      <c r="R13" s="149"/>
      <c r="S13" s="149"/>
      <c r="T13" s="149"/>
      <c r="U13" s="149"/>
    </row>
    <row r="14" spans="1:22" ht="36" customHeight="1" thickBot="1">
      <c r="A14" s="69"/>
      <c r="B14" s="70">
        <f>Control_14 Open_time</f>
        <v>44146.534722222219</v>
      </c>
      <c r="C14" s="70">
        <f>Control_14 Close_time</f>
        <v>44146.842361111107</v>
      </c>
      <c r="D14" s="71"/>
      <c r="E14" s="72" t="str">
        <f>IF(ISBLANK(Control_14 Establishment_3),"",Control_14 Establishment_3)</f>
        <v>Canora Rd &amp; DeHavilland Wy</v>
      </c>
      <c r="F14" s="20"/>
      <c r="G14" s="19"/>
      <c r="H14" s="149" t="s">
        <v>13</v>
      </c>
    </row>
    <row r="15" spans="1:22" ht="36" customHeight="1">
      <c r="A15" s="65"/>
      <c r="B15" s="66">
        <f>Control_15 Open_time</f>
        <v>44146.538888888885</v>
      </c>
      <c r="C15" s="66">
        <f>Control_15 Close_time</f>
        <v>44146.854166666664</v>
      </c>
      <c r="D15" s="73"/>
      <c r="E15" s="68" t="str">
        <f>IF(ISBLANK(Control_15 Establishment_1),"",Control_15 Establishment_1)</f>
        <v>Tulista Park</v>
      </c>
      <c r="F15" s="150" t="s">
        <v>386</v>
      </c>
      <c r="G15" s="17"/>
      <c r="H15" s="149" t="s">
        <v>13</v>
      </c>
    </row>
    <row r="16" spans="1:22" ht="36" customHeight="1" thickBot="1">
      <c r="A16" s="152">
        <f>IF(ISBLANK(Distance Control_15),"",Control_15 Distance)</f>
        <v>201.7</v>
      </c>
      <c r="B16" s="153">
        <f>Control_15 Open_time</f>
        <v>44146.538888888885</v>
      </c>
      <c r="C16" s="153">
        <f>Control_15 Close_time</f>
        <v>44146.854166666664</v>
      </c>
      <c r="D16" s="96" t="str">
        <f>IF(ISBLANK(Locale Control_15),"",Locale Control_15)</f>
        <v>SIDNEY</v>
      </c>
      <c r="E16" s="68" t="str">
        <f>IF(ISBLANK(Control_15 Establishment_2),"",Control_15 Establishment_2)</f>
        <v>Washrooms</v>
      </c>
      <c r="F16" s="154"/>
      <c r="G16" s="17"/>
      <c r="H16" s="149" t="s">
        <v>13</v>
      </c>
      <c r="M16" s="149"/>
      <c r="N16" s="149"/>
      <c r="O16" s="149"/>
      <c r="P16" s="149"/>
      <c r="Q16" s="149"/>
    </row>
    <row r="17" spans="1:22" ht="36" customHeight="1" thickBot="1">
      <c r="A17" s="69"/>
      <c r="B17" s="70">
        <f>Control_15 Open_time</f>
        <v>44146.538888888885</v>
      </c>
      <c r="C17" s="70">
        <f>Control_15 Close_time</f>
        <v>44146.854166666664</v>
      </c>
      <c r="D17" s="71"/>
      <c r="E17" s="72" t="str">
        <f>IF(ISBLANK(Control_15 Establishment_3),"",Control_15 Establishment_3)</f>
        <v>Fifth Ave @ Weiler Ave</v>
      </c>
      <c r="F17" s="20"/>
      <c r="G17" s="19"/>
      <c r="H17" s="149" t="s">
        <v>13</v>
      </c>
      <c r="M17" s="175" t="s">
        <v>28</v>
      </c>
      <c r="N17" s="175"/>
      <c r="O17" s="175"/>
      <c r="P17" s="175"/>
      <c r="Q17" s="175"/>
    </row>
    <row r="18" spans="1:22" ht="36" customHeight="1">
      <c r="A18" s="65"/>
      <c r="B18" s="66" t="str">
        <f>Control_16 Open_time</f>
        <v/>
      </c>
      <c r="C18" s="66" t="str">
        <f>Control_16 Close_time</f>
        <v/>
      </c>
      <c r="D18" s="73"/>
      <c r="E18" s="68" t="str">
        <f>IF(ISBLANK(Control_16 Establishment_1),"",Control_16 Establishment_1)</f>
        <v/>
      </c>
      <c r="F18" s="150"/>
      <c r="G18" s="17"/>
      <c r="H18" s="149" t="s">
        <v>13</v>
      </c>
    </row>
    <row r="19" spans="1:22" ht="36" customHeight="1">
      <c r="A19" s="152" t="str">
        <f>IF(ISBLANK(Distance Control_16),"",Control_16 Distance)</f>
        <v/>
      </c>
      <c r="B19" s="153" t="str">
        <f>Control_16 Open_time</f>
        <v/>
      </c>
      <c r="C19" s="153" t="str">
        <f>Control_16 Close_time</f>
        <v/>
      </c>
      <c r="D19" s="96" t="str">
        <f>IF(ISBLANK(Locale Control_16),"",Locale Control_16)</f>
        <v/>
      </c>
      <c r="E19" s="68" t="str">
        <f>IF(ISBLANK(Control_16 Establishment_2),"",Control_16 Establishment_2)</f>
        <v/>
      </c>
      <c r="F19" s="18"/>
      <c r="G19" s="17"/>
      <c r="H19" s="149" t="s">
        <v>13</v>
      </c>
    </row>
    <row r="20" spans="1:22" ht="36" customHeight="1" thickBot="1">
      <c r="A20" s="69"/>
      <c r="B20" s="70" t="str">
        <f>Control_16 Open_time</f>
        <v/>
      </c>
      <c r="C20" s="70" t="str">
        <f>Control_16 Close_time</f>
        <v/>
      </c>
      <c r="D20" s="71"/>
      <c r="E20" s="72" t="str">
        <f>IF(ISBLANK(Control_16 Establishment_3),"",Control_16 Establishment_3)</f>
        <v/>
      </c>
      <c r="F20" s="20"/>
      <c r="G20" s="19"/>
      <c r="H20" s="149" t="s">
        <v>13</v>
      </c>
      <c r="K20" s="164"/>
    </row>
    <row r="21" spans="1:22" ht="36" customHeight="1">
      <c r="A21" s="65"/>
      <c r="B21" s="66" t="str">
        <f>Control_17 Open_time</f>
        <v/>
      </c>
      <c r="C21" s="66" t="str">
        <f>Control_17 Close_time</f>
        <v/>
      </c>
      <c r="D21" s="73"/>
      <c r="E21" s="68" t="str">
        <f>IF(ISBLANK(Control_17 Establishment_1),"",Control_17 Establishment_1)</f>
        <v/>
      </c>
      <c r="F21" s="150"/>
      <c r="G21" s="17"/>
      <c r="H21" s="149" t="s">
        <v>13</v>
      </c>
      <c r="J21" s="208"/>
      <c r="K21" s="208"/>
      <c r="V21" s="159"/>
    </row>
    <row r="22" spans="1:22" ht="36" customHeight="1">
      <c r="A22" s="152" t="str">
        <f>IF(ISBLANK(Distance Control_17),"",Control_17 Distance)</f>
        <v/>
      </c>
      <c r="B22" s="153" t="str">
        <f>Control_17 Open_time</f>
        <v/>
      </c>
      <c r="C22" s="153" t="str">
        <f>Control_17 Close_time</f>
        <v/>
      </c>
      <c r="D22" s="96" t="str">
        <f>IF(ISBLANK(Locale Control_17),"",Locale Control_17)</f>
        <v/>
      </c>
      <c r="E22" s="68" t="str">
        <f>IF(ISBLANK(Control_17 Establishment_2),"",Control_17 Establishment_2)</f>
        <v/>
      </c>
      <c r="F22" s="154"/>
      <c r="G22" s="17"/>
      <c r="H22" s="149" t="s">
        <v>13</v>
      </c>
      <c r="J22" s="208"/>
      <c r="K22" s="208"/>
    </row>
    <row r="23" spans="1:22" ht="36" customHeight="1" thickBot="1">
      <c r="A23" s="69"/>
      <c r="B23" s="70" t="str">
        <f>Control_17 Open_time</f>
        <v/>
      </c>
      <c r="C23" s="70" t="str">
        <f>Control_17 Close_time</f>
        <v/>
      </c>
      <c r="D23" s="71"/>
      <c r="E23" s="72" t="str">
        <f>IF(ISBLANK(Control_17 Establishment_3),"",Control_17 Establishment_3)</f>
        <v/>
      </c>
      <c r="F23" s="20"/>
      <c r="G23" s="19"/>
      <c r="H23" s="149" t="s">
        <v>13</v>
      </c>
      <c r="J23" s="208"/>
      <c r="K23" s="208"/>
      <c r="V23" s="159"/>
    </row>
    <row r="24" spans="1:22" ht="36" customHeight="1">
      <c r="A24" s="65"/>
      <c r="B24" s="66" t="str">
        <f>Control_18 Open_time</f>
        <v/>
      </c>
      <c r="C24" s="66" t="str">
        <f>Control_18 Close_time</f>
        <v/>
      </c>
      <c r="D24" s="73"/>
      <c r="E24" s="68" t="str">
        <f>IF(ISBLANK(Control_18 Establishment_1),"",Control_18 Establishment_1)</f>
        <v/>
      </c>
      <c r="F24" s="150"/>
      <c r="G24" s="17"/>
      <c r="H24" s="149" t="s">
        <v>13</v>
      </c>
      <c r="J24" s="191"/>
      <c r="K24" s="191"/>
    </row>
    <row r="25" spans="1:22" ht="36" customHeight="1">
      <c r="A25" s="152" t="str">
        <f>IF(ISBLANK(Distance Control_18),"",Control_18 Distance)</f>
        <v/>
      </c>
      <c r="B25" s="153" t="str">
        <f>Control_18 Open_time</f>
        <v/>
      </c>
      <c r="C25" s="153" t="str">
        <f>Control_18 Close_time</f>
        <v/>
      </c>
      <c r="D25" s="96" t="str">
        <f>IF(ISBLANK(Locale Control_18),"",Locale Control_18)</f>
        <v/>
      </c>
      <c r="E25" s="158" t="str">
        <f>IF(ISBLANK(Control_18 Establishment_2),"",Control_18 Establishment_2)</f>
        <v/>
      </c>
      <c r="F25" s="154"/>
      <c r="G25" s="17"/>
      <c r="H25" s="149" t="s">
        <v>13</v>
      </c>
      <c r="J25" s="191"/>
      <c r="K25" s="191"/>
      <c r="V25" s="159"/>
    </row>
    <row r="26" spans="1:22" ht="36" customHeight="1" thickBot="1">
      <c r="A26" s="69"/>
      <c r="B26" s="70" t="str">
        <f>Control_18 Open_time</f>
        <v/>
      </c>
      <c r="C26" s="70" t="str">
        <f>Control_18 Close_time</f>
        <v/>
      </c>
      <c r="D26" s="71"/>
      <c r="E26" s="72" t="str">
        <f>IF(ISBLANK(Control_18 Establishment_3),"",Control_18 Establishment_3)</f>
        <v/>
      </c>
      <c r="F26" s="20"/>
      <c r="G26" s="19"/>
      <c r="H26" s="149" t="s">
        <v>13</v>
      </c>
      <c r="O26" s="40"/>
      <c r="P26" s="39"/>
      <c r="Q26" s="39"/>
    </row>
    <row r="27" spans="1:22" ht="36" customHeight="1">
      <c r="A27" s="65"/>
      <c r="B27" s="66" t="str">
        <f>Control_19 Open_time</f>
        <v/>
      </c>
      <c r="C27" s="66" t="str">
        <f>Control_19 Close_time</f>
        <v/>
      </c>
      <c r="D27" s="73"/>
      <c r="E27" s="68" t="str">
        <f>IF(ISBLANK(Control_19 Establishment_1),"",Control_19 Establishment_1)</f>
        <v/>
      </c>
      <c r="F27" s="150"/>
      <c r="G27" s="17"/>
      <c r="H27" s="149" t="s">
        <v>13</v>
      </c>
      <c r="O27" s="166"/>
      <c r="P27" s="186"/>
      <c r="Q27" s="186"/>
    </row>
    <row r="28" spans="1:22" ht="36" customHeight="1">
      <c r="A28" s="152" t="str">
        <f>IF(ISBLANK(Distance Control_19),"",Control_19 Distance)</f>
        <v/>
      </c>
      <c r="B28" s="153" t="str">
        <f>Control_19 Open_time</f>
        <v/>
      </c>
      <c r="C28" s="153" t="str">
        <f>Control_19 Close_time</f>
        <v/>
      </c>
      <c r="D28" s="96" t="str">
        <f>IF(ISBLANK(Locale Control_19),"",Locale Control_19)</f>
        <v/>
      </c>
      <c r="E28" s="68" t="str">
        <f>IF(ISBLANK(Control_19 Establishment_2),"",Control_19 Establishment_2)</f>
        <v/>
      </c>
      <c r="F28" s="154"/>
      <c r="G28" s="17"/>
      <c r="H28" s="149" t="s">
        <v>13</v>
      </c>
      <c r="K28" s="188"/>
      <c r="L28" s="186"/>
      <c r="M28" s="167"/>
      <c r="N28" s="186"/>
      <c r="O28" s="186"/>
      <c r="P28" s="186"/>
      <c r="Q28" s="186"/>
      <c r="R28" s="166"/>
      <c r="S28" s="187"/>
      <c r="T28" s="187"/>
      <c r="U28" s="187"/>
      <c r="V28" s="187"/>
    </row>
    <row r="29" spans="1:22" ht="36" customHeight="1" thickBot="1">
      <c r="A29" s="69"/>
      <c r="B29" s="70" t="str">
        <f>Control_19 Open_time</f>
        <v/>
      </c>
      <c r="C29" s="70" t="str">
        <f>Control_19 Close_time</f>
        <v/>
      </c>
      <c r="D29" s="71"/>
      <c r="E29" s="72" t="str">
        <f>IF(ISBLANK(Control_19 Establishment_3),"",Control_19 Establishment_3)</f>
        <v/>
      </c>
      <c r="F29" s="20"/>
      <c r="G29" s="19"/>
      <c r="H29" s="149" t="s">
        <v>13</v>
      </c>
      <c r="M29" s="193" t="s">
        <v>29</v>
      </c>
      <c r="N29" s="193"/>
      <c r="O29" s="193"/>
      <c r="P29" s="193"/>
      <c r="Q29" s="193"/>
      <c r="R29" s="193"/>
      <c r="S29" s="193"/>
      <c r="T29" s="193"/>
      <c r="U29" s="168"/>
    </row>
    <row r="30" spans="1:22" ht="36" customHeight="1">
      <c r="A30" s="65"/>
      <c r="B30" s="66" t="str">
        <f>Control_20 Open_time</f>
        <v/>
      </c>
      <c r="C30" s="66" t="str">
        <f>Control_20 Close_time</f>
        <v/>
      </c>
      <c r="D30" s="73"/>
      <c r="E30" s="68" t="str">
        <f>IF(ISBLANK(Control_20 Establishment_1),"",Control_20 Establishment_1)</f>
        <v/>
      </c>
      <c r="F30" s="150"/>
      <c r="G30" s="17"/>
      <c r="H30" s="149" t="s">
        <v>13</v>
      </c>
      <c r="M30" s="34"/>
      <c r="N30" s="42"/>
      <c r="O30" s="42"/>
      <c r="P30" s="43"/>
      <c r="Q30" s="42"/>
      <c r="R30" s="42"/>
      <c r="S30" s="42"/>
      <c r="T30" s="43"/>
      <c r="U30" s="44"/>
    </row>
    <row r="31" spans="1:22" ht="36" customHeight="1">
      <c r="A31" s="152" t="str">
        <f>IF(ISBLANK(Distance Control_20),"",Control_20 Distance)</f>
        <v/>
      </c>
      <c r="B31" s="153" t="str">
        <f>Control_20 Open_time</f>
        <v/>
      </c>
      <c r="C31" s="153" t="str">
        <f>Control_20 Close_time</f>
        <v/>
      </c>
      <c r="D31" s="96" t="str">
        <f>IF(ISBLANK(Locale Control_20),"",Locale Control_20)</f>
        <v/>
      </c>
      <c r="E31" s="68" t="str">
        <f>IF(ISBLANK(Control_20 Establishment_2),"",Control_20 Establishment_2)</f>
        <v/>
      </c>
      <c r="F31" s="169"/>
      <c r="G31" s="17"/>
      <c r="H31" s="149" t="s">
        <v>13</v>
      </c>
      <c r="M31" s="35"/>
      <c r="N31" s="44"/>
      <c r="O31" s="44"/>
      <c r="P31" s="45"/>
      <c r="Q31" s="44"/>
      <c r="R31" s="44"/>
      <c r="S31" s="44"/>
      <c r="T31" s="45"/>
      <c r="U31" s="44"/>
    </row>
    <row r="32" spans="1:22" ht="36" customHeight="1" thickBot="1">
      <c r="A32" s="69"/>
      <c r="B32" s="70" t="str">
        <f>Control_20 Open_time</f>
        <v/>
      </c>
      <c r="C32" s="70" t="str">
        <f>Control_20 Close_time</f>
        <v/>
      </c>
      <c r="D32" s="71"/>
      <c r="E32" s="72" t="str">
        <f>IF(ISBLANK(Control_20 Establishment_3),"",Control_20 Establishment_3)</f>
        <v/>
      </c>
      <c r="F32" s="170"/>
      <c r="G32" s="19"/>
      <c r="H32" s="149" t="s">
        <v>13</v>
      </c>
      <c r="M32" s="171"/>
      <c r="N32" s="41"/>
      <c r="O32" s="41"/>
      <c r="P32" s="46"/>
      <c r="Q32" s="41"/>
      <c r="R32" s="41"/>
      <c r="S32" s="41"/>
      <c r="T32" s="46"/>
      <c r="U32" s="44"/>
    </row>
    <row r="33" spans="1:22" ht="36" customHeight="1">
      <c r="A33" s="205" t="s">
        <v>351</v>
      </c>
      <c r="B33" s="205"/>
      <c r="C33" s="205"/>
      <c r="D33" s="205"/>
      <c r="E33" s="205"/>
      <c r="F33" s="205"/>
      <c r="G33" s="205"/>
      <c r="H33" s="172"/>
      <c r="I33" s="172"/>
      <c r="N33" s="184"/>
      <c r="O33" s="184"/>
      <c r="P33" s="184"/>
      <c r="Q33" s="184"/>
      <c r="R33" s="184"/>
      <c r="S33" s="184"/>
      <c r="T33" s="184"/>
      <c r="U33" s="184"/>
      <c r="V33" s="173"/>
    </row>
    <row r="34" spans="1:22" ht="36" customHeight="1">
      <c r="A34"/>
      <c r="H34" s="159"/>
      <c r="O34" s="88"/>
      <c r="P34" s="88"/>
      <c r="Q34" s="88"/>
      <c r="R34" s="174"/>
    </row>
  </sheetData>
  <mergeCells count="24">
    <mergeCell ref="M6:T6"/>
    <mergeCell ref="L7:Q7"/>
    <mergeCell ref="A1:G1"/>
    <mergeCell ref="K2:U2"/>
    <mergeCell ref="N3:S3"/>
    <mergeCell ref="M4:T4"/>
    <mergeCell ref="N5:O5"/>
    <mergeCell ref="R5:U5"/>
    <mergeCell ref="T7:U7"/>
    <mergeCell ref="J10:U10"/>
    <mergeCell ref="A33:G33"/>
    <mergeCell ref="N33:U33"/>
    <mergeCell ref="K28:L28"/>
    <mergeCell ref="N28:O28"/>
    <mergeCell ref="P28:Q28"/>
    <mergeCell ref="S28:T28"/>
    <mergeCell ref="U28:V28"/>
    <mergeCell ref="M29:T29"/>
    <mergeCell ref="J24:K24"/>
    <mergeCell ref="J25:K25"/>
    <mergeCell ref="P27:Q27"/>
    <mergeCell ref="J22:K22"/>
    <mergeCell ref="J23:K23"/>
    <mergeCell ref="J21:K21"/>
  </mergeCells>
  <phoneticPr fontId="23" type="noConversion"/>
  <pageMargins left="0.2" right="0.19375000000000001" top="0.2" bottom="0.2" header="0.51" footer="0.51"/>
  <pageSetup scale="4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view="pageLayout" zoomScale="125" zoomScaleNormal="125" zoomScalePageLayoutView="125" workbookViewId="0">
      <selection activeCell="C335" sqref="C335"/>
    </sheetView>
  </sheetViews>
  <sheetFormatPr baseColWidth="10" defaultColWidth="9.1640625" defaultRowHeight="14" x14ac:dyDescent="0"/>
  <cols>
    <col min="1" max="1" width="6.6640625" style="145" customWidth="1"/>
    <col min="2" max="2" width="4.6640625" style="122" customWidth="1"/>
    <col min="3" max="3" width="37.1640625" style="122" bestFit="1" customWidth="1"/>
    <col min="4" max="4" width="5.1640625" style="145" bestFit="1" customWidth="1"/>
    <col min="5" max="5" width="9.1640625" style="105"/>
    <col min="6" max="16384" width="9.1640625" style="122"/>
  </cols>
  <sheetData>
    <row r="1" spans="1:4" ht="36" customHeight="1">
      <c r="A1" s="101" t="s">
        <v>78</v>
      </c>
      <c r="B1" s="102" t="s">
        <v>68</v>
      </c>
      <c r="C1" s="103" t="s">
        <v>79</v>
      </c>
      <c r="D1" s="104" t="s">
        <v>80</v>
      </c>
    </row>
    <row r="2" spans="1:4" ht="24">
      <c r="A2" s="106"/>
      <c r="B2" s="107"/>
      <c r="C2" s="108" t="s">
        <v>81</v>
      </c>
      <c r="D2" s="109"/>
    </row>
    <row r="3" spans="1:4" ht="15">
      <c r="A3" s="110">
        <v>0.01</v>
      </c>
      <c r="B3" s="111" t="s">
        <v>70</v>
      </c>
      <c r="C3" s="112" t="s">
        <v>82</v>
      </c>
      <c r="D3" s="113">
        <f>A4-A3</f>
        <v>9.0000000000000011E-2</v>
      </c>
    </row>
    <row r="4" spans="1:4" ht="15">
      <c r="A4" s="110">
        <v>0.1</v>
      </c>
      <c r="B4" s="111" t="s">
        <v>70</v>
      </c>
      <c r="C4" s="112" t="s">
        <v>83</v>
      </c>
      <c r="D4" s="113">
        <f t="shared" ref="D4:D67" si="0">A5-A4</f>
        <v>0.31999999999999995</v>
      </c>
    </row>
    <row r="5" spans="1:4" ht="15">
      <c r="A5" s="110">
        <v>0.42</v>
      </c>
      <c r="B5" s="114" t="s">
        <v>44</v>
      </c>
      <c r="C5" s="115" t="s">
        <v>84</v>
      </c>
      <c r="D5" s="113">
        <f t="shared" si="0"/>
        <v>0.48000000000000004</v>
      </c>
    </row>
    <row r="6" spans="1:4" ht="15">
      <c r="A6" s="110">
        <v>0.9</v>
      </c>
      <c r="B6" s="114" t="s">
        <v>70</v>
      </c>
      <c r="C6" s="115" t="s">
        <v>85</v>
      </c>
      <c r="D6" s="113">
        <f t="shared" si="0"/>
        <v>0.14000000000000001</v>
      </c>
    </row>
    <row r="7" spans="1:4" ht="15">
      <c r="A7" s="110">
        <v>1.04</v>
      </c>
      <c r="B7" s="114" t="s">
        <v>69</v>
      </c>
      <c r="C7" s="115" t="s">
        <v>86</v>
      </c>
      <c r="D7" s="113">
        <f t="shared" si="0"/>
        <v>7.0000000000000062E-2</v>
      </c>
    </row>
    <row r="8" spans="1:4" ht="25">
      <c r="A8" s="116">
        <v>1.1100000000000001</v>
      </c>
      <c r="B8" s="117"/>
      <c r="C8" s="118" t="s">
        <v>87</v>
      </c>
      <c r="D8" s="119">
        <f t="shared" si="0"/>
        <v>7.9999999999999849E-2</v>
      </c>
    </row>
    <row r="9" spans="1:4" ht="15">
      <c r="A9" s="110">
        <v>1.19</v>
      </c>
      <c r="B9" s="114" t="s">
        <v>70</v>
      </c>
      <c r="C9" s="115" t="s">
        <v>88</v>
      </c>
      <c r="D9" s="113">
        <f t="shared" si="0"/>
        <v>4.0000000000000036E-2</v>
      </c>
    </row>
    <row r="10" spans="1:4" ht="15">
      <c r="A10" s="116">
        <v>1.23</v>
      </c>
      <c r="B10" s="120"/>
      <c r="C10" s="121" t="s">
        <v>89</v>
      </c>
      <c r="D10" s="119">
        <f t="shared" si="0"/>
        <v>5.0000000000000044E-2</v>
      </c>
    </row>
    <row r="11" spans="1:4" ht="15">
      <c r="A11" s="110">
        <v>1.28</v>
      </c>
      <c r="B11" s="114" t="s">
        <v>69</v>
      </c>
      <c r="C11" s="115" t="s">
        <v>90</v>
      </c>
      <c r="D11" s="113">
        <f t="shared" si="0"/>
        <v>0.95</v>
      </c>
    </row>
    <row r="12" spans="1:4" ht="15">
      <c r="A12" s="110">
        <v>2.23</v>
      </c>
      <c r="B12" s="114" t="s">
        <v>69</v>
      </c>
      <c r="C12" s="115" t="s">
        <v>91</v>
      </c>
      <c r="D12" s="113">
        <f t="shared" si="0"/>
        <v>0.37999999999999989</v>
      </c>
    </row>
    <row r="13" spans="1:4" ht="15">
      <c r="A13" s="110">
        <v>2.61</v>
      </c>
      <c r="B13" s="111" t="s">
        <v>70</v>
      </c>
      <c r="C13" s="112" t="s">
        <v>92</v>
      </c>
      <c r="D13" s="113">
        <f t="shared" si="0"/>
        <v>1.52</v>
      </c>
    </row>
    <row r="14" spans="1:4" ht="15">
      <c r="A14" s="110">
        <v>4.13</v>
      </c>
      <c r="B14" s="114" t="s">
        <v>70</v>
      </c>
      <c r="C14" s="112" t="s">
        <v>93</v>
      </c>
      <c r="D14" s="113">
        <f t="shared" si="0"/>
        <v>1.4000000000000004</v>
      </c>
    </row>
    <row r="15" spans="1:4" ht="15">
      <c r="A15" s="110">
        <v>5.53</v>
      </c>
      <c r="B15" s="114" t="s">
        <v>70</v>
      </c>
      <c r="C15" s="115" t="s">
        <v>94</v>
      </c>
      <c r="D15" s="113">
        <f t="shared" si="0"/>
        <v>1.1200000000000001</v>
      </c>
    </row>
    <row r="16" spans="1:4" ht="15">
      <c r="A16" s="110">
        <v>6.65</v>
      </c>
      <c r="B16" s="114" t="s">
        <v>70</v>
      </c>
      <c r="C16" s="115" t="s">
        <v>95</v>
      </c>
      <c r="D16" s="113">
        <f t="shared" si="0"/>
        <v>0.23999999999999932</v>
      </c>
    </row>
    <row r="17" spans="1:4" ht="15">
      <c r="A17" s="110">
        <v>6.89</v>
      </c>
      <c r="B17" s="114" t="s">
        <v>69</v>
      </c>
      <c r="C17" s="115" t="s">
        <v>96</v>
      </c>
      <c r="D17" s="113">
        <f t="shared" si="0"/>
        <v>6.13</v>
      </c>
    </row>
    <row r="18" spans="1:4" ht="15">
      <c r="A18" s="110">
        <v>13.02</v>
      </c>
      <c r="B18" s="114" t="s">
        <v>44</v>
      </c>
      <c r="C18" s="115" t="s">
        <v>97</v>
      </c>
      <c r="D18" s="113">
        <f t="shared" si="0"/>
        <v>1.8499999999999996</v>
      </c>
    </row>
    <row r="19" spans="1:4" ht="15">
      <c r="A19" s="110">
        <v>14.87</v>
      </c>
      <c r="B19" s="114" t="s">
        <v>70</v>
      </c>
      <c r="C19" s="112" t="s">
        <v>98</v>
      </c>
      <c r="D19" s="113">
        <f t="shared" si="0"/>
        <v>0.47000000000000064</v>
      </c>
    </row>
    <row r="20" spans="1:4" ht="15">
      <c r="A20" s="110">
        <v>15.34</v>
      </c>
      <c r="B20" s="114" t="s">
        <v>44</v>
      </c>
      <c r="C20" s="115" t="s">
        <v>99</v>
      </c>
      <c r="D20" s="113">
        <f t="shared" si="0"/>
        <v>1.5</v>
      </c>
    </row>
    <row r="21" spans="1:4" ht="15">
      <c r="A21" s="110">
        <v>16.84</v>
      </c>
      <c r="B21" s="111" t="s">
        <v>69</v>
      </c>
      <c r="C21" s="112" t="s">
        <v>100</v>
      </c>
      <c r="D21" s="113">
        <f t="shared" si="0"/>
        <v>0.64999999999999858</v>
      </c>
    </row>
    <row r="22" spans="1:4" ht="15">
      <c r="A22" s="110">
        <v>17.489999999999998</v>
      </c>
      <c r="B22" s="114" t="s">
        <v>69</v>
      </c>
      <c r="C22" s="115" t="s">
        <v>101</v>
      </c>
      <c r="D22" s="113">
        <f t="shared" si="0"/>
        <v>0.20000000000000284</v>
      </c>
    </row>
    <row r="23" spans="1:4" ht="15">
      <c r="A23" s="110">
        <v>17.690000000000001</v>
      </c>
      <c r="B23" s="114" t="s">
        <v>70</v>
      </c>
      <c r="C23" s="115" t="s">
        <v>102</v>
      </c>
      <c r="D23" s="113">
        <f t="shared" si="0"/>
        <v>1.009999999999998</v>
      </c>
    </row>
    <row r="24" spans="1:4" ht="15">
      <c r="A24" s="110">
        <v>18.7</v>
      </c>
      <c r="B24" s="114" t="s">
        <v>70</v>
      </c>
      <c r="C24" s="115" t="s">
        <v>103</v>
      </c>
      <c r="D24" s="113">
        <f t="shared" si="0"/>
        <v>2.3599999999999994</v>
      </c>
    </row>
    <row r="25" spans="1:4" ht="15">
      <c r="A25" s="110">
        <v>21.06</v>
      </c>
      <c r="B25" s="114" t="s">
        <v>69</v>
      </c>
      <c r="C25" s="112" t="s">
        <v>104</v>
      </c>
      <c r="D25" s="113">
        <f t="shared" si="0"/>
        <v>4.00000000000027E-2</v>
      </c>
    </row>
    <row r="26" spans="1:4" ht="15">
      <c r="A26" s="110">
        <v>21.1</v>
      </c>
      <c r="B26" s="114" t="s">
        <v>70</v>
      </c>
      <c r="C26" s="179" t="s">
        <v>388</v>
      </c>
      <c r="D26" s="113">
        <f t="shared" si="0"/>
        <v>9.9999999999997868E-2</v>
      </c>
    </row>
    <row r="27" spans="1:4" ht="24">
      <c r="A27" s="106">
        <v>21.2</v>
      </c>
      <c r="B27" s="107"/>
      <c r="C27" s="108" t="s">
        <v>105</v>
      </c>
      <c r="D27" s="109">
        <f t="shared" si="0"/>
        <v>0</v>
      </c>
    </row>
    <row r="28" spans="1:4" ht="15">
      <c r="A28" s="110">
        <v>21.2</v>
      </c>
      <c r="B28" s="114" t="s">
        <v>75</v>
      </c>
      <c r="C28" s="115" t="s">
        <v>106</v>
      </c>
      <c r="D28" s="113">
        <f t="shared" si="0"/>
        <v>0.10000000000000142</v>
      </c>
    </row>
    <row r="29" spans="1:4" ht="15">
      <c r="A29" s="110">
        <v>21.3</v>
      </c>
      <c r="B29" s="114" t="s">
        <v>70</v>
      </c>
      <c r="C29" s="115" t="s">
        <v>104</v>
      </c>
      <c r="D29" s="113">
        <f t="shared" si="0"/>
        <v>5.9999999999998721E-2</v>
      </c>
    </row>
    <row r="30" spans="1:4" ht="15">
      <c r="A30" s="110">
        <v>21.36</v>
      </c>
      <c r="B30" s="111" t="s">
        <v>70</v>
      </c>
      <c r="C30" s="112" t="s">
        <v>107</v>
      </c>
      <c r="D30" s="113">
        <f t="shared" si="0"/>
        <v>6.0000000000002274E-2</v>
      </c>
    </row>
    <row r="31" spans="1:4" ht="15">
      <c r="A31" s="110">
        <v>21.42</v>
      </c>
      <c r="B31" s="114" t="s">
        <v>70</v>
      </c>
      <c r="C31" s="115" t="s">
        <v>108</v>
      </c>
      <c r="D31" s="113">
        <f t="shared" si="0"/>
        <v>0.22999999999999687</v>
      </c>
    </row>
    <row r="32" spans="1:4" ht="15">
      <c r="A32" s="110">
        <v>21.65</v>
      </c>
      <c r="B32" s="111" t="s">
        <v>69</v>
      </c>
      <c r="C32" s="112" t="s">
        <v>108</v>
      </c>
      <c r="D32" s="113">
        <f t="shared" si="0"/>
        <v>0.26000000000000156</v>
      </c>
    </row>
    <row r="33" spans="1:4" ht="15">
      <c r="A33" s="110">
        <v>21.91</v>
      </c>
      <c r="B33" s="114" t="s">
        <v>70</v>
      </c>
      <c r="C33" s="115" t="s">
        <v>109</v>
      </c>
      <c r="D33" s="113">
        <f t="shared" si="0"/>
        <v>1.9999999999999574E-2</v>
      </c>
    </row>
    <row r="34" spans="1:4" ht="15">
      <c r="A34" s="110">
        <v>21.93</v>
      </c>
      <c r="B34" s="114" t="s">
        <v>69</v>
      </c>
      <c r="C34" s="115" t="s">
        <v>103</v>
      </c>
      <c r="D34" s="113">
        <f t="shared" si="0"/>
        <v>0.12000000000000099</v>
      </c>
    </row>
    <row r="35" spans="1:4" ht="15">
      <c r="A35" s="110">
        <v>22.05</v>
      </c>
      <c r="B35" s="114" t="s">
        <v>69</v>
      </c>
      <c r="C35" s="115" t="s">
        <v>110</v>
      </c>
      <c r="D35" s="113">
        <f t="shared" si="0"/>
        <v>1.9600000000000009</v>
      </c>
    </row>
    <row r="36" spans="1:4" ht="15">
      <c r="A36" s="110">
        <v>24.01</v>
      </c>
      <c r="B36" s="114" t="s">
        <v>44</v>
      </c>
      <c r="C36" s="115" t="s">
        <v>110</v>
      </c>
      <c r="D36" s="113">
        <f t="shared" si="0"/>
        <v>0.98999999999999844</v>
      </c>
    </row>
    <row r="37" spans="1:4" ht="15">
      <c r="A37" s="110">
        <v>25</v>
      </c>
      <c r="B37" s="114" t="s">
        <v>70</v>
      </c>
      <c r="C37" s="115" t="s">
        <v>111</v>
      </c>
      <c r="D37" s="113">
        <f t="shared" si="0"/>
        <v>5.879999999999999</v>
      </c>
    </row>
    <row r="38" spans="1:4" ht="15">
      <c r="A38" s="110">
        <v>30.88</v>
      </c>
      <c r="B38" s="114" t="s">
        <v>70</v>
      </c>
      <c r="C38" s="115" t="s">
        <v>112</v>
      </c>
      <c r="D38" s="113">
        <f t="shared" si="0"/>
        <v>0.30000000000000071</v>
      </c>
    </row>
    <row r="39" spans="1:4" ht="15">
      <c r="A39" s="110">
        <v>31.18</v>
      </c>
      <c r="B39" s="114" t="s">
        <v>70</v>
      </c>
      <c r="C39" s="115" t="s">
        <v>113</v>
      </c>
      <c r="D39" s="113">
        <f t="shared" si="0"/>
        <v>1.9999999999999574E-2</v>
      </c>
    </row>
    <row r="40" spans="1:4" ht="15">
      <c r="A40" s="110">
        <v>31.2</v>
      </c>
      <c r="B40" s="114" t="s">
        <v>70</v>
      </c>
      <c r="C40" s="115" t="s">
        <v>114</v>
      </c>
      <c r="D40" s="113">
        <f t="shared" si="0"/>
        <v>0.16000000000000014</v>
      </c>
    </row>
    <row r="41" spans="1:4" ht="15">
      <c r="A41" s="110">
        <v>31.36</v>
      </c>
      <c r="B41" s="114" t="s">
        <v>69</v>
      </c>
      <c r="C41" s="115" t="s">
        <v>115</v>
      </c>
      <c r="D41" s="113">
        <f t="shared" si="0"/>
        <v>1.4200000000000017</v>
      </c>
    </row>
    <row r="42" spans="1:4" ht="15">
      <c r="A42" s="110">
        <v>32.78</v>
      </c>
      <c r="B42" s="114" t="s">
        <v>44</v>
      </c>
      <c r="C42" s="115" t="s">
        <v>116</v>
      </c>
      <c r="D42" s="113">
        <f t="shared" si="0"/>
        <v>0.18999999999999773</v>
      </c>
    </row>
    <row r="43" spans="1:4" ht="15">
      <c r="A43" s="110">
        <v>32.97</v>
      </c>
      <c r="B43" s="114" t="s">
        <v>44</v>
      </c>
      <c r="C43" s="115" t="s">
        <v>117</v>
      </c>
      <c r="D43" s="113">
        <f t="shared" si="0"/>
        <v>3.230000000000004</v>
      </c>
    </row>
    <row r="44" spans="1:4" ht="15">
      <c r="A44" s="110">
        <v>36.200000000000003</v>
      </c>
      <c r="B44" s="114" t="s">
        <v>69</v>
      </c>
      <c r="C44" s="115" t="s">
        <v>118</v>
      </c>
      <c r="D44" s="113">
        <f t="shared" si="0"/>
        <v>2.3499999999999943</v>
      </c>
    </row>
    <row r="45" spans="1:4" ht="15">
      <c r="A45" s="110">
        <v>38.549999999999997</v>
      </c>
      <c r="B45" s="114" t="s">
        <v>70</v>
      </c>
      <c r="C45" s="115" t="s">
        <v>119</v>
      </c>
      <c r="D45" s="113">
        <f t="shared" si="0"/>
        <v>0.29000000000000625</v>
      </c>
    </row>
    <row r="46" spans="1:4" ht="15">
      <c r="A46" s="110">
        <v>38.840000000000003</v>
      </c>
      <c r="B46" s="114" t="s">
        <v>44</v>
      </c>
      <c r="C46" s="115" t="s">
        <v>116</v>
      </c>
      <c r="D46" s="113">
        <f t="shared" si="0"/>
        <v>6.9999999999993179E-2</v>
      </c>
    </row>
    <row r="47" spans="1:4" ht="15">
      <c r="A47" s="110">
        <v>38.909999999999997</v>
      </c>
      <c r="B47" s="114" t="s">
        <v>70</v>
      </c>
      <c r="C47" s="115" t="s">
        <v>94</v>
      </c>
      <c r="D47" s="113">
        <f t="shared" si="0"/>
        <v>2.1500000000000057</v>
      </c>
    </row>
    <row r="48" spans="1:4" ht="15">
      <c r="A48" s="110">
        <v>41.06</v>
      </c>
      <c r="B48" s="114" t="s">
        <v>69</v>
      </c>
      <c r="C48" s="115" t="s">
        <v>120</v>
      </c>
      <c r="D48" s="113">
        <f t="shared" si="0"/>
        <v>3.0000000000001137E-2</v>
      </c>
    </row>
    <row r="49" spans="1:4" ht="15">
      <c r="A49" s="110">
        <v>41.09</v>
      </c>
      <c r="B49" s="114" t="s">
        <v>70</v>
      </c>
      <c r="C49" s="115" t="s">
        <v>121</v>
      </c>
      <c r="D49" s="113">
        <f t="shared" si="0"/>
        <v>2.9999999999994031E-2</v>
      </c>
    </row>
    <row r="50" spans="1:4" ht="15">
      <c r="A50" s="110">
        <v>41.12</v>
      </c>
      <c r="B50" s="114" t="s">
        <v>70</v>
      </c>
      <c r="C50" s="115" t="s">
        <v>122</v>
      </c>
      <c r="D50" s="113">
        <f t="shared" si="0"/>
        <v>0.35000000000000142</v>
      </c>
    </row>
    <row r="51" spans="1:4" ht="15">
      <c r="A51" s="110">
        <v>41.47</v>
      </c>
      <c r="B51" s="114" t="s">
        <v>44</v>
      </c>
      <c r="C51" s="115" t="s">
        <v>116</v>
      </c>
      <c r="D51" s="113">
        <f t="shared" si="0"/>
        <v>0.48000000000000398</v>
      </c>
    </row>
    <row r="52" spans="1:4" ht="15">
      <c r="A52" s="110">
        <v>41.95</v>
      </c>
      <c r="B52" s="114" t="s">
        <v>44</v>
      </c>
      <c r="C52" s="115" t="s">
        <v>123</v>
      </c>
      <c r="D52" s="113">
        <f t="shared" si="0"/>
        <v>0.52999999999999403</v>
      </c>
    </row>
    <row r="53" spans="1:4" ht="15">
      <c r="A53" s="110">
        <v>42.48</v>
      </c>
      <c r="B53" s="114" t="s">
        <v>69</v>
      </c>
      <c r="C53" s="115" t="s">
        <v>124</v>
      </c>
      <c r="D53" s="113">
        <f t="shared" si="0"/>
        <v>6.0000000000002274E-2</v>
      </c>
    </row>
    <row r="54" spans="1:4" ht="15">
      <c r="A54" s="110">
        <v>42.54</v>
      </c>
      <c r="B54" s="114" t="s">
        <v>70</v>
      </c>
      <c r="C54" s="115" t="s">
        <v>125</v>
      </c>
      <c r="D54" s="113">
        <f t="shared" si="0"/>
        <v>0.16000000000000369</v>
      </c>
    </row>
    <row r="55" spans="1:4" ht="15">
      <c r="A55" s="110">
        <v>42.7</v>
      </c>
      <c r="B55" s="114" t="s">
        <v>70</v>
      </c>
      <c r="C55" s="115" t="s">
        <v>125</v>
      </c>
      <c r="D55" s="113">
        <f t="shared" si="0"/>
        <v>0.14000000000000057</v>
      </c>
    </row>
    <row r="56" spans="1:4" ht="15">
      <c r="A56" s="110">
        <v>42.84</v>
      </c>
      <c r="B56" s="114" t="s">
        <v>44</v>
      </c>
      <c r="C56" s="115" t="s">
        <v>125</v>
      </c>
      <c r="D56" s="113">
        <f t="shared" si="0"/>
        <v>0.17999999999999972</v>
      </c>
    </row>
    <row r="57" spans="1:4" ht="15">
      <c r="A57" s="110">
        <v>43.02</v>
      </c>
      <c r="B57" s="114" t="s">
        <v>44</v>
      </c>
      <c r="C57" s="115" t="s">
        <v>125</v>
      </c>
      <c r="D57" s="113">
        <f t="shared" si="0"/>
        <v>4.9999999999997158E-2</v>
      </c>
    </row>
    <row r="58" spans="1:4" ht="15">
      <c r="A58" s="110">
        <v>43.07</v>
      </c>
      <c r="B58" s="114" t="s">
        <v>69</v>
      </c>
      <c r="C58" s="115" t="s">
        <v>125</v>
      </c>
      <c r="D58" s="113">
        <f t="shared" si="0"/>
        <v>3.0000000000001137E-2</v>
      </c>
    </row>
    <row r="59" spans="1:4" ht="24">
      <c r="A59" s="106">
        <v>43.1</v>
      </c>
      <c r="B59" s="107"/>
      <c r="C59" s="108" t="s">
        <v>126</v>
      </c>
      <c r="D59" s="109">
        <f t="shared" si="0"/>
        <v>9.9999999999980105E-3</v>
      </c>
    </row>
    <row r="60" spans="1:4" ht="15">
      <c r="A60" s="110">
        <v>43.11</v>
      </c>
      <c r="B60" s="114" t="s">
        <v>44</v>
      </c>
      <c r="C60" s="115" t="s">
        <v>127</v>
      </c>
      <c r="D60" s="113">
        <f t="shared" si="0"/>
        <v>4.9999999999997158E-2</v>
      </c>
    </row>
    <row r="61" spans="1:4" ht="15">
      <c r="A61" s="110">
        <v>43.16</v>
      </c>
      <c r="B61" s="114" t="s">
        <v>69</v>
      </c>
      <c r="C61" s="115" t="s">
        <v>127</v>
      </c>
      <c r="D61" s="113">
        <f t="shared" si="0"/>
        <v>3.0000000000001137E-2</v>
      </c>
    </row>
    <row r="62" spans="1:4" ht="15">
      <c r="A62" s="110">
        <v>43.19</v>
      </c>
      <c r="B62" s="114" t="s">
        <v>69</v>
      </c>
      <c r="C62" s="115" t="s">
        <v>127</v>
      </c>
      <c r="D62" s="113">
        <f t="shared" si="0"/>
        <v>5.0000000000004263E-2</v>
      </c>
    </row>
    <row r="63" spans="1:4" ht="15">
      <c r="A63" s="110">
        <v>43.24</v>
      </c>
      <c r="B63" s="114" t="s">
        <v>70</v>
      </c>
      <c r="C63" s="115" t="s">
        <v>127</v>
      </c>
      <c r="D63" s="113">
        <f t="shared" si="0"/>
        <v>0.10000000000000142</v>
      </c>
    </row>
    <row r="64" spans="1:4" ht="15">
      <c r="A64" s="110">
        <v>43.34</v>
      </c>
      <c r="B64" s="114" t="s">
        <v>69</v>
      </c>
      <c r="C64" s="115" t="s">
        <v>127</v>
      </c>
      <c r="D64" s="113">
        <f t="shared" si="0"/>
        <v>0.12999999999999545</v>
      </c>
    </row>
    <row r="65" spans="1:4" ht="15">
      <c r="A65" s="110">
        <v>43.47</v>
      </c>
      <c r="B65" s="114" t="s">
        <v>70</v>
      </c>
      <c r="C65" s="115" t="s">
        <v>127</v>
      </c>
      <c r="D65" s="113">
        <f t="shared" si="0"/>
        <v>3.9999999999999147E-2</v>
      </c>
    </row>
    <row r="66" spans="1:4" ht="15">
      <c r="A66" s="110">
        <v>43.51</v>
      </c>
      <c r="B66" s="114" t="s">
        <v>69</v>
      </c>
      <c r="C66" s="115" t="s">
        <v>127</v>
      </c>
      <c r="D66" s="113">
        <f t="shared" si="0"/>
        <v>0.25</v>
      </c>
    </row>
    <row r="67" spans="1:4" ht="15">
      <c r="A67" s="110">
        <v>43.76</v>
      </c>
      <c r="B67" s="114" t="s">
        <v>69</v>
      </c>
      <c r="C67" s="115" t="s">
        <v>123</v>
      </c>
      <c r="D67" s="113">
        <f t="shared" si="0"/>
        <v>0.19000000000000483</v>
      </c>
    </row>
    <row r="68" spans="1:4" ht="15">
      <c r="A68" s="110">
        <v>43.95</v>
      </c>
      <c r="B68" s="114" t="s">
        <v>70</v>
      </c>
      <c r="C68" s="115" t="s">
        <v>116</v>
      </c>
      <c r="D68" s="113">
        <f t="shared" ref="D68:D131" si="1">A69-A68</f>
        <v>0.14999999999999858</v>
      </c>
    </row>
    <row r="69" spans="1:4" ht="15">
      <c r="A69" s="110">
        <v>44.1</v>
      </c>
      <c r="B69" s="114" t="s">
        <v>44</v>
      </c>
      <c r="C69" s="115" t="s">
        <v>128</v>
      </c>
      <c r="D69" s="113">
        <f t="shared" si="1"/>
        <v>3.9999999999999147E-2</v>
      </c>
    </row>
    <row r="70" spans="1:4" ht="15">
      <c r="A70" s="110">
        <v>44.14</v>
      </c>
      <c r="B70" s="114" t="s">
        <v>69</v>
      </c>
      <c r="C70" s="115" t="s">
        <v>129</v>
      </c>
      <c r="D70" s="113">
        <f t="shared" si="1"/>
        <v>1.8200000000000003</v>
      </c>
    </row>
    <row r="71" spans="1:4" ht="15">
      <c r="A71" s="110">
        <v>45.96</v>
      </c>
      <c r="B71" s="114" t="s">
        <v>70</v>
      </c>
      <c r="C71" s="115" t="s">
        <v>130</v>
      </c>
      <c r="D71" s="113">
        <f t="shared" si="1"/>
        <v>2.8399999999999963</v>
      </c>
    </row>
    <row r="72" spans="1:4" ht="15">
      <c r="A72" s="110">
        <v>48.8</v>
      </c>
      <c r="B72" s="114" t="s">
        <v>69</v>
      </c>
      <c r="C72" s="115" t="s">
        <v>131</v>
      </c>
      <c r="D72" s="113">
        <f t="shared" si="1"/>
        <v>0.95000000000000284</v>
      </c>
    </row>
    <row r="73" spans="1:4" ht="15">
      <c r="A73" s="110">
        <v>49.75</v>
      </c>
      <c r="B73" s="114" t="s">
        <v>70</v>
      </c>
      <c r="C73" s="115" t="s">
        <v>132</v>
      </c>
      <c r="D73" s="113">
        <f t="shared" si="1"/>
        <v>0.96999999999999886</v>
      </c>
    </row>
    <row r="74" spans="1:4" ht="15">
      <c r="A74" s="110">
        <v>50.72</v>
      </c>
      <c r="B74" s="114" t="s">
        <v>69</v>
      </c>
      <c r="C74" s="115" t="s">
        <v>133</v>
      </c>
      <c r="D74" s="113">
        <f t="shared" si="1"/>
        <v>0.27000000000000313</v>
      </c>
    </row>
    <row r="75" spans="1:4" ht="15">
      <c r="A75" s="110">
        <v>50.99</v>
      </c>
      <c r="B75" s="114" t="s">
        <v>70</v>
      </c>
      <c r="C75" s="115" t="s">
        <v>134</v>
      </c>
      <c r="D75" s="113">
        <f t="shared" si="1"/>
        <v>0.14999999999999858</v>
      </c>
    </row>
    <row r="76" spans="1:4" ht="15">
      <c r="A76" s="110">
        <v>51.14</v>
      </c>
      <c r="B76" s="114" t="s">
        <v>69</v>
      </c>
      <c r="C76" s="115" t="s">
        <v>135</v>
      </c>
      <c r="D76" s="113">
        <f t="shared" si="1"/>
        <v>0.25</v>
      </c>
    </row>
    <row r="77" spans="1:4" ht="15">
      <c r="A77" s="110">
        <v>51.39</v>
      </c>
      <c r="B77" s="114" t="s">
        <v>69</v>
      </c>
      <c r="C77" s="115" t="s">
        <v>136</v>
      </c>
      <c r="D77" s="113">
        <f t="shared" si="1"/>
        <v>8.9999999999996305E-2</v>
      </c>
    </row>
    <row r="78" spans="1:4" ht="15">
      <c r="A78" s="110">
        <v>51.48</v>
      </c>
      <c r="B78" s="114" t="s">
        <v>44</v>
      </c>
      <c r="C78" s="115" t="s">
        <v>137</v>
      </c>
      <c r="D78" s="113">
        <f t="shared" si="1"/>
        <v>7.0000000000000284E-2</v>
      </c>
    </row>
    <row r="79" spans="1:4" ht="15">
      <c r="A79" s="110">
        <v>51.55</v>
      </c>
      <c r="B79" s="114" t="s">
        <v>69</v>
      </c>
      <c r="C79" s="115" t="s">
        <v>135</v>
      </c>
      <c r="D79" s="113">
        <f t="shared" si="1"/>
        <v>0.14000000000000057</v>
      </c>
    </row>
    <row r="80" spans="1:4" ht="15">
      <c r="A80" s="110">
        <v>51.69</v>
      </c>
      <c r="B80" s="114" t="s">
        <v>69</v>
      </c>
      <c r="C80" s="115" t="s">
        <v>138</v>
      </c>
      <c r="D80" s="113">
        <f t="shared" si="1"/>
        <v>0.24000000000000199</v>
      </c>
    </row>
    <row r="81" spans="1:4" ht="15">
      <c r="A81" s="110">
        <v>51.93</v>
      </c>
      <c r="B81" s="114" t="s">
        <v>69</v>
      </c>
      <c r="C81" s="115" t="s">
        <v>139</v>
      </c>
      <c r="D81" s="113">
        <f t="shared" si="1"/>
        <v>0.10999999999999943</v>
      </c>
    </row>
    <row r="82" spans="1:4" ht="15">
      <c r="A82" s="110">
        <v>52.04</v>
      </c>
      <c r="B82" s="114" t="s">
        <v>69</v>
      </c>
      <c r="C82" s="179" t="s">
        <v>387</v>
      </c>
      <c r="D82" s="113">
        <f t="shared" si="1"/>
        <v>9.9999999999980105E-3</v>
      </c>
    </row>
    <row r="83" spans="1:4" ht="24">
      <c r="A83" s="106">
        <v>52.05</v>
      </c>
      <c r="B83" s="107"/>
      <c r="C83" s="108" t="s">
        <v>359</v>
      </c>
      <c r="D83" s="109">
        <f t="shared" si="1"/>
        <v>2.0000000000003126E-2</v>
      </c>
    </row>
    <row r="84" spans="1:4" ht="15">
      <c r="A84" s="110">
        <v>52.07</v>
      </c>
      <c r="B84" s="114" t="s">
        <v>75</v>
      </c>
      <c r="C84" s="115" t="s">
        <v>140</v>
      </c>
      <c r="D84" s="113">
        <f t="shared" si="1"/>
        <v>3.0000000000001137E-2</v>
      </c>
    </row>
    <row r="85" spans="1:4" ht="15">
      <c r="A85" s="110">
        <v>52.1</v>
      </c>
      <c r="B85" s="114" t="s">
        <v>69</v>
      </c>
      <c r="C85" s="115" t="s">
        <v>141</v>
      </c>
      <c r="D85" s="113">
        <f t="shared" si="1"/>
        <v>7.0000000000000284E-2</v>
      </c>
    </row>
    <row r="86" spans="1:4" ht="15">
      <c r="A86" s="110">
        <v>52.17</v>
      </c>
      <c r="B86" s="114" t="s">
        <v>70</v>
      </c>
      <c r="C86" s="115" t="s">
        <v>142</v>
      </c>
      <c r="D86" s="113">
        <f t="shared" si="1"/>
        <v>0.86999999999999744</v>
      </c>
    </row>
    <row r="87" spans="1:4" ht="15">
      <c r="A87" s="110">
        <v>53.04</v>
      </c>
      <c r="B87" s="114" t="s">
        <v>70</v>
      </c>
      <c r="C87" s="115" t="s">
        <v>143</v>
      </c>
      <c r="D87" s="113">
        <f t="shared" si="1"/>
        <v>0.23000000000000398</v>
      </c>
    </row>
    <row r="88" spans="1:4" ht="15">
      <c r="A88" s="110">
        <v>53.27</v>
      </c>
      <c r="B88" s="114" t="s">
        <v>69</v>
      </c>
      <c r="C88" s="115" t="s">
        <v>144</v>
      </c>
      <c r="D88" s="113">
        <f t="shared" si="1"/>
        <v>3.9999999999999147E-2</v>
      </c>
    </row>
    <row r="89" spans="1:4" ht="15">
      <c r="A89" s="110">
        <v>53.31</v>
      </c>
      <c r="B89" s="114" t="s">
        <v>70</v>
      </c>
      <c r="C89" s="115" t="s">
        <v>145</v>
      </c>
      <c r="D89" s="113">
        <f t="shared" si="1"/>
        <v>0.21999999999999886</v>
      </c>
    </row>
    <row r="90" spans="1:4" ht="15">
      <c r="A90" s="110">
        <v>53.53</v>
      </c>
      <c r="B90" s="114" t="s">
        <v>44</v>
      </c>
      <c r="C90" s="115" t="s">
        <v>146</v>
      </c>
      <c r="D90" s="113">
        <f t="shared" si="1"/>
        <v>0.22999999999999687</v>
      </c>
    </row>
    <row r="91" spans="1:4" ht="15">
      <c r="A91" s="110">
        <v>53.76</v>
      </c>
      <c r="B91" s="114" t="s">
        <v>44</v>
      </c>
      <c r="C91" s="115" t="s">
        <v>143</v>
      </c>
      <c r="D91" s="113">
        <f t="shared" si="1"/>
        <v>0.3300000000000054</v>
      </c>
    </row>
    <row r="92" spans="1:4" ht="15">
      <c r="A92" s="110">
        <v>54.09</v>
      </c>
      <c r="B92" s="114" t="s">
        <v>69</v>
      </c>
      <c r="C92" s="115" t="s">
        <v>147</v>
      </c>
      <c r="D92" s="113">
        <f t="shared" si="1"/>
        <v>0.11999999999999744</v>
      </c>
    </row>
    <row r="93" spans="1:4" ht="15">
      <c r="A93" s="110">
        <v>54.21</v>
      </c>
      <c r="B93" s="114" t="s">
        <v>70</v>
      </c>
      <c r="C93" s="115" t="s">
        <v>148</v>
      </c>
      <c r="D93" s="113">
        <f t="shared" si="1"/>
        <v>0.26999999999999602</v>
      </c>
    </row>
    <row r="94" spans="1:4" ht="15">
      <c r="A94" s="110">
        <v>54.48</v>
      </c>
      <c r="B94" s="114" t="s">
        <v>70</v>
      </c>
      <c r="C94" s="115" t="s">
        <v>149</v>
      </c>
      <c r="D94" s="113">
        <f t="shared" si="1"/>
        <v>0.23000000000000398</v>
      </c>
    </row>
    <row r="95" spans="1:4" ht="15">
      <c r="A95" s="123">
        <v>54.71</v>
      </c>
      <c r="B95" s="124" t="s">
        <v>69</v>
      </c>
      <c r="C95" s="125" t="s">
        <v>150</v>
      </c>
      <c r="D95" s="126">
        <f t="shared" si="1"/>
        <v>6.0000000000002274E-2</v>
      </c>
    </row>
    <row r="96" spans="1:4" ht="15">
      <c r="A96" s="110">
        <v>54.77</v>
      </c>
      <c r="B96" s="114" t="s">
        <v>44</v>
      </c>
      <c r="C96" s="115" t="s">
        <v>151</v>
      </c>
      <c r="D96" s="113">
        <f t="shared" si="1"/>
        <v>1.25</v>
      </c>
    </row>
    <row r="97" spans="1:4" ht="15">
      <c r="A97" s="110">
        <v>56.02</v>
      </c>
      <c r="B97" s="114" t="s">
        <v>44</v>
      </c>
      <c r="C97" s="115" t="s">
        <v>152</v>
      </c>
      <c r="D97" s="113">
        <f t="shared" si="1"/>
        <v>0.11999999999999744</v>
      </c>
    </row>
    <row r="98" spans="1:4" ht="15">
      <c r="A98" s="110">
        <v>56.14</v>
      </c>
      <c r="B98" s="114" t="s">
        <v>70</v>
      </c>
      <c r="C98" s="115" t="s">
        <v>153</v>
      </c>
      <c r="D98" s="113">
        <f t="shared" si="1"/>
        <v>0.56000000000000227</v>
      </c>
    </row>
    <row r="99" spans="1:4" ht="15">
      <c r="A99" s="110">
        <v>56.7</v>
      </c>
      <c r="B99" s="114" t="s">
        <v>69</v>
      </c>
      <c r="C99" s="115" t="s">
        <v>154</v>
      </c>
      <c r="D99" s="113">
        <f t="shared" si="1"/>
        <v>0.10999999999999943</v>
      </c>
    </row>
    <row r="100" spans="1:4" ht="15">
      <c r="A100" s="110">
        <v>56.81</v>
      </c>
      <c r="B100" s="114" t="s">
        <v>69</v>
      </c>
      <c r="C100" s="115" t="s">
        <v>116</v>
      </c>
      <c r="D100" s="113">
        <f t="shared" si="1"/>
        <v>7.9999999999998295E-2</v>
      </c>
    </row>
    <row r="101" spans="1:4" ht="15">
      <c r="A101" s="110">
        <v>56.89</v>
      </c>
      <c r="B101" s="114" t="s">
        <v>70</v>
      </c>
      <c r="C101" s="115" t="s">
        <v>155</v>
      </c>
      <c r="D101" s="113">
        <f t="shared" si="1"/>
        <v>0.21999999999999886</v>
      </c>
    </row>
    <row r="102" spans="1:4" ht="15">
      <c r="A102" s="110">
        <v>57.11</v>
      </c>
      <c r="B102" s="114" t="s">
        <v>69</v>
      </c>
      <c r="C102" s="115" t="s">
        <v>156</v>
      </c>
      <c r="D102" s="113">
        <f t="shared" si="1"/>
        <v>9.9999999999980105E-3</v>
      </c>
    </row>
    <row r="103" spans="1:4" ht="15">
      <c r="A103" s="110">
        <v>57.12</v>
      </c>
      <c r="B103" s="114" t="s">
        <v>70</v>
      </c>
      <c r="C103" s="115" t="s">
        <v>155</v>
      </c>
      <c r="D103" s="113">
        <f t="shared" si="1"/>
        <v>0.19000000000000483</v>
      </c>
    </row>
    <row r="104" spans="1:4" ht="15">
      <c r="A104" s="110">
        <v>57.31</v>
      </c>
      <c r="B104" s="114" t="s">
        <v>69</v>
      </c>
      <c r="C104" s="115" t="s">
        <v>157</v>
      </c>
      <c r="D104" s="113">
        <f t="shared" si="1"/>
        <v>0.22999999999999687</v>
      </c>
    </row>
    <row r="105" spans="1:4" ht="15">
      <c r="A105" s="110">
        <v>57.54</v>
      </c>
      <c r="B105" s="114" t="s">
        <v>69</v>
      </c>
      <c r="C105" s="115" t="s">
        <v>158</v>
      </c>
      <c r="D105" s="113">
        <f t="shared" si="1"/>
        <v>0</v>
      </c>
    </row>
    <row r="106" spans="1:4" ht="15">
      <c r="A106" s="110">
        <v>57.54</v>
      </c>
      <c r="B106" s="111" t="s">
        <v>70</v>
      </c>
      <c r="C106" s="112" t="s">
        <v>157</v>
      </c>
      <c r="D106" s="113">
        <f t="shared" si="1"/>
        <v>0.30000000000000426</v>
      </c>
    </row>
    <row r="107" spans="1:4" ht="15">
      <c r="A107" s="110">
        <v>57.84</v>
      </c>
      <c r="B107" s="114" t="s">
        <v>69</v>
      </c>
      <c r="C107" s="115" t="s">
        <v>159</v>
      </c>
      <c r="D107" s="113">
        <f t="shared" si="1"/>
        <v>0</v>
      </c>
    </row>
    <row r="108" spans="1:4" ht="15">
      <c r="A108" s="110">
        <v>57.84</v>
      </c>
      <c r="B108" s="114" t="s">
        <v>70</v>
      </c>
      <c r="C108" s="115" t="s">
        <v>157</v>
      </c>
      <c r="D108" s="113">
        <f t="shared" si="1"/>
        <v>0.28999999999999915</v>
      </c>
    </row>
    <row r="109" spans="1:4" ht="15">
      <c r="A109" s="110">
        <v>58.13</v>
      </c>
      <c r="B109" s="114" t="s">
        <v>70</v>
      </c>
      <c r="C109" s="115" t="s">
        <v>160</v>
      </c>
      <c r="D109" s="113">
        <f t="shared" si="1"/>
        <v>7.9999999999998295E-2</v>
      </c>
    </row>
    <row r="110" spans="1:4" ht="15">
      <c r="A110" s="110">
        <v>58.21</v>
      </c>
      <c r="B110" s="114" t="s">
        <v>44</v>
      </c>
      <c r="C110" s="115" t="s">
        <v>160</v>
      </c>
      <c r="D110" s="113">
        <f t="shared" si="1"/>
        <v>0.19999999999999574</v>
      </c>
    </row>
    <row r="111" spans="1:4" ht="15">
      <c r="A111" s="110">
        <v>58.41</v>
      </c>
      <c r="B111" s="114" t="s">
        <v>44</v>
      </c>
      <c r="C111" s="115" t="s">
        <v>160</v>
      </c>
      <c r="D111" s="113">
        <f t="shared" si="1"/>
        <v>0.31000000000000227</v>
      </c>
    </row>
    <row r="112" spans="1:4" ht="15">
      <c r="A112" s="110">
        <v>58.72</v>
      </c>
      <c r="B112" s="114" t="s">
        <v>44</v>
      </c>
      <c r="C112" s="115" t="s">
        <v>161</v>
      </c>
      <c r="D112" s="113">
        <f t="shared" si="1"/>
        <v>0.25999999999999801</v>
      </c>
    </row>
    <row r="113" spans="1:4" ht="15">
      <c r="A113" s="127">
        <v>58.98</v>
      </c>
      <c r="B113" s="128" t="s">
        <v>69</v>
      </c>
      <c r="C113" s="128" t="s">
        <v>162</v>
      </c>
      <c r="D113" s="113">
        <f t="shared" si="1"/>
        <v>1.0000000000005116E-2</v>
      </c>
    </row>
    <row r="114" spans="1:4" ht="15">
      <c r="A114" s="129">
        <v>58.99</v>
      </c>
      <c r="B114" s="130"/>
      <c r="C114" s="131" t="s">
        <v>163</v>
      </c>
      <c r="D114" s="119">
        <f t="shared" si="1"/>
        <v>5.9999999999995168E-2</v>
      </c>
    </row>
    <row r="115" spans="1:4" ht="15">
      <c r="A115" s="132">
        <v>59.05</v>
      </c>
      <c r="B115" s="133" t="s">
        <v>70</v>
      </c>
      <c r="C115" s="133" t="s">
        <v>164</v>
      </c>
      <c r="D115" s="113">
        <f t="shared" si="1"/>
        <v>0.48000000000000398</v>
      </c>
    </row>
    <row r="116" spans="1:4" ht="15">
      <c r="A116" s="132">
        <v>59.53</v>
      </c>
      <c r="B116" s="133" t="s">
        <v>70</v>
      </c>
      <c r="C116" s="128" t="s">
        <v>165</v>
      </c>
      <c r="D116" s="113">
        <f t="shared" si="1"/>
        <v>3.0000000000001137E-2</v>
      </c>
    </row>
    <row r="117" spans="1:4" ht="15">
      <c r="A117" s="132">
        <v>59.56</v>
      </c>
      <c r="B117" s="128" t="s">
        <v>69</v>
      </c>
      <c r="C117" s="128" t="s">
        <v>164</v>
      </c>
      <c r="D117" s="113">
        <f t="shared" si="1"/>
        <v>0.15999999999999659</v>
      </c>
    </row>
    <row r="118" spans="1:4" ht="15">
      <c r="A118" s="132">
        <v>59.72</v>
      </c>
      <c r="B118" s="133" t="s">
        <v>69</v>
      </c>
      <c r="C118" s="133" t="s">
        <v>166</v>
      </c>
      <c r="D118" s="113">
        <f t="shared" si="1"/>
        <v>2.0000000000003126E-2</v>
      </c>
    </row>
    <row r="119" spans="1:4" ht="15">
      <c r="A119" s="132">
        <v>59.74</v>
      </c>
      <c r="B119" s="133" t="s">
        <v>70</v>
      </c>
      <c r="C119" s="133" t="s">
        <v>167</v>
      </c>
      <c r="D119" s="113">
        <f t="shared" si="1"/>
        <v>0.28999999999999915</v>
      </c>
    </row>
    <row r="120" spans="1:4" ht="15">
      <c r="A120" s="132">
        <v>60.03</v>
      </c>
      <c r="B120" s="133" t="s">
        <v>70</v>
      </c>
      <c r="C120" s="133" t="s">
        <v>168</v>
      </c>
      <c r="D120" s="113">
        <f t="shared" si="1"/>
        <v>3.9999999999999147E-2</v>
      </c>
    </row>
    <row r="121" spans="1:4" ht="15">
      <c r="A121" s="132">
        <v>60.07</v>
      </c>
      <c r="B121" s="134" t="s">
        <v>44</v>
      </c>
      <c r="C121" s="134" t="s">
        <v>116</v>
      </c>
      <c r="D121" s="113">
        <f t="shared" si="1"/>
        <v>3.0000000000001137E-2</v>
      </c>
    </row>
    <row r="122" spans="1:4" ht="15">
      <c r="A122" s="132">
        <v>60.1</v>
      </c>
      <c r="B122" s="133" t="s">
        <v>44</v>
      </c>
      <c r="C122" s="133" t="s">
        <v>169</v>
      </c>
      <c r="D122" s="113">
        <f t="shared" si="1"/>
        <v>1.9999999999996021E-2</v>
      </c>
    </row>
    <row r="123" spans="1:4" ht="15">
      <c r="A123" s="132">
        <v>60.12</v>
      </c>
      <c r="B123" s="133" t="s">
        <v>70</v>
      </c>
      <c r="C123" s="128" t="s">
        <v>170</v>
      </c>
      <c r="D123" s="113">
        <f t="shared" si="1"/>
        <v>8.00000000000054E-2</v>
      </c>
    </row>
    <row r="124" spans="1:4" ht="15">
      <c r="A124" s="132">
        <v>60.2</v>
      </c>
      <c r="B124" s="133" t="s">
        <v>69</v>
      </c>
      <c r="C124" s="134" t="s">
        <v>171</v>
      </c>
      <c r="D124" s="113">
        <f t="shared" si="1"/>
        <v>0.14000000000000057</v>
      </c>
    </row>
    <row r="125" spans="1:4" ht="15">
      <c r="A125" s="132">
        <v>60.34</v>
      </c>
      <c r="B125" s="134" t="s">
        <v>69</v>
      </c>
      <c r="C125" s="134" t="s">
        <v>172</v>
      </c>
      <c r="D125" s="113">
        <f t="shared" si="1"/>
        <v>1.029999999999994</v>
      </c>
    </row>
    <row r="126" spans="1:4" ht="15">
      <c r="A126" s="132">
        <v>61.37</v>
      </c>
      <c r="B126" s="133" t="s">
        <v>44</v>
      </c>
      <c r="C126" s="128" t="s">
        <v>173</v>
      </c>
      <c r="D126" s="113">
        <f t="shared" si="1"/>
        <v>0.45000000000000284</v>
      </c>
    </row>
    <row r="127" spans="1:4" ht="15">
      <c r="A127" s="132">
        <v>61.82</v>
      </c>
      <c r="B127" s="133" t="s">
        <v>44</v>
      </c>
      <c r="C127" s="128" t="s">
        <v>174</v>
      </c>
      <c r="D127" s="113">
        <f t="shared" si="1"/>
        <v>0.20000000000000284</v>
      </c>
    </row>
    <row r="128" spans="1:4" ht="15">
      <c r="A128" s="132">
        <v>62.02</v>
      </c>
      <c r="B128" s="133" t="s">
        <v>70</v>
      </c>
      <c r="C128" s="128" t="s">
        <v>175</v>
      </c>
      <c r="D128" s="113">
        <f t="shared" si="1"/>
        <v>4.9999999999997158E-2</v>
      </c>
    </row>
    <row r="129" spans="1:4" ht="15">
      <c r="A129" s="132">
        <v>62.07</v>
      </c>
      <c r="B129" s="128" t="s">
        <v>44</v>
      </c>
      <c r="C129" s="128" t="s">
        <v>176</v>
      </c>
      <c r="D129" s="113">
        <f t="shared" si="1"/>
        <v>0.24000000000000199</v>
      </c>
    </row>
    <row r="130" spans="1:4" ht="15">
      <c r="A130" s="132">
        <v>62.31</v>
      </c>
      <c r="B130" s="133" t="s">
        <v>70</v>
      </c>
      <c r="C130" s="133" t="s">
        <v>177</v>
      </c>
      <c r="D130" s="113">
        <f t="shared" si="1"/>
        <v>1.9999999999996021E-2</v>
      </c>
    </row>
    <row r="131" spans="1:4" ht="15">
      <c r="A131" s="132">
        <v>62.33</v>
      </c>
      <c r="B131" s="133" t="s">
        <v>69</v>
      </c>
      <c r="C131" s="133" t="s">
        <v>174</v>
      </c>
      <c r="D131" s="113">
        <f t="shared" si="1"/>
        <v>0.10999999999999943</v>
      </c>
    </row>
    <row r="132" spans="1:4" ht="15">
      <c r="A132" s="132">
        <v>62.44</v>
      </c>
      <c r="B132" s="133" t="s">
        <v>44</v>
      </c>
      <c r="C132" s="133" t="s">
        <v>178</v>
      </c>
      <c r="D132" s="113">
        <f t="shared" ref="D132:D195" si="2">A133-A132</f>
        <v>0.24000000000000199</v>
      </c>
    </row>
    <row r="133" spans="1:4" ht="15">
      <c r="A133" s="132">
        <v>62.68</v>
      </c>
      <c r="B133" s="133" t="s">
        <v>44</v>
      </c>
      <c r="C133" s="133" t="s">
        <v>179</v>
      </c>
      <c r="D133" s="113">
        <f t="shared" si="2"/>
        <v>0.25</v>
      </c>
    </row>
    <row r="134" spans="1:4" ht="15">
      <c r="A134" s="132">
        <v>62.93</v>
      </c>
      <c r="B134" s="133" t="s">
        <v>70</v>
      </c>
      <c r="C134" s="133" t="s">
        <v>116</v>
      </c>
      <c r="D134" s="113">
        <f t="shared" si="2"/>
        <v>0.10999999999999943</v>
      </c>
    </row>
    <row r="135" spans="1:4" ht="15">
      <c r="A135" s="132">
        <v>63.04</v>
      </c>
      <c r="B135" s="133" t="s">
        <v>70</v>
      </c>
      <c r="C135" s="133" t="s">
        <v>116</v>
      </c>
      <c r="D135" s="113">
        <f t="shared" si="2"/>
        <v>5.0000000000004263E-2</v>
      </c>
    </row>
    <row r="136" spans="1:4" ht="15">
      <c r="A136" s="132">
        <v>63.09</v>
      </c>
      <c r="B136" s="133" t="s">
        <v>69</v>
      </c>
      <c r="C136" s="133" t="s">
        <v>180</v>
      </c>
      <c r="D136" s="113">
        <f t="shared" si="2"/>
        <v>0.25999999999999801</v>
      </c>
    </row>
    <row r="137" spans="1:4" ht="15">
      <c r="A137" s="132">
        <v>63.35</v>
      </c>
      <c r="B137" s="133" t="s">
        <v>70</v>
      </c>
      <c r="C137" s="133" t="s">
        <v>181</v>
      </c>
      <c r="D137" s="113">
        <f t="shared" si="2"/>
        <v>8.9999999999996305E-2</v>
      </c>
    </row>
    <row r="138" spans="1:4" ht="15">
      <c r="A138" s="132">
        <v>63.44</v>
      </c>
      <c r="B138" s="133" t="s">
        <v>69</v>
      </c>
      <c r="C138" s="133" t="s">
        <v>182</v>
      </c>
      <c r="D138" s="113">
        <f t="shared" si="2"/>
        <v>7.0000000000000284E-2</v>
      </c>
    </row>
    <row r="139" spans="1:4" ht="15">
      <c r="A139" s="132">
        <v>63.51</v>
      </c>
      <c r="B139" s="133" t="s">
        <v>69</v>
      </c>
      <c r="C139" s="133" t="s">
        <v>183</v>
      </c>
      <c r="D139" s="113">
        <f t="shared" si="2"/>
        <v>3.9400000000000048</v>
      </c>
    </row>
    <row r="140" spans="1:4" s="105" customFormat="1" ht="15">
      <c r="A140" s="132">
        <v>67.45</v>
      </c>
      <c r="B140" s="128" t="s">
        <v>70</v>
      </c>
      <c r="C140" s="133" t="s">
        <v>184</v>
      </c>
      <c r="D140" s="113">
        <f t="shared" si="2"/>
        <v>0.56000000000000227</v>
      </c>
    </row>
    <row r="141" spans="1:4" s="105" customFormat="1" ht="15">
      <c r="A141" s="132">
        <v>68.010000000000005</v>
      </c>
      <c r="B141" s="134" t="s">
        <v>69</v>
      </c>
      <c r="C141" s="134" t="s">
        <v>185</v>
      </c>
      <c r="D141" s="113">
        <f t="shared" si="2"/>
        <v>0.12999999999999545</v>
      </c>
    </row>
    <row r="142" spans="1:4" s="105" customFormat="1" ht="15">
      <c r="A142" s="132">
        <v>68.14</v>
      </c>
      <c r="B142" s="133" t="s">
        <v>70</v>
      </c>
      <c r="C142" s="133" t="s">
        <v>186</v>
      </c>
      <c r="D142" s="113">
        <f t="shared" si="2"/>
        <v>0.26999999999999602</v>
      </c>
    </row>
    <row r="143" spans="1:4" s="105" customFormat="1" ht="15">
      <c r="A143" s="135">
        <v>68.41</v>
      </c>
      <c r="B143" s="115" t="s">
        <v>69</v>
      </c>
      <c r="C143" s="136" t="s">
        <v>187</v>
      </c>
      <c r="D143" s="113">
        <f t="shared" si="2"/>
        <v>0.20000000000000284</v>
      </c>
    </row>
    <row r="144" spans="1:4" s="105" customFormat="1" ht="15">
      <c r="A144" s="132">
        <v>68.61</v>
      </c>
      <c r="B144" s="133" t="s">
        <v>70</v>
      </c>
      <c r="C144" s="128" t="s">
        <v>188</v>
      </c>
      <c r="D144" s="113">
        <f t="shared" si="2"/>
        <v>6.0000000000002274E-2</v>
      </c>
    </row>
    <row r="145" spans="1:4" s="105" customFormat="1" ht="24">
      <c r="A145" s="106">
        <v>68.67</v>
      </c>
      <c r="B145" s="107"/>
      <c r="C145" s="108" t="s">
        <v>189</v>
      </c>
      <c r="D145" s="109">
        <f t="shared" si="2"/>
        <v>0</v>
      </c>
    </row>
    <row r="146" spans="1:4" s="105" customFormat="1" ht="15">
      <c r="A146" s="132">
        <v>68.67</v>
      </c>
      <c r="B146" s="133" t="s">
        <v>75</v>
      </c>
      <c r="C146" s="128" t="s">
        <v>190</v>
      </c>
      <c r="D146" s="113">
        <f t="shared" si="2"/>
        <v>9.0000000000003411E-2</v>
      </c>
    </row>
    <row r="147" spans="1:4" s="105" customFormat="1" ht="15">
      <c r="A147" s="132">
        <v>68.760000000000005</v>
      </c>
      <c r="B147" s="133" t="s">
        <v>70</v>
      </c>
      <c r="C147" s="133" t="s">
        <v>187</v>
      </c>
      <c r="D147" s="113">
        <f t="shared" si="2"/>
        <v>4.9999999999997158E-2</v>
      </c>
    </row>
    <row r="148" spans="1:4" s="105" customFormat="1" ht="15">
      <c r="A148" s="132">
        <v>68.81</v>
      </c>
      <c r="B148" s="133" t="s">
        <v>69</v>
      </c>
      <c r="C148" s="133" t="s">
        <v>191</v>
      </c>
      <c r="D148" s="113">
        <f t="shared" si="2"/>
        <v>1.3999999999999915</v>
      </c>
    </row>
    <row r="149" spans="1:4" s="105" customFormat="1" ht="15">
      <c r="A149" s="132">
        <v>70.209999999999994</v>
      </c>
      <c r="B149" s="133" t="s">
        <v>44</v>
      </c>
      <c r="C149" s="133" t="s">
        <v>192</v>
      </c>
      <c r="D149" s="113">
        <f t="shared" si="2"/>
        <v>0.31000000000000227</v>
      </c>
    </row>
    <row r="150" spans="1:4" s="105" customFormat="1" ht="15">
      <c r="A150" s="132">
        <v>70.52</v>
      </c>
      <c r="B150" s="133" t="s">
        <v>70</v>
      </c>
      <c r="C150" s="133" t="s">
        <v>183</v>
      </c>
      <c r="D150" s="113">
        <f t="shared" si="2"/>
        <v>0.27000000000001023</v>
      </c>
    </row>
    <row r="151" spans="1:4" s="105" customFormat="1" ht="15">
      <c r="A151" s="132">
        <v>70.790000000000006</v>
      </c>
      <c r="B151" s="133" t="s">
        <v>69</v>
      </c>
      <c r="C151" s="133" t="s">
        <v>193</v>
      </c>
      <c r="D151" s="113">
        <f t="shared" si="2"/>
        <v>1.4299999999999926</v>
      </c>
    </row>
    <row r="152" spans="1:4" s="105" customFormat="1" ht="15">
      <c r="A152" s="132">
        <v>72.22</v>
      </c>
      <c r="B152" s="133" t="s">
        <v>70</v>
      </c>
      <c r="C152" s="133" t="s">
        <v>194</v>
      </c>
      <c r="D152" s="113">
        <f t="shared" si="2"/>
        <v>0.57000000000000739</v>
      </c>
    </row>
    <row r="153" spans="1:4" s="105" customFormat="1" ht="15">
      <c r="A153" s="129">
        <v>72.790000000000006</v>
      </c>
      <c r="B153" s="130"/>
      <c r="C153" s="131" t="s">
        <v>195</v>
      </c>
      <c r="D153" s="119">
        <f t="shared" si="2"/>
        <v>6.9999999999993179E-2</v>
      </c>
    </row>
    <row r="154" spans="1:4" ht="15">
      <c r="A154" s="132">
        <v>72.86</v>
      </c>
      <c r="B154" s="133" t="s">
        <v>69</v>
      </c>
      <c r="C154" s="133" t="s">
        <v>196</v>
      </c>
      <c r="D154" s="113">
        <f t="shared" si="2"/>
        <v>0.25</v>
      </c>
    </row>
    <row r="155" spans="1:4" ht="15">
      <c r="A155" s="132">
        <v>73.11</v>
      </c>
      <c r="B155" s="133" t="s">
        <v>44</v>
      </c>
      <c r="C155" s="133" t="s">
        <v>197</v>
      </c>
      <c r="D155" s="113">
        <f t="shared" si="2"/>
        <v>0.73000000000000398</v>
      </c>
    </row>
    <row r="156" spans="1:4" ht="15">
      <c r="A156" s="132">
        <v>73.84</v>
      </c>
      <c r="B156" s="133" t="s">
        <v>70</v>
      </c>
      <c r="C156" s="134" t="s">
        <v>198</v>
      </c>
      <c r="D156" s="113">
        <f t="shared" si="2"/>
        <v>0.50999999999999091</v>
      </c>
    </row>
    <row r="157" spans="1:4" ht="15">
      <c r="A157" s="132">
        <v>74.349999999999994</v>
      </c>
      <c r="B157" s="133" t="s">
        <v>70</v>
      </c>
      <c r="C157" s="133" t="s">
        <v>199</v>
      </c>
      <c r="D157" s="113">
        <f t="shared" si="2"/>
        <v>9.0000000000003411E-2</v>
      </c>
    </row>
    <row r="158" spans="1:4" ht="15">
      <c r="A158" s="132">
        <v>74.44</v>
      </c>
      <c r="B158" s="134" t="s">
        <v>69</v>
      </c>
      <c r="C158" s="134" t="s">
        <v>200</v>
      </c>
      <c r="D158" s="113">
        <f t="shared" si="2"/>
        <v>0.23000000000000398</v>
      </c>
    </row>
    <row r="159" spans="1:4" ht="15">
      <c r="A159" s="132">
        <v>74.67</v>
      </c>
      <c r="B159" s="133" t="s">
        <v>69</v>
      </c>
      <c r="C159" s="133" t="s">
        <v>201</v>
      </c>
      <c r="D159" s="113">
        <f t="shared" si="2"/>
        <v>0.20000000000000284</v>
      </c>
    </row>
    <row r="160" spans="1:4" ht="15">
      <c r="A160" s="132">
        <v>74.87</v>
      </c>
      <c r="B160" s="133" t="s">
        <v>69</v>
      </c>
      <c r="C160" s="128" t="s">
        <v>202</v>
      </c>
      <c r="D160" s="113">
        <f t="shared" si="2"/>
        <v>3.0000000000001137E-2</v>
      </c>
    </row>
    <row r="161" spans="1:5" ht="24">
      <c r="A161" s="106">
        <v>74.900000000000006</v>
      </c>
      <c r="B161" s="107"/>
      <c r="C161" s="108" t="s">
        <v>203</v>
      </c>
      <c r="D161" s="109">
        <f t="shared" si="2"/>
        <v>1.9999999999996021E-2</v>
      </c>
    </row>
    <row r="162" spans="1:5" ht="15">
      <c r="A162" s="132">
        <v>74.92</v>
      </c>
      <c r="B162" s="133" t="s">
        <v>75</v>
      </c>
      <c r="C162" s="128" t="s">
        <v>204</v>
      </c>
      <c r="D162" s="113">
        <f t="shared" si="2"/>
        <v>1.9999999999996021E-2</v>
      </c>
    </row>
    <row r="163" spans="1:5" s="137" customFormat="1" ht="15">
      <c r="A163" s="132">
        <v>74.94</v>
      </c>
      <c r="B163" s="133" t="s">
        <v>69</v>
      </c>
      <c r="C163" s="133" t="s">
        <v>201</v>
      </c>
      <c r="D163" s="113">
        <f t="shared" si="2"/>
        <v>0.12999999999999545</v>
      </c>
      <c r="E163" s="105"/>
    </row>
    <row r="164" spans="1:5" ht="15">
      <c r="A164" s="132">
        <v>75.069999999999993</v>
      </c>
      <c r="B164" s="133" t="s">
        <v>69</v>
      </c>
      <c r="C164" s="133" t="s">
        <v>205</v>
      </c>
      <c r="D164" s="113">
        <f t="shared" si="2"/>
        <v>2.1500000000000057</v>
      </c>
    </row>
    <row r="165" spans="1:5" ht="15">
      <c r="A165" s="132">
        <v>77.22</v>
      </c>
      <c r="B165" s="133" t="s">
        <v>44</v>
      </c>
      <c r="C165" s="133" t="s">
        <v>206</v>
      </c>
      <c r="D165" s="113">
        <f t="shared" si="2"/>
        <v>0.64000000000000057</v>
      </c>
    </row>
    <row r="166" spans="1:5" ht="15">
      <c r="A166" s="132">
        <v>77.86</v>
      </c>
      <c r="B166" s="133" t="s">
        <v>44</v>
      </c>
      <c r="C166" s="133" t="s">
        <v>207</v>
      </c>
      <c r="D166" s="113">
        <f t="shared" si="2"/>
        <v>0.10999999999999943</v>
      </c>
    </row>
    <row r="167" spans="1:5" ht="15">
      <c r="A167" s="132">
        <v>77.97</v>
      </c>
      <c r="B167" s="133" t="s">
        <v>70</v>
      </c>
      <c r="C167" s="133" t="s">
        <v>208</v>
      </c>
      <c r="D167" s="113">
        <f t="shared" si="2"/>
        <v>1.9999999999996021E-2</v>
      </c>
    </row>
    <row r="168" spans="1:5" ht="15">
      <c r="A168" s="132">
        <v>77.989999999999995</v>
      </c>
      <c r="B168" s="134" t="s">
        <v>44</v>
      </c>
      <c r="C168" s="134" t="s">
        <v>209</v>
      </c>
      <c r="D168" s="113">
        <f t="shared" si="2"/>
        <v>0.23000000000000398</v>
      </c>
    </row>
    <row r="169" spans="1:5" s="137" customFormat="1" ht="15">
      <c r="A169" s="132">
        <v>78.22</v>
      </c>
      <c r="B169" s="133" t="s">
        <v>69</v>
      </c>
      <c r="C169" s="133" t="s">
        <v>210</v>
      </c>
      <c r="D169" s="113">
        <f t="shared" si="2"/>
        <v>0.35999999999999943</v>
      </c>
      <c r="E169" s="105"/>
    </row>
    <row r="170" spans="1:5" s="105" customFormat="1" ht="15">
      <c r="A170" s="132">
        <v>78.58</v>
      </c>
      <c r="B170" s="133" t="s">
        <v>70</v>
      </c>
      <c r="C170" s="133" t="s">
        <v>211</v>
      </c>
      <c r="D170" s="113">
        <f t="shared" si="2"/>
        <v>1.0100000000000051</v>
      </c>
    </row>
    <row r="171" spans="1:5" s="105" customFormat="1" ht="15">
      <c r="A171" s="132">
        <v>79.59</v>
      </c>
      <c r="B171" s="133" t="s">
        <v>69</v>
      </c>
      <c r="C171" s="133" t="s">
        <v>212</v>
      </c>
      <c r="D171" s="113">
        <f t="shared" si="2"/>
        <v>5.1299999999999955</v>
      </c>
    </row>
    <row r="172" spans="1:5" s="105" customFormat="1" ht="15">
      <c r="A172" s="132">
        <v>84.72</v>
      </c>
      <c r="B172" s="133" t="s">
        <v>69</v>
      </c>
      <c r="C172" s="133" t="s">
        <v>213</v>
      </c>
      <c r="D172" s="113">
        <f t="shared" si="2"/>
        <v>0.40000000000000568</v>
      </c>
    </row>
    <row r="173" spans="1:5" s="105" customFormat="1" ht="15">
      <c r="A173" s="132">
        <v>85.12</v>
      </c>
      <c r="B173" s="133" t="s">
        <v>70</v>
      </c>
      <c r="C173" s="134" t="s">
        <v>214</v>
      </c>
      <c r="D173" s="113">
        <f t="shared" si="2"/>
        <v>0.43999999999999773</v>
      </c>
    </row>
    <row r="174" spans="1:5" s="105" customFormat="1" ht="15">
      <c r="A174" s="132">
        <v>85.56</v>
      </c>
      <c r="B174" s="133" t="s">
        <v>69</v>
      </c>
      <c r="C174" s="134" t="s">
        <v>215</v>
      </c>
      <c r="D174" s="113">
        <f t="shared" si="2"/>
        <v>1.9999999999996021E-2</v>
      </c>
    </row>
    <row r="175" spans="1:5" s="105" customFormat="1" ht="15">
      <c r="A175" s="132">
        <v>85.58</v>
      </c>
      <c r="B175" s="133" t="s">
        <v>70</v>
      </c>
      <c r="C175" s="133" t="s">
        <v>214</v>
      </c>
      <c r="D175" s="113">
        <f t="shared" si="2"/>
        <v>0.26000000000000512</v>
      </c>
    </row>
    <row r="176" spans="1:5" s="105" customFormat="1" ht="15">
      <c r="A176" s="132">
        <v>85.84</v>
      </c>
      <c r="B176" s="128" t="s">
        <v>44</v>
      </c>
      <c r="C176" s="134" t="s">
        <v>214</v>
      </c>
      <c r="D176" s="113">
        <f t="shared" si="2"/>
        <v>0.84999999999999432</v>
      </c>
    </row>
    <row r="177" spans="1:4" s="105" customFormat="1" ht="15">
      <c r="A177" s="132">
        <v>86.69</v>
      </c>
      <c r="B177" s="134" t="s">
        <v>44</v>
      </c>
      <c r="C177" s="134" t="s">
        <v>212</v>
      </c>
      <c r="D177" s="113">
        <f t="shared" si="2"/>
        <v>0.26999999999999602</v>
      </c>
    </row>
    <row r="178" spans="1:4" s="105" customFormat="1" ht="15">
      <c r="A178" s="132">
        <v>86.96</v>
      </c>
      <c r="B178" s="128" t="s">
        <v>44</v>
      </c>
      <c r="C178" s="134" t="s">
        <v>216</v>
      </c>
      <c r="D178" s="113">
        <f t="shared" si="2"/>
        <v>1.4100000000000108</v>
      </c>
    </row>
    <row r="179" spans="1:4" s="105" customFormat="1" ht="15">
      <c r="A179" s="132">
        <v>88.37</v>
      </c>
      <c r="B179" s="128" t="s">
        <v>69</v>
      </c>
      <c r="C179" s="128" t="s">
        <v>217</v>
      </c>
      <c r="D179" s="113">
        <f t="shared" si="2"/>
        <v>0.25</v>
      </c>
    </row>
    <row r="180" spans="1:4" s="105" customFormat="1" ht="15">
      <c r="A180" s="132">
        <v>88.62</v>
      </c>
      <c r="B180" s="128" t="s">
        <v>69</v>
      </c>
      <c r="C180" s="134" t="s">
        <v>218</v>
      </c>
      <c r="D180" s="113">
        <f t="shared" si="2"/>
        <v>1.7399999999999949</v>
      </c>
    </row>
    <row r="181" spans="1:4" s="105" customFormat="1" ht="15">
      <c r="A181" s="132">
        <v>90.36</v>
      </c>
      <c r="B181" s="128" t="s">
        <v>70</v>
      </c>
      <c r="C181" s="128" t="s">
        <v>218</v>
      </c>
      <c r="D181" s="113">
        <f t="shared" si="2"/>
        <v>0.98000000000000398</v>
      </c>
    </row>
    <row r="182" spans="1:4" s="105" customFormat="1" ht="15">
      <c r="A182" s="132">
        <v>91.34</v>
      </c>
      <c r="B182" s="128" t="s">
        <v>69</v>
      </c>
      <c r="C182" s="128" t="s">
        <v>219</v>
      </c>
      <c r="D182" s="113">
        <f t="shared" si="2"/>
        <v>6.0000000000002274E-2</v>
      </c>
    </row>
    <row r="183" spans="1:4" s="105" customFormat="1" ht="15">
      <c r="A183" s="132">
        <v>91.4</v>
      </c>
      <c r="B183" s="128" t="s">
        <v>44</v>
      </c>
      <c r="C183" s="128" t="s">
        <v>220</v>
      </c>
      <c r="D183" s="113">
        <f t="shared" si="2"/>
        <v>1.1099999999999994</v>
      </c>
    </row>
    <row r="184" spans="1:4" s="105" customFormat="1" ht="15">
      <c r="A184" s="132">
        <v>92.51</v>
      </c>
      <c r="B184" s="128" t="s">
        <v>44</v>
      </c>
      <c r="C184" s="128" t="s">
        <v>221</v>
      </c>
      <c r="D184" s="113">
        <f t="shared" si="2"/>
        <v>0.36999999999999034</v>
      </c>
    </row>
    <row r="185" spans="1:4" s="105" customFormat="1" ht="15">
      <c r="A185" s="132">
        <v>92.88</v>
      </c>
      <c r="B185" s="128" t="s">
        <v>44</v>
      </c>
      <c r="C185" s="134" t="s">
        <v>219</v>
      </c>
      <c r="D185" s="113">
        <f t="shared" si="2"/>
        <v>0.53000000000000114</v>
      </c>
    </row>
    <row r="186" spans="1:4" s="105" customFormat="1" ht="15">
      <c r="A186" s="132">
        <v>93.41</v>
      </c>
      <c r="B186" s="128" t="s">
        <v>70</v>
      </c>
      <c r="C186" s="128" t="s">
        <v>222</v>
      </c>
      <c r="D186" s="113">
        <f t="shared" si="2"/>
        <v>0.75</v>
      </c>
    </row>
    <row r="187" spans="1:4" s="105" customFormat="1" ht="15">
      <c r="A187" s="132">
        <v>94.16</v>
      </c>
      <c r="B187" s="128" t="s">
        <v>69</v>
      </c>
      <c r="C187" s="128" t="s">
        <v>223</v>
      </c>
      <c r="D187" s="113">
        <f t="shared" si="2"/>
        <v>0.60000000000000853</v>
      </c>
    </row>
    <row r="188" spans="1:4" s="105" customFormat="1" ht="15">
      <c r="A188" s="132">
        <v>94.76</v>
      </c>
      <c r="B188" s="128" t="s">
        <v>70</v>
      </c>
      <c r="C188" s="128" t="s">
        <v>224</v>
      </c>
      <c r="D188" s="113">
        <f t="shared" si="2"/>
        <v>1.8799999999999955</v>
      </c>
    </row>
    <row r="189" spans="1:4" s="105" customFormat="1" ht="15">
      <c r="A189" s="132">
        <v>96.64</v>
      </c>
      <c r="B189" s="128" t="s">
        <v>44</v>
      </c>
      <c r="C189" s="128" t="s">
        <v>129</v>
      </c>
      <c r="D189" s="113">
        <f t="shared" si="2"/>
        <v>1.75</v>
      </c>
    </row>
    <row r="190" spans="1:4" s="105" customFormat="1" ht="15">
      <c r="A190" s="132">
        <v>98.39</v>
      </c>
      <c r="B190" s="128" t="s">
        <v>70</v>
      </c>
      <c r="C190" s="128" t="s">
        <v>225</v>
      </c>
      <c r="D190" s="113">
        <f t="shared" si="2"/>
        <v>0.15000000000000568</v>
      </c>
    </row>
    <row r="191" spans="1:4" s="105" customFormat="1" ht="15">
      <c r="A191" s="132">
        <v>98.54</v>
      </c>
      <c r="B191" s="134" t="s">
        <v>69</v>
      </c>
      <c r="C191" s="134" t="s">
        <v>226</v>
      </c>
      <c r="D191" s="113">
        <f t="shared" si="2"/>
        <v>0.25</v>
      </c>
    </row>
    <row r="192" spans="1:4" s="105" customFormat="1" ht="15">
      <c r="A192" s="132">
        <v>98.79</v>
      </c>
      <c r="B192" s="128" t="s">
        <v>69</v>
      </c>
      <c r="C192" s="128" t="s">
        <v>227</v>
      </c>
      <c r="D192" s="113">
        <f t="shared" si="2"/>
        <v>5.9999999999988063E-2</v>
      </c>
    </row>
    <row r="193" spans="1:4" s="105" customFormat="1" ht="15">
      <c r="A193" s="132">
        <v>98.85</v>
      </c>
      <c r="B193" s="128" t="s">
        <v>44</v>
      </c>
      <c r="C193" s="128" t="s">
        <v>228</v>
      </c>
      <c r="D193" s="113">
        <f t="shared" si="2"/>
        <v>0.15000000000000568</v>
      </c>
    </row>
    <row r="194" spans="1:4" s="105" customFormat="1" ht="15">
      <c r="A194" s="132">
        <v>99</v>
      </c>
      <c r="B194" s="128" t="s">
        <v>70</v>
      </c>
      <c r="C194" s="128" t="s">
        <v>229</v>
      </c>
      <c r="D194" s="113">
        <f t="shared" si="2"/>
        <v>0.26000000000000512</v>
      </c>
    </row>
    <row r="195" spans="1:4" s="105" customFormat="1" ht="24">
      <c r="A195" s="106">
        <v>99.26</v>
      </c>
      <c r="B195" s="107"/>
      <c r="C195" s="108" t="s">
        <v>230</v>
      </c>
      <c r="D195" s="109">
        <f t="shared" si="2"/>
        <v>3.9999999999992042E-2</v>
      </c>
    </row>
    <row r="196" spans="1:4" s="105" customFormat="1" ht="15">
      <c r="A196" s="132">
        <v>99.3</v>
      </c>
      <c r="B196" s="128" t="s">
        <v>69</v>
      </c>
      <c r="C196" s="134" t="s">
        <v>232</v>
      </c>
      <c r="D196" s="113">
        <f t="shared" ref="D196:D259" si="3">A197-A196</f>
        <v>9.0000000000003411E-2</v>
      </c>
    </row>
    <row r="197" spans="1:4" s="105" customFormat="1" ht="15">
      <c r="A197" s="132">
        <v>99.39</v>
      </c>
      <c r="B197" s="128" t="s">
        <v>69</v>
      </c>
      <c r="C197" s="128" t="s">
        <v>123</v>
      </c>
      <c r="D197" s="113">
        <f t="shared" si="3"/>
        <v>0.12999999999999545</v>
      </c>
    </row>
    <row r="198" spans="1:4" s="105" customFormat="1" ht="15">
      <c r="A198" s="132">
        <v>99.52</v>
      </c>
      <c r="B198" s="128" t="s">
        <v>44</v>
      </c>
      <c r="C198" s="128" t="s">
        <v>233</v>
      </c>
      <c r="D198" s="113">
        <f t="shared" si="3"/>
        <v>0.24000000000000909</v>
      </c>
    </row>
    <row r="199" spans="1:4" s="105" customFormat="1" ht="15">
      <c r="A199" s="132">
        <v>99.76</v>
      </c>
      <c r="B199" s="128" t="s">
        <v>69</v>
      </c>
      <c r="C199" s="128" t="s">
        <v>234</v>
      </c>
      <c r="D199" s="113">
        <f t="shared" si="3"/>
        <v>3.0000000000001137E-2</v>
      </c>
    </row>
    <row r="200" spans="1:4" s="105" customFormat="1" ht="15">
      <c r="A200" s="132">
        <v>99.79</v>
      </c>
      <c r="B200" s="128" t="s">
        <v>70</v>
      </c>
      <c r="C200" s="128" t="s">
        <v>235</v>
      </c>
      <c r="D200" s="113">
        <f t="shared" si="3"/>
        <v>4.9999999999997158E-2</v>
      </c>
    </row>
    <row r="201" spans="1:4" s="105" customFormat="1" ht="15">
      <c r="A201" s="138">
        <v>99.84</v>
      </c>
      <c r="B201" s="139" t="s">
        <v>70</v>
      </c>
      <c r="C201" s="139" t="s">
        <v>236</v>
      </c>
      <c r="D201" s="126">
        <f t="shared" si="3"/>
        <v>0.36999999999999034</v>
      </c>
    </row>
    <row r="202" spans="1:4" s="105" customFormat="1" ht="15">
      <c r="A202" s="132">
        <v>100.21</v>
      </c>
      <c r="B202" s="134" t="s">
        <v>69</v>
      </c>
      <c r="C202" s="134" t="s">
        <v>237</v>
      </c>
      <c r="D202" s="113">
        <f t="shared" si="3"/>
        <v>0.84000000000000341</v>
      </c>
    </row>
    <row r="203" spans="1:4" s="105" customFormat="1" ht="15">
      <c r="A203" s="132">
        <v>101.05</v>
      </c>
      <c r="B203" s="128" t="s">
        <v>70</v>
      </c>
      <c r="C203" s="128" t="s">
        <v>238</v>
      </c>
      <c r="D203" s="113">
        <f t="shared" si="3"/>
        <v>0.29000000000000625</v>
      </c>
    </row>
    <row r="204" spans="1:4" s="105" customFormat="1" ht="15">
      <c r="A204" s="132">
        <v>101.34</v>
      </c>
      <c r="B204" s="128" t="s">
        <v>70</v>
      </c>
      <c r="C204" s="128" t="s">
        <v>239</v>
      </c>
      <c r="D204" s="113">
        <f t="shared" si="3"/>
        <v>0.25</v>
      </c>
    </row>
    <row r="205" spans="1:4" s="105" customFormat="1" ht="15">
      <c r="A205" s="132">
        <v>101.59</v>
      </c>
      <c r="B205" s="128" t="s">
        <v>70</v>
      </c>
      <c r="C205" s="128" t="s">
        <v>240</v>
      </c>
      <c r="D205" s="113">
        <f t="shared" si="3"/>
        <v>1.0799999999999983</v>
      </c>
    </row>
    <row r="206" spans="1:4" s="105" customFormat="1" ht="15">
      <c r="A206" s="132">
        <v>102.67</v>
      </c>
      <c r="B206" s="128" t="s">
        <v>69</v>
      </c>
      <c r="C206" s="128" t="s">
        <v>241</v>
      </c>
      <c r="D206" s="113">
        <f t="shared" si="3"/>
        <v>0.37000000000000455</v>
      </c>
    </row>
    <row r="207" spans="1:4" s="105" customFormat="1" ht="15">
      <c r="A207" s="132">
        <v>103.04</v>
      </c>
      <c r="B207" s="128" t="s">
        <v>69</v>
      </c>
      <c r="C207" s="128" t="s">
        <v>242</v>
      </c>
      <c r="D207" s="113">
        <f t="shared" si="3"/>
        <v>0.28999999999999204</v>
      </c>
    </row>
    <row r="208" spans="1:4" s="105" customFormat="1" ht="15">
      <c r="A208" s="132">
        <v>103.33</v>
      </c>
      <c r="B208" s="128" t="s">
        <v>70</v>
      </c>
      <c r="C208" s="134" t="s">
        <v>243</v>
      </c>
      <c r="D208" s="113">
        <f t="shared" si="3"/>
        <v>4.0000000000006253E-2</v>
      </c>
    </row>
    <row r="209" spans="1:4" s="105" customFormat="1" ht="15">
      <c r="A209" s="132">
        <v>103.37</v>
      </c>
      <c r="B209" s="128" t="s">
        <v>44</v>
      </c>
      <c r="C209" s="128" t="s">
        <v>244</v>
      </c>
      <c r="D209" s="113">
        <f t="shared" si="3"/>
        <v>0.10999999999999943</v>
      </c>
    </row>
    <row r="210" spans="1:4" s="105" customFormat="1" ht="15">
      <c r="A210" s="132">
        <v>103.48</v>
      </c>
      <c r="B210" s="128" t="s">
        <v>69</v>
      </c>
      <c r="C210" s="128" t="s">
        <v>245</v>
      </c>
      <c r="D210" s="113">
        <f t="shared" si="3"/>
        <v>0.26999999999999602</v>
      </c>
    </row>
    <row r="211" spans="1:4" s="105" customFormat="1" ht="15">
      <c r="A211" s="132">
        <v>103.75</v>
      </c>
      <c r="B211" s="128" t="s">
        <v>70</v>
      </c>
      <c r="C211" s="128" t="s">
        <v>246</v>
      </c>
      <c r="D211" s="113">
        <f t="shared" si="3"/>
        <v>9.9999999999994316E-2</v>
      </c>
    </row>
    <row r="212" spans="1:4" s="105" customFormat="1" ht="15">
      <c r="A212" s="132">
        <v>103.85</v>
      </c>
      <c r="B212" s="128" t="s">
        <v>69</v>
      </c>
      <c r="C212" s="128" t="s">
        <v>247</v>
      </c>
      <c r="D212" s="113">
        <f t="shared" si="3"/>
        <v>0.13000000000000966</v>
      </c>
    </row>
    <row r="213" spans="1:4" s="105" customFormat="1" ht="15">
      <c r="A213" s="132">
        <v>103.98</v>
      </c>
      <c r="B213" s="128" t="s">
        <v>69</v>
      </c>
      <c r="C213" s="128" t="s">
        <v>121</v>
      </c>
      <c r="D213" s="113">
        <f t="shared" si="3"/>
        <v>1.9999999999996021E-2</v>
      </c>
    </row>
    <row r="214" spans="1:4" s="105" customFormat="1" ht="15">
      <c r="A214" s="132">
        <v>104</v>
      </c>
      <c r="B214" s="134" t="s">
        <v>70</v>
      </c>
      <c r="C214" s="134" t="s">
        <v>121</v>
      </c>
      <c r="D214" s="113">
        <f t="shared" si="3"/>
        <v>0.23000000000000398</v>
      </c>
    </row>
    <row r="215" spans="1:4" s="105" customFormat="1" ht="15">
      <c r="A215" s="132">
        <v>104.23</v>
      </c>
      <c r="B215" s="128" t="s">
        <v>69</v>
      </c>
      <c r="C215" s="128" t="s">
        <v>248</v>
      </c>
      <c r="D215" s="113">
        <f t="shared" si="3"/>
        <v>0.3399999999999892</v>
      </c>
    </row>
    <row r="216" spans="1:4" s="105" customFormat="1" ht="15">
      <c r="A216" s="132">
        <v>104.57</v>
      </c>
      <c r="B216" s="128" t="s">
        <v>70</v>
      </c>
      <c r="C216" s="128" t="s">
        <v>249</v>
      </c>
      <c r="D216" s="113">
        <f t="shared" si="3"/>
        <v>0.44000000000001194</v>
      </c>
    </row>
    <row r="217" spans="1:4" s="105" customFormat="1" ht="15">
      <c r="A217" s="132">
        <v>105.01</v>
      </c>
      <c r="B217" s="128" t="s">
        <v>44</v>
      </c>
      <c r="C217" s="128" t="s">
        <v>250</v>
      </c>
      <c r="D217" s="113">
        <f t="shared" si="3"/>
        <v>0.5</v>
      </c>
    </row>
    <row r="218" spans="1:4" s="105" customFormat="1" ht="15">
      <c r="A218" s="132">
        <v>105.51</v>
      </c>
      <c r="B218" s="128" t="s">
        <v>70</v>
      </c>
      <c r="C218" s="128" t="s">
        <v>251</v>
      </c>
      <c r="D218" s="113">
        <f t="shared" si="3"/>
        <v>0.19999999999998863</v>
      </c>
    </row>
    <row r="219" spans="1:4" s="105" customFormat="1" ht="15">
      <c r="A219" s="132">
        <v>105.71</v>
      </c>
      <c r="B219" s="128" t="s">
        <v>70</v>
      </c>
      <c r="C219" s="128" t="s">
        <v>252</v>
      </c>
      <c r="D219" s="113">
        <f t="shared" si="3"/>
        <v>2.0100000000000051</v>
      </c>
    </row>
    <row r="220" spans="1:4" s="105" customFormat="1" ht="15">
      <c r="A220" s="132">
        <v>107.72</v>
      </c>
      <c r="B220" s="128" t="s">
        <v>69</v>
      </c>
      <c r="C220" s="128" t="s">
        <v>153</v>
      </c>
      <c r="D220" s="113">
        <f t="shared" si="3"/>
        <v>2.2900000000000063</v>
      </c>
    </row>
    <row r="221" spans="1:4" s="105" customFormat="1" ht="15">
      <c r="A221" s="132">
        <v>110.01</v>
      </c>
      <c r="B221" s="128" t="s">
        <v>69</v>
      </c>
      <c r="C221" s="128" t="s">
        <v>153</v>
      </c>
      <c r="D221" s="113">
        <f t="shared" si="3"/>
        <v>0.80999999999998806</v>
      </c>
    </row>
    <row r="222" spans="1:4" s="105" customFormat="1" ht="15">
      <c r="A222" s="132">
        <v>110.82</v>
      </c>
      <c r="B222" s="128" t="s">
        <v>70</v>
      </c>
      <c r="C222" s="128" t="s">
        <v>253</v>
      </c>
      <c r="D222" s="113">
        <f t="shared" si="3"/>
        <v>0.5</v>
      </c>
    </row>
    <row r="223" spans="1:4" s="105" customFormat="1" ht="15">
      <c r="A223" s="132">
        <v>111.32</v>
      </c>
      <c r="B223" s="128" t="s">
        <v>69</v>
      </c>
      <c r="C223" s="128" t="s">
        <v>116</v>
      </c>
      <c r="D223" s="113">
        <f t="shared" si="3"/>
        <v>0.4100000000000108</v>
      </c>
    </row>
    <row r="224" spans="1:4" s="105" customFormat="1" ht="15">
      <c r="A224" s="132">
        <v>111.73</v>
      </c>
      <c r="B224" s="128" t="s">
        <v>44</v>
      </c>
      <c r="C224" s="128" t="s">
        <v>254</v>
      </c>
      <c r="D224" s="113">
        <f t="shared" si="3"/>
        <v>9.9999999999909051E-3</v>
      </c>
    </row>
    <row r="225" spans="1:4" s="105" customFormat="1" ht="15">
      <c r="A225" s="132">
        <v>111.74</v>
      </c>
      <c r="B225" s="128" t="s">
        <v>69</v>
      </c>
      <c r="C225" s="134" t="s">
        <v>255</v>
      </c>
      <c r="D225" s="113">
        <f t="shared" si="3"/>
        <v>7.9999999999998295E-2</v>
      </c>
    </row>
    <row r="226" spans="1:4" s="105" customFormat="1" ht="15">
      <c r="A226" s="132">
        <v>111.82</v>
      </c>
      <c r="B226" s="128" t="s">
        <v>70</v>
      </c>
      <c r="C226" s="128" t="s">
        <v>256</v>
      </c>
      <c r="D226" s="113">
        <f t="shared" si="3"/>
        <v>6.0000000000002274E-2</v>
      </c>
    </row>
    <row r="227" spans="1:4" s="105" customFormat="1" ht="15">
      <c r="A227" s="132">
        <v>111.88</v>
      </c>
      <c r="B227" s="128"/>
      <c r="C227" s="128" t="s">
        <v>257</v>
      </c>
      <c r="D227" s="113">
        <f t="shared" si="3"/>
        <v>0.10999999999999943</v>
      </c>
    </row>
    <row r="228" spans="1:4" s="105" customFormat="1" ht="36">
      <c r="A228" s="106">
        <v>111.99</v>
      </c>
      <c r="B228" s="107"/>
      <c r="C228" s="108" t="s">
        <v>258</v>
      </c>
      <c r="D228" s="109">
        <f t="shared" si="3"/>
        <v>2.0000000000010232E-2</v>
      </c>
    </row>
    <row r="229" spans="1:4" s="105" customFormat="1" ht="15">
      <c r="A229" s="132">
        <v>112.01</v>
      </c>
      <c r="B229" s="128" t="s">
        <v>70</v>
      </c>
      <c r="C229" s="128" t="s">
        <v>259</v>
      </c>
      <c r="D229" s="113">
        <f t="shared" si="3"/>
        <v>8.99999999999892E-2</v>
      </c>
    </row>
    <row r="230" spans="1:4" s="105" customFormat="1" ht="15">
      <c r="A230" s="132">
        <v>112.1</v>
      </c>
      <c r="B230" s="128" t="s">
        <v>70</v>
      </c>
      <c r="C230" s="128" t="s">
        <v>260</v>
      </c>
      <c r="D230" s="113">
        <f t="shared" si="3"/>
        <v>0.21000000000000796</v>
      </c>
    </row>
    <row r="231" spans="1:4" s="105" customFormat="1" ht="15">
      <c r="A231" s="132">
        <v>112.31</v>
      </c>
      <c r="B231" s="134" t="s">
        <v>44</v>
      </c>
      <c r="C231" s="134" t="s">
        <v>261</v>
      </c>
      <c r="D231" s="113">
        <f t="shared" si="3"/>
        <v>0.31999999999999318</v>
      </c>
    </row>
    <row r="232" spans="1:4" s="105" customFormat="1" ht="15">
      <c r="A232" s="132">
        <v>112.63</v>
      </c>
      <c r="B232" s="128" t="s">
        <v>69</v>
      </c>
      <c r="C232" s="128" t="s">
        <v>262</v>
      </c>
      <c r="D232" s="113">
        <f t="shared" si="3"/>
        <v>0.10000000000000853</v>
      </c>
    </row>
    <row r="233" spans="1:4" s="105" customFormat="1" ht="15">
      <c r="A233" s="132">
        <v>112.73</v>
      </c>
      <c r="B233" s="128" t="s">
        <v>70</v>
      </c>
      <c r="C233" s="128" t="s">
        <v>183</v>
      </c>
      <c r="D233" s="113">
        <f t="shared" si="3"/>
        <v>0.20000000000000284</v>
      </c>
    </row>
    <row r="234" spans="1:4" s="105" customFormat="1" ht="15">
      <c r="A234" s="132">
        <v>112.93</v>
      </c>
      <c r="B234" s="128" t="s">
        <v>44</v>
      </c>
      <c r="C234" s="128" t="s">
        <v>263</v>
      </c>
      <c r="D234" s="113">
        <f t="shared" si="3"/>
        <v>0.61999999999999034</v>
      </c>
    </row>
    <row r="235" spans="1:4" s="105" customFormat="1" ht="15">
      <c r="A235" s="132">
        <v>113.55</v>
      </c>
      <c r="B235" s="128" t="s">
        <v>44</v>
      </c>
      <c r="C235" s="128" t="s">
        <v>264</v>
      </c>
      <c r="D235" s="113">
        <f t="shared" si="3"/>
        <v>0.10999999999999943</v>
      </c>
    </row>
    <row r="236" spans="1:4" s="105" customFormat="1" ht="15">
      <c r="A236" s="132">
        <v>113.66</v>
      </c>
      <c r="B236" s="128" t="s">
        <v>69</v>
      </c>
      <c r="C236" s="128" t="s">
        <v>193</v>
      </c>
      <c r="D236" s="113">
        <f t="shared" si="3"/>
        <v>0.29000000000000625</v>
      </c>
    </row>
    <row r="237" spans="1:4" s="105" customFormat="1" ht="15">
      <c r="A237" s="132">
        <v>113.95</v>
      </c>
      <c r="B237" s="128" t="s">
        <v>70</v>
      </c>
      <c r="C237" s="128" t="s">
        <v>183</v>
      </c>
      <c r="D237" s="113">
        <f t="shared" si="3"/>
        <v>1.6199999999999903</v>
      </c>
    </row>
    <row r="238" spans="1:4" s="105" customFormat="1" ht="15">
      <c r="A238" s="132">
        <v>115.57</v>
      </c>
      <c r="B238" s="128" t="s">
        <v>69</v>
      </c>
      <c r="C238" s="128" t="s">
        <v>265</v>
      </c>
      <c r="D238" s="113">
        <f t="shared" si="3"/>
        <v>0.12000000000000455</v>
      </c>
    </row>
    <row r="239" spans="1:4" s="105" customFormat="1" ht="15">
      <c r="A239" s="132">
        <v>115.69</v>
      </c>
      <c r="B239" s="134" t="s">
        <v>69</v>
      </c>
      <c r="C239" s="134" t="s">
        <v>183</v>
      </c>
      <c r="D239" s="113">
        <f t="shared" si="3"/>
        <v>0.82999999999999829</v>
      </c>
    </row>
    <row r="240" spans="1:4" s="105" customFormat="1" ht="15">
      <c r="A240" s="132">
        <v>116.52</v>
      </c>
      <c r="B240" s="128" t="s">
        <v>69</v>
      </c>
      <c r="C240" s="128" t="s">
        <v>183</v>
      </c>
      <c r="D240" s="113">
        <f t="shared" si="3"/>
        <v>0.10000000000000853</v>
      </c>
    </row>
    <row r="241" spans="1:4" s="105" customFormat="1" ht="15">
      <c r="A241" s="132">
        <v>116.62</v>
      </c>
      <c r="B241" s="128" t="s">
        <v>69</v>
      </c>
      <c r="C241" s="128" t="s">
        <v>183</v>
      </c>
      <c r="D241" s="113">
        <f t="shared" si="3"/>
        <v>4.789999999999992</v>
      </c>
    </row>
    <row r="242" spans="1:4" s="105" customFormat="1" ht="15">
      <c r="A242" s="132">
        <v>121.41</v>
      </c>
      <c r="B242" s="128" t="s">
        <v>69</v>
      </c>
      <c r="C242" s="128" t="s">
        <v>153</v>
      </c>
      <c r="D242" s="113">
        <f t="shared" si="3"/>
        <v>2.2199999999999989</v>
      </c>
    </row>
    <row r="243" spans="1:4" s="105" customFormat="1" ht="15">
      <c r="A243" s="132">
        <v>123.63</v>
      </c>
      <c r="B243" s="128" t="s">
        <v>69</v>
      </c>
      <c r="C243" s="128" t="s">
        <v>153</v>
      </c>
      <c r="D243" s="113">
        <f t="shared" si="3"/>
        <v>0.52000000000001023</v>
      </c>
    </row>
    <row r="244" spans="1:4" s="105" customFormat="1" ht="15">
      <c r="A244" s="132">
        <v>124.15</v>
      </c>
      <c r="B244" s="128" t="s">
        <v>69</v>
      </c>
      <c r="C244" s="128" t="s">
        <v>266</v>
      </c>
      <c r="D244" s="113">
        <f t="shared" si="3"/>
        <v>0.25</v>
      </c>
    </row>
    <row r="245" spans="1:4" s="105" customFormat="1" ht="15">
      <c r="A245" s="132">
        <v>124.4</v>
      </c>
      <c r="B245" s="128" t="s">
        <v>44</v>
      </c>
      <c r="C245" s="128" t="s">
        <v>267</v>
      </c>
      <c r="D245" s="113">
        <f t="shared" si="3"/>
        <v>0</v>
      </c>
    </row>
    <row r="246" spans="1:4" s="105" customFormat="1" ht="15">
      <c r="A246" s="132">
        <v>124.4</v>
      </c>
      <c r="B246" s="128" t="s">
        <v>70</v>
      </c>
      <c r="C246" s="128" t="s">
        <v>268</v>
      </c>
      <c r="D246" s="113">
        <f t="shared" si="3"/>
        <v>1.9999999999996021E-2</v>
      </c>
    </row>
    <row r="247" spans="1:4" s="105" customFormat="1" ht="15">
      <c r="A247" s="132">
        <v>124.42</v>
      </c>
      <c r="B247" s="134" t="s">
        <v>69</v>
      </c>
      <c r="C247" s="134" t="s">
        <v>153</v>
      </c>
      <c r="D247" s="113">
        <f t="shared" si="3"/>
        <v>1.3299999999999983</v>
      </c>
    </row>
    <row r="248" spans="1:4" s="105" customFormat="1" ht="15">
      <c r="A248" s="132">
        <v>125.75</v>
      </c>
      <c r="B248" s="128" t="s">
        <v>69</v>
      </c>
      <c r="C248" s="128" t="s">
        <v>269</v>
      </c>
      <c r="D248" s="113">
        <f t="shared" si="3"/>
        <v>0.31999999999999318</v>
      </c>
    </row>
    <row r="249" spans="1:4" s="105" customFormat="1" ht="15">
      <c r="A249" s="132">
        <v>126.07</v>
      </c>
      <c r="B249" s="128" t="s">
        <v>70</v>
      </c>
      <c r="C249" s="128" t="s">
        <v>270</v>
      </c>
      <c r="D249" s="113">
        <f t="shared" si="3"/>
        <v>0.76000000000000512</v>
      </c>
    </row>
    <row r="250" spans="1:4" s="105" customFormat="1" ht="15">
      <c r="A250" s="132">
        <v>126.83</v>
      </c>
      <c r="B250" s="128" t="s">
        <v>70</v>
      </c>
      <c r="C250" s="128" t="s">
        <v>116</v>
      </c>
      <c r="D250" s="113">
        <f t="shared" si="3"/>
        <v>0.21999999999999886</v>
      </c>
    </row>
    <row r="251" spans="1:4" s="105" customFormat="1" ht="15">
      <c r="A251" s="132">
        <v>127.05</v>
      </c>
      <c r="B251" s="128" t="s">
        <v>70</v>
      </c>
      <c r="C251" s="128" t="s">
        <v>271</v>
      </c>
      <c r="D251" s="113">
        <f t="shared" si="3"/>
        <v>1.9999999999996021E-2</v>
      </c>
    </row>
    <row r="252" spans="1:4" s="105" customFormat="1" ht="15">
      <c r="A252" s="132">
        <v>127.07</v>
      </c>
      <c r="B252" s="128" t="s">
        <v>69</v>
      </c>
      <c r="C252" s="128" t="s">
        <v>272</v>
      </c>
      <c r="D252" s="113">
        <f t="shared" si="3"/>
        <v>0.96000000000000796</v>
      </c>
    </row>
    <row r="253" spans="1:4" s="105" customFormat="1" ht="15">
      <c r="A253" s="132">
        <v>128.03</v>
      </c>
      <c r="B253" s="128" t="s">
        <v>69</v>
      </c>
      <c r="C253" s="128" t="s">
        <v>273</v>
      </c>
      <c r="D253" s="113">
        <f t="shared" si="3"/>
        <v>0.56000000000000227</v>
      </c>
    </row>
    <row r="254" spans="1:4" s="105" customFormat="1" ht="15">
      <c r="A254" s="132">
        <v>128.59</v>
      </c>
      <c r="B254" s="128" t="s">
        <v>70</v>
      </c>
      <c r="C254" s="128" t="s">
        <v>274</v>
      </c>
      <c r="D254" s="113">
        <f t="shared" si="3"/>
        <v>0.71000000000000796</v>
      </c>
    </row>
    <row r="255" spans="1:4" s="105" customFormat="1" ht="15">
      <c r="A255" s="132">
        <v>129.30000000000001</v>
      </c>
      <c r="B255" s="128" t="s">
        <v>69</v>
      </c>
      <c r="C255" s="128" t="s">
        <v>274</v>
      </c>
      <c r="D255" s="113">
        <f t="shared" si="3"/>
        <v>3.0000000000001137E-2</v>
      </c>
    </row>
    <row r="256" spans="1:4" s="105" customFormat="1" ht="15">
      <c r="A256" s="132">
        <v>129.33000000000001</v>
      </c>
      <c r="B256" s="128" t="s">
        <v>44</v>
      </c>
      <c r="C256" s="128" t="s">
        <v>116</v>
      </c>
      <c r="D256" s="113">
        <f t="shared" si="3"/>
        <v>1.0300000000000011</v>
      </c>
    </row>
    <row r="257" spans="1:4" s="105" customFormat="1" ht="15">
      <c r="A257" s="132">
        <v>130.36000000000001</v>
      </c>
      <c r="B257" s="128" t="s">
        <v>69</v>
      </c>
      <c r="C257" s="128" t="s">
        <v>275</v>
      </c>
      <c r="D257" s="113">
        <f t="shared" si="3"/>
        <v>9.9999999999909051E-3</v>
      </c>
    </row>
    <row r="258" spans="1:4" s="105" customFormat="1" ht="15">
      <c r="A258" s="132">
        <v>130.37</v>
      </c>
      <c r="B258" s="128" t="s">
        <v>70</v>
      </c>
      <c r="C258" s="128" t="s">
        <v>276</v>
      </c>
      <c r="D258" s="113">
        <f t="shared" si="3"/>
        <v>9.9999999999994316E-2</v>
      </c>
    </row>
    <row r="259" spans="1:4" s="105" customFormat="1" ht="15">
      <c r="A259" s="132">
        <v>130.47</v>
      </c>
      <c r="B259" s="128" t="s">
        <v>69</v>
      </c>
      <c r="C259" s="128" t="s">
        <v>277</v>
      </c>
      <c r="D259" s="113">
        <f t="shared" si="3"/>
        <v>0.39000000000001478</v>
      </c>
    </row>
    <row r="260" spans="1:4" s="105" customFormat="1" ht="15">
      <c r="A260" s="132">
        <v>130.86000000000001</v>
      </c>
      <c r="B260" s="128" t="s">
        <v>70</v>
      </c>
      <c r="C260" s="128" t="s">
        <v>273</v>
      </c>
      <c r="D260" s="113">
        <f t="shared" ref="D260:D323" si="4">A261-A260</f>
        <v>5.0999999999999943</v>
      </c>
    </row>
    <row r="261" spans="1:4" s="105" customFormat="1" ht="36">
      <c r="A261" s="106">
        <v>135.96</v>
      </c>
      <c r="B261" s="107"/>
      <c r="C261" s="108" t="s">
        <v>376</v>
      </c>
      <c r="D261" s="109">
        <f t="shared" si="4"/>
        <v>9.9999999999909051E-3</v>
      </c>
    </row>
    <row r="262" spans="1:4" s="105" customFormat="1" ht="15">
      <c r="A262" s="132">
        <v>135.97</v>
      </c>
      <c r="B262" s="128" t="s">
        <v>278</v>
      </c>
      <c r="C262" s="128" t="s">
        <v>273</v>
      </c>
      <c r="D262" s="113">
        <f t="shared" si="4"/>
        <v>0.12999999999999545</v>
      </c>
    </row>
    <row r="263" spans="1:4" s="105" customFormat="1" ht="15">
      <c r="A263" s="132">
        <v>136.1</v>
      </c>
      <c r="B263" s="128" t="s">
        <v>70</v>
      </c>
      <c r="C263" s="128" t="s">
        <v>279</v>
      </c>
      <c r="D263" s="113">
        <f t="shared" si="4"/>
        <v>7.5100000000000193</v>
      </c>
    </row>
    <row r="264" spans="1:4" s="105" customFormat="1" ht="15">
      <c r="A264" s="132">
        <v>143.61000000000001</v>
      </c>
      <c r="B264" s="134" t="s">
        <v>69</v>
      </c>
      <c r="C264" s="134" t="s">
        <v>280</v>
      </c>
      <c r="D264" s="113">
        <f t="shared" si="4"/>
        <v>1.999999999998181E-2</v>
      </c>
    </row>
    <row r="265" spans="1:4" s="105" customFormat="1" ht="15">
      <c r="A265" s="132">
        <v>143.63</v>
      </c>
      <c r="B265" s="128" t="s">
        <v>70</v>
      </c>
      <c r="C265" s="128" t="s">
        <v>281</v>
      </c>
      <c r="D265" s="113">
        <f t="shared" si="4"/>
        <v>9.0000000000003411E-2</v>
      </c>
    </row>
    <row r="266" spans="1:4" s="105" customFormat="1" ht="15">
      <c r="A266" s="132">
        <v>143.72</v>
      </c>
      <c r="B266" s="128" t="s">
        <v>70</v>
      </c>
      <c r="C266" s="128" t="s">
        <v>153</v>
      </c>
      <c r="D266" s="113">
        <f t="shared" si="4"/>
        <v>1.5900000000000034</v>
      </c>
    </row>
    <row r="267" spans="1:4" s="105" customFormat="1" ht="15">
      <c r="A267" s="132">
        <v>145.31</v>
      </c>
      <c r="B267" s="128" t="s">
        <v>70</v>
      </c>
      <c r="C267" s="128" t="s">
        <v>282</v>
      </c>
      <c r="D267" s="113">
        <f t="shared" si="4"/>
        <v>9.9999999999909051E-3</v>
      </c>
    </row>
    <row r="268" spans="1:4" s="105" customFormat="1" ht="15">
      <c r="A268" s="132">
        <v>145.32</v>
      </c>
      <c r="B268" s="128" t="s">
        <v>69</v>
      </c>
      <c r="C268" s="128" t="s">
        <v>283</v>
      </c>
      <c r="D268" s="113">
        <f t="shared" si="4"/>
        <v>1.2700000000000102</v>
      </c>
    </row>
    <row r="269" spans="1:4" s="105" customFormat="1" ht="15">
      <c r="A269" s="132">
        <v>146.59</v>
      </c>
      <c r="B269" s="128" t="s">
        <v>70</v>
      </c>
      <c r="C269" s="128" t="s">
        <v>284</v>
      </c>
      <c r="D269" s="113">
        <f t="shared" si="4"/>
        <v>3.9999999999992042E-2</v>
      </c>
    </row>
    <row r="270" spans="1:4" s="105" customFormat="1" ht="15">
      <c r="A270" s="129">
        <v>146.63</v>
      </c>
      <c r="B270" s="131"/>
      <c r="C270" s="131" t="s">
        <v>285</v>
      </c>
      <c r="D270" s="119">
        <f t="shared" si="4"/>
        <v>3.9999999999992042E-2</v>
      </c>
    </row>
    <row r="271" spans="1:4" s="105" customFormat="1" ht="15">
      <c r="A271" s="132">
        <v>146.66999999999999</v>
      </c>
      <c r="B271" s="134" t="s">
        <v>44</v>
      </c>
      <c r="C271" s="134" t="s">
        <v>286</v>
      </c>
      <c r="D271" s="113">
        <f t="shared" si="4"/>
        <v>1.2600000000000193</v>
      </c>
    </row>
    <row r="272" spans="1:4" s="105" customFormat="1" ht="15">
      <c r="A272" s="132">
        <v>147.93</v>
      </c>
      <c r="B272" s="128" t="s">
        <v>70</v>
      </c>
      <c r="C272" s="128" t="s">
        <v>286</v>
      </c>
      <c r="D272" s="113">
        <f t="shared" si="4"/>
        <v>0.69999999999998863</v>
      </c>
    </row>
    <row r="273" spans="1:4" s="105" customFormat="1" ht="15">
      <c r="A273" s="132">
        <v>148.63</v>
      </c>
      <c r="B273" s="128" t="s">
        <v>70</v>
      </c>
      <c r="C273" s="128" t="s">
        <v>183</v>
      </c>
      <c r="D273" s="113">
        <f t="shared" si="4"/>
        <v>3.9999999999992042E-2</v>
      </c>
    </row>
    <row r="274" spans="1:4" s="105" customFormat="1" ht="15">
      <c r="A274" s="132">
        <v>148.66999999999999</v>
      </c>
      <c r="B274" s="128" t="s">
        <v>69</v>
      </c>
      <c r="C274" s="128" t="s">
        <v>153</v>
      </c>
      <c r="D274" s="113">
        <f t="shared" si="4"/>
        <v>6.3400000000000034</v>
      </c>
    </row>
    <row r="275" spans="1:4" s="105" customFormat="1" ht="15">
      <c r="A275" s="132">
        <v>155.01</v>
      </c>
      <c r="B275" s="128" t="s">
        <v>70</v>
      </c>
      <c r="C275" s="128" t="s">
        <v>287</v>
      </c>
      <c r="D275" s="113">
        <f t="shared" si="4"/>
        <v>0.23000000000001819</v>
      </c>
    </row>
    <row r="276" spans="1:4" s="105" customFormat="1" ht="15">
      <c r="A276" s="132">
        <v>155.24</v>
      </c>
      <c r="B276" s="128" t="s">
        <v>44</v>
      </c>
      <c r="C276" s="128" t="s">
        <v>171</v>
      </c>
      <c r="D276" s="113">
        <f t="shared" si="4"/>
        <v>0.14999999999997726</v>
      </c>
    </row>
    <row r="277" spans="1:4" s="105" customFormat="1" ht="15">
      <c r="A277" s="132">
        <v>155.38999999999999</v>
      </c>
      <c r="B277" s="128" t="s">
        <v>70</v>
      </c>
      <c r="C277" s="128" t="s">
        <v>184</v>
      </c>
      <c r="D277" s="113">
        <f t="shared" si="4"/>
        <v>1.1000000000000227</v>
      </c>
    </row>
    <row r="278" spans="1:4" s="105" customFormat="1" ht="15">
      <c r="A278" s="132">
        <v>156.49</v>
      </c>
      <c r="B278" s="128" t="s">
        <v>69</v>
      </c>
      <c r="C278" s="128" t="s">
        <v>288</v>
      </c>
      <c r="D278" s="113">
        <f t="shared" si="4"/>
        <v>3.6299999999999955</v>
      </c>
    </row>
    <row r="279" spans="1:4" s="105" customFormat="1" ht="15">
      <c r="A279" s="132">
        <v>160.12</v>
      </c>
      <c r="B279" s="134" t="s">
        <v>69</v>
      </c>
      <c r="C279" s="134" t="s">
        <v>289</v>
      </c>
      <c r="D279" s="113">
        <f t="shared" si="4"/>
        <v>0.32999999999998408</v>
      </c>
    </row>
    <row r="280" spans="1:4" s="105" customFormat="1" ht="15">
      <c r="A280" s="132">
        <v>160.44999999999999</v>
      </c>
      <c r="B280" s="128" t="s">
        <v>44</v>
      </c>
      <c r="C280" s="128" t="s">
        <v>290</v>
      </c>
      <c r="D280" s="113">
        <f t="shared" si="4"/>
        <v>2.2700000000000102</v>
      </c>
    </row>
    <row r="281" spans="1:4" s="105" customFormat="1" ht="15">
      <c r="A281" s="132">
        <v>162.72</v>
      </c>
      <c r="B281" s="128" t="s">
        <v>44</v>
      </c>
      <c r="C281" s="128" t="s">
        <v>291</v>
      </c>
      <c r="D281" s="113">
        <f t="shared" si="4"/>
        <v>0.16999999999998749</v>
      </c>
    </row>
    <row r="282" spans="1:4" s="105" customFormat="1" ht="15">
      <c r="A282" s="132">
        <v>162.88999999999999</v>
      </c>
      <c r="B282" s="128" t="s">
        <v>70</v>
      </c>
      <c r="C282" s="128" t="s">
        <v>292</v>
      </c>
      <c r="D282" s="113">
        <f t="shared" si="4"/>
        <v>0.5700000000000216</v>
      </c>
    </row>
    <row r="283" spans="1:4" s="105" customFormat="1" ht="15">
      <c r="A283" s="132">
        <v>163.46</v>
      </c>
      <c r="B283" s="128" t="s">
        <v>44</v>
      </c>
      <c r="C283" s="128" t="s">
        <v>293</v>
      </c>
      <c r="D283" s="113">
        <f t="shared" si="4"/>
        <v>9.0000000000003411E-2</v>
      </c>
    </row>
    <row r="284" spans="1:4" s="105" customFormat="1" ht="15">
      <c r="A284" s="132">
        <v>163.55000000000001</v>
      </c>
      <c r="B284" s="128" t="s">
        <v>44</v>
      </c>
      <c r="C284" s="128" t="s">
        <v>292</v>
      </c>
      <c r="D284" s="113">
        <f t="shared" si="4"/>
        <v>0.12999999999999545</v>
      </c>
    </row>
    <row r="285" spans="1:4" s="105" customFormat="1" ht="15">
      <c r="A285" s="132">
        <v>163.68</v>
      </c>
      <c r="B285" s="128" t="s">
        <v>69</v>
      </c>
      <c r="C285" s="128" t="s">
        <v>294</v>
      </c>
      <c r="D285" s="113">
        <f t="shared" si="4"/>
        <v>7.9999999999984084E-2</v>
      </c>
    </row>
    <row r="286" spans="1:4" s="105" customFormat="1" ht="15">
      <c r="A286" s="132">
        <v>163.76</v>
      </c>
      <c r="B286" s="134" t="s">
        <v>70</v>
      </c>
      <c r="C286" s="134" t="s">
        <v>295</v>
      </c>
      <c r="D286" s="113">
        <f t="shared" si="4"/>
        <v>0.21000000000000796</v>
      </c>
    </row>
    <row r="287" spans="1:4" s="105" customFormat="1" ht="15">
      <c r="A287" s="132">
        <v>163.97</v>
      </c>
      <c r="B287" s="128" t="s">
        <v>44</v>
      </c>
      <c r="C287" s="128" t="s">
        <v>296</v>
      </c>
      <c r="D287" s="113">
        <f t="shared" si="4"/>
        <v>0.33000000000001251</v>
      </c>
    </row>
    <row r="288" spans="1:4" s="105" customFormat="1" ht="15">
      <c r="A288" s="132">
        <v>164.3</v>
      </c>
      <c r="B288" s="128" t="s">
        <v>69</v>
      </c>
      <c r="C288" s="128" t="s">
        <v>295</v>
      </c>
      <c r="D288" s="113">
        <f t="shared" si="4"/>
        <v>0.14999999999997726</v>
      </c>
    </row>
    <row r="289" spans="1:4" s="105" customFormat="1" ht="15">
      <c r="A289" s="132">
        <v>164.45</v>
      </c>
      <c r="B289" s="128" t="s">
        <v>69</v>
      </c>
      <c r="C289" s="128" t="s">
        <v>297</v>
      </c>
      <c r="D289" s="113">
        <f t="shared" si="4"/>
        <v>0.55000000000001137</v>
      </c>
    </row>
    <row r="290" spans="1:4" s="105" customFormat="1" ht="15">
      <c r="A290" s="132">
        <v>165</v>
      </c>
      <c r="B290" s="128" t="s">
        <v>70</v>
      </c>
      <c r="C290" s="128" t="s">
        <v>298</v>
      </c>
      <c r="D290" s="113">
        <f t="shared" si="4"/>
        <v>0.25999999999999091</v>
      </c>
    </row>
    <row r="291" spans="1:4" s="105" customFormat="1" ht="15">
      <c r="A291" s="132">
        <v>165.26</v>
      </c>
      <c r="B291" s="128" t="s">
        <v>69</v>
      </c>
      <c r="C291" s="128" t="s">
        <v>299</v>
      </c>
      <c r="D291" s="113">
        <f t="shared" si="4"/>
        <v>9.0000000000003411E-2</v>
      </c>
    </row>
    <row r="292" spans="1:4" s="105" customFormat="1" ht="15">
      <c r="A292" s="132">
        <v>165.35</v>
      </c>
      <c r="B292" s="128" t="s">
        <v>69</v>
      </c>
      <c r="C292" s="128" t="s">
        <v>300</v>
      </c>
      <c r="D292" s="113">
        <f t="shared" si="4"/>
        <v>8.0000000000012506E-2</v>
      </c>
    </row>
    <row r="293" spans="1:4" s="105" customFormat="1" ht="24">
      <c r="A293" s="106">
        <v>165.43</v>
      </c>
      <c r="B293" s="107"/>
      <c r="C293" s="108" t="s">
        <v>301</v>
      </c>
      <c r="D293" s="109">
        <f t="shared" si="4"/>
        <v>9.9999999999909051E-3</v>
      </c>
    </row>
    <row r="294" spans="1:4" s="105" customFormat="1" ht="15">
      <c r="A294" s="132">
        <v>165.44</v>
      </c>
      <c r="B294" s="128" t="s">
        <v>75</v>
      </c>
      <c r="C294" s="128" t="s">
        <v>302</v>
      </c>
      <c r="D294" s="113">
        <f t="shared" si="4"/>
        <v>9.0000000000003411E-2</v>
      </c>
    </row>
    <row r="295" spans="1:4" s="105" customFormat="1" ht="15">
      <c r="A295" s="132">
        <v>165.53</v>
      </c>
      <c r="B295" s="128" t="s">
        <v>69</v>
      </c>
      <c r="C295" s="128" t="s">
        <v>299</v>
      </c>
      <c r="D295" s="113">
        <f t="shared" si="4"/>
        <v>0.21000000000000796</v>
      </c>
    </row>
    <row r="296" spans="1:4" s="105" customFormat="1" ht="15">
      <c r="A296" s="132">
        <v>165.74</v>
      </c>
      <c r="B296" s="128" t="s">
        <v>70</v>
      </c>
      <c r="C296" s="128" t="s">
        <v>303</v>
      </c>
      <c r="D296" s="113">
        <f t="shared" si="4"/>
        <v>0.23999999999998067</v>
      </c>
    </row>
    <row r="297" spans="1:4" s="105" customFormat="1" ht="15">
      <c r="A297" s="132">
        <v>165.98</v>
      </c>
      <c r="B297" s="128" t="s">
        <v>69</v>
      </c>
      <c r="C297" s="128" t="s">
        <v>304</v>
      </c>
      <c r="D297" s="113">
        <f t="shared" si="4"/>
        <v>0.25</v>
      </c>
    </row>
    <row r="298" spans="1:4" s="105" customFormat="1" ht="15">
      <c r="A298" s="132">
        <v>166.23</v>
      </c>
      <c r="B298" s="128" t="s">
        <v>69</v>
      </c>
      <c r="C298" s="128" t="s">
        <v>305</v>
      </c>
      <c r="D298" s="113">
        <f t="shared" si="4"/>
        <v>2.1899999999999977</v>
      </c>
    </row>
    <row r="299" spans="1:4" s="105" customFormat="1" ht="15">
      <c r="A299" s="132">
        <v>168.42</v>
      </c>
      <c r="B299" s="128" t="s">
        <v>44</v>
      </c>
      <c r="C299" s="128" t="s">
        <v>306</v>
      </c>
      <c r="D299" s="113">
        <f t="shared" si="4"/>
        <v>1</v>
      </c>
    </row>
    <row r="300" spans="1:4" s="105" customFormat="1" ht="15">
      <c r="A300" s="132">
        <v>169.42</v>
      </c>
      <c r="B300" s="134" t="s">
        <v>44</v>
      </c>
      <c r="C300" s="134" t="s">
        <v>269</v>
      </c>
      <c r="D300" s="113">
        <f t="shared" si="4"/>
        <v>0.21000000000000796</v>
      </c>
    </row>
    <row r="301" spans="1:4" s="105" customFormat="1" ht="15">
      <c r="A301" s="132">
        <v>169.63</v>
      </c>
      <c r="B301" s="128" t="s">
        <v>70</v>
      </c>
      <c r="C301" s="128" t="s">
        <v>307</v>
      </c>
      <c r="D301" s="113">
        <f t="shared" si="4"/>
        <v>0.89000000000001478</v>
      </c>
    </row>
    <row r="302" spans="1:4" s="105" customFormat="1" ht="15">
      <c r="A302" s="132">
        <v>170.52</v>
      </c>
      <c r="B302" s="128" t="s">
        <v>70</v>
      </c>
      <c r="C302" s="128" t="s">
        <v>308</v>
      </c>
      <c r="D302" s="113">
        <f t="shared" si="4"/>
        <v>0.23999999999998067</v>
      </c>
    </row>
    <row r="303" spans="1:4" s="105" customFormat="1" ht="15">
      <c r="A303" s="132">
        <v>170.76</v>
      </c>
      <c r="B303" s="128" t="s">
        <v>69</v>
      </c>
      <c r="C303" s="128" t="s">
        <v>309</v>
      </c>
      <c r="D303" s="113">
        <f t="shared" si="4"/>
        <v>0.43999999999999773</v>
      </c>
    </row>
    <row r="304" spans="1:4" s="105" customFormat="1" ht="15">
      <c r="A304" s="132">
        <v>171.2</v>
      </c>
      <c r="B304" s="128" t="s">
        <v>70</v>
      </c>
      <c r="C304" s="128" t="s">
        <v>310</v>
      </c>
      <c r="D304" s="113">
        <f t="shared" si="4"/>
        <v>1.0000000000019327E-2</v>
      </c>
    </row>
    <row r="305" spans="1:4" s="105" customFormat="1" ht="15">
      <c r="A305" s="132">
        <v>171.21</v>
      </c>
      <c r="B305" s="128" t="s">
        <v>69</v>
      </c>
      <c r="C305" s="128" t="s">
        <v>116</v>
      </c>
      <c r="D305" s="113">
        <f t="shared" si="4"/>
        <v>0.12000000000000455</v>
      </c>
    </row>
    <row r="306" spans="1:4" s="105" customFormat="1" ht="15">
      <c r="A306" s="132">
        <v>171.33</v>
      </c>
      <c r="B306" s="128" t="s">
        <v>70</v>
      </c>
      <c r="C306" s="128" t="s">
        <v>311</v>
      </c>
      <c r="D306" s="113">
        <f t="shared" si="4"/>
        <v>0.13999999999998636</v>
      </c>
    </row>
    <row r="307" spans="1:4" s="105" customFormat="1" ht="15">
      <c r="A307" s="132">
        <v>171.47</v>
      </c>
      <c r="B307" s="128" t="s">
        <v>44</v>
      </c>
      <c r="C307" s="128" t="s">
        <v>312</v>
      </c>
      <c r="D307" s="113">
        <f t="shared" si="4"/>
        <v>0.19999999999998863</v>
      </c>
    </row>
    <row r="308" spans="1:4" s="105" customFormat="1" ht="15">
      <c r="A308" s="132">
        <v>171.67</v>
      </c>
      <c r="B308" s="128" t="s">
        <v>70</v>
      </c>
      <c r="C308" s="128" t="s">
        <v>313</v>
      </c>
      <c r="D308" s="113">
        <f t="shared" si="4"/>
        <v>0.20000000000001705</v>
      </c>
    </row>
    <row r="309" spans="1:4" s="105" customFormat="1" ht="15">
      <c r="A309" s="132">
        <v>171.87</v>
      </c>
      <c r="B309" s="128" t="s">
        <v>69</v>
      </c>
      <c r="C309" s="128" t="s">
        <v>314</v>
      </c>
      <c r="D309" s="113">
        <f t="shared" si="4"/>
        <v>0.75999999999999091</v>
      </c>
    </row>
    <row r="310" spans="1:4" s="105" customFormat="1" ht="15">
      <c r="A310" s="132">
        <v>172.63</v>
      </c>
      <c r="B310" s="128" t="s">
        <v>70</v>
      </c>
      <c r="C310" s="128" t="s">
        <v>315</v>
      </c>
      <c r="D310" s="113">
        <f t="shared" si="4"/>
        <v>0.43000000000000682</v>
      </c>
    </row>
    <row r="311" spans="1:4" s="105" customFormat="1" ht="15">
      <c r="A311" s="132">
        <v>173.06</v>
      </c>
      <c r="B311" s="128" t="s">
        <v>44</v>
      </c>
      <c r="C311" s="128" t="s">
        <v>316</v>
      </c>
      <c r="D311" s="113">
        <f t="shared" si="4"/>
        <v>0.50999999999999091</v>
      </c>
    </row>
    <row r="312" spans="1:4" s="105" customFormat="1" ht="15">
      <c r="A312" s="132">
        <v>173.57</v>
      </c>
      <c r="B312" s="134" t="s">
        <v>70</v>
      </c>
      <c r="C312" s="134" t="s">
        <v>317</v>
      </c>
      <c r="D312" s="113">
        <f t="shared" si="4"/>
        <v>0.21000000000000796</v>
      </c>
    </row>
    <row r="313" spans="1:4" s="105" customFormat="1" ht="15">
      <c r="A313" s="132">
        <v>173.78</v>
      </c>
      <c r="B313" s="128" t="s">
        <v>69</v>
      </c>
      <c r="C313" s="128" t="s">
        <v>318</v>
      </c>
      <c r="D313" s="113">
        <f t="shared" si="4"/>
        <v>0.75999999999999091</v>
      </c>
    </row>
    <row r="314" spans="1:4" s="105" customFormat="1" ht="15">
      <c r="A314" s="132">
        <v>174.54</v>
      </c>
      <c r="B314" s="128" t="s">
        <v>70</v>
      </c>
      <c r="C314" s="128" t="s">
        <v>319</v>
      </c>
      <c r="D314" s="113">
        <f t="shared" si="4"/>
        <v>0.29000000000002046</v>
      </c>
    </row>
    <row r="315" spans="1:4" s="105" customFormat="1" ht="15">
      <c r="A315" s="132">
        <v>174.83</v>
      </c>
      <c r="B315" s="128" t="s">
        <v>69</v>
      </c>
      <c r="C315" s="128" t="s">
        <v>320</v>
      </c>
      <c r="D315" s="113">
        <f t="shared" si="4"/>
        <v>9.9999999999909051E-3</v>
      </c>
    </row>
    <row r="316" spans="1:4" s="105" customFormat="1" ht="24">
      <c r="A316" s="106">
        <v>174.84</v>
      </c>
      <c r="B316" s="107"/>
      <c r="C316" s="108" t="s">
        <v>321</v>
      </c>
      <c r="D316" s="109">
        <f t="shared" si="4"/>
        <v>0</v>
      </c>
    </row>
    <row r="317" spans="1:4" ht="15">
      <c r="A317" s="132">
        <v>174.84</v>
      </c>
      <c r="B317" s="128" t="s">
        <v>44</v>
      </c>
      <c r="C317" s="128" t="s">
        <v>320</v>
      </c>
      <c r="D317" s="113">
        <f t="shared" si="4"/>
        <v>0.19999999999998863</v>
      </c>
    </row>
    <row r="318" spans="1:4" ht="15">
      <c r="A318" s="132">
        <v>175.04</v>
      </c>
      <c r="B318" s="128" t="s">
        <v>69</v>
      </c>
      <c r="C318" s="128" t="s">
        <v>142</v>
      </c>
      <c r="D318" s="113">
        <f t="shared" si="4"/>
        <v>8.0000000000012506E-2</v>
      </c>
    </row>
    <row r="319" spans="1:4" ht="15">
      <c r="A319" s="132">
        <v>175.12</v>
      </c>
      <c r="B319" s="128" t="s">
        <v>70</v>
      </c>
      <c r="C319" s="128" t="s">
        <v>322</v>
      </c>
      <c r="D319" s="113">
        <f t="shared" si="4"/>
        <v>0.62000000000000455</v>
      </c>
    </row>
    <row r="320" spans="1:4" ht="15">
      <c r="A320" s="132">
        <v>175.74</v>
      </c>
      <c r="B320" s="128" t="s">
        <v>70</v>
      </c>
      <c r="C320" s="128" t="s">
        <v>323</v>
      </c>
      <c r="D320" s="113">
        <f t="shared" si="4"/>
        <v>6.9999999999993179E-2</v>
      </c>
    </row>
    <row r="321" spans="1:4" ht="15">
      <c r="A321" s="132">
        <v>175.81</v>
      </c>
      <c r="B321" s="128" t="s">
        <v>44</v>
      </c>
      <c r="C321" s="128" t="s">
        <v>324</v>
      </c>
      <c r="D321" s="113">
        <f t="shared" si="4"/>
        <v>9.0000000000003411E-2</v>
      </c>
    </row>
    <row r="322" spans="1:4" ht="15">
      <c r="A322" s="132">
        <v>175.9</v>
      </c>
      <c r="B322" s="128" t="s">
        <v>69</v>
      </c>
      <c r="C322" s="128" t="s">
        <v>325</v>
      </c>
      <c r="D322" s="113">
        <f t="shared" si="4"/>
        <v>0.48999999999998067</v>
      </c>
    </row>
    <row r="323" spans="1:4" ht="15">
      <c r="A323" s="132">
        <v>176.39</v>
      </c>
      <c r="B323" s="128" t="s">
        <v>69</v>
      </c>
      <c r="C323" s="128" t="s">
        <v>131</v>
      </c>
      <c r="D323" s="113">
        <f t="shared" si="4"/>
        <v>1.0900000000000034</v>
      </c>
    </row>
    <row r="324" spans="1:4" ht="15">
      <c r="A324" s="132">
        <v>177.48</v>
      </c>
      <c r="B324" s="134" t="s">
        <v>70</v>
      </c>
      <c r="C324" s="134" t="s">
        <v>252</v>
      </c>
      <c r="D324" s="113">
        <f t="shared" ref="D324:D350" si="5">A325-A324</f>
        <v>3.6899999999999977</v>
      </c>
    </row>
    <row r="325" spans="1:4" ht="15">
      <c r="A325" s="132">
        <v>181.17</v>
      </c>
      <c r="B325" s="128" t="s">
        <v>44</v>
      </c>
      <c r="C325" s="128" t="s">
        <v>252</v>
      </c>
      <c r="D325" s="113">
        <f t="shared" si="5"/>
        <v>0.21999999999999886</v>
      </c>
    </row>
    <row r="326" spans="1:4" ht="15">
      <c r="A326" s="132">
        <v>181.39</v>
      </c>
      <c r="B326" s="128" t="s">
        <v>69</v>
      </c>
      <c r="C326" s="128" t="s">
        <v>130</v>
      </c>
      <c r="D326" s="113">
        <f t="shared" si="5"/>
        <v>2.4700000000000273</v>
      </c>
    </row>
    <row r="327" spans="1:4" ht="15">
      <c r="A327" s="132">
        <v>183.86</v>
      </c>
      <c r="B327" s="128" t="s">
        <v>70</v>
      </c>
      <c r="C327" s="128" t="s">
        <v>130</v>
      </c>
      <c r="D327" s="113">
        <f t="shared" si="5"/>
        <v>2.9999999999972715E-2</v>
      </c>
    </row>
    <row r="328" spans="1:4" ht="15">
      <c r="A328" s="132">
        <v>183.89</v>
      </c>
      <c r="B328" s="128" t="s">
        <v>69</v>
      </c>
      <c r="C328" s="128" t="s">
        <v>224</v>
      </c>
      <c r="D328" s="113">
        <f t="shared" si="5"/>
        <v>0.37000000000000455</v>
      </c>
    </row>
    <row r="329" spans="1:4" ht="15">
      <c r="A329" s="132">
        <v>184.26</v>
      </c>
      <c r="B329" s="128" t="s">
        <v>70</v>
      </c>
      <c r="C329" s="128" t="s">
        <v>130</v>
      </c>
      <c r="D329" s="113">
        <f t="shared" si="5"/>
        <v>0.39000000000001478</v>
      </c>
    </row>
    <row r="330" spans="1:4" ht="15">
      <c r="A330" s="132">
        <v>184.65</v>
      </c>
      <c r="B330" s="128" t="s">
        <v>44</v>
      </c>
      <c r="C330" s="128" t="s">
        <v>252</v>
      </c>
      <c r="D330" s="113">
        <f t="shared" si="5"/>
        <v>5.25</v>
      </c>
    </row>
    <row r="331" spans="1:4" ht="15">
      <c r="A331" s="132">
        <v>189.9</v>
      </c>
      <c r="B331" s="128" t="s">
        <v>69</v>
      </c>
      <c r="C331" s="128" t="s">
        <v>252</v>
      </c>
      <c r="D331" s="113">
        <f t="shared" si="5"/>
        <v>1.7699999999999818</v>
      </c>
    </row>
    <row r="332" spans="1:4" ht="15">
      <c r="A332" s="132">
        <v>191.67</v>
      </c>
      <c r="B332" s="128" t="s">
        <v>70</v>
      </c>
      <c r="C332" s="128" t="s">
        <v>326</v>
      </c>
      <c r="D332" s="113">
        <f t="shared" si="5"/>
        <v>0.15000000000000568</v>
      </c>
    </row>
    <row r="333" spans="1:4" ht="15">
      <c r="A333" s="132">
        <v>191.82</v>
      </c>
      <c r="B333" s="128" t="s">
        <v>69</v>
      </c>
      <c r="C333" s="128" t="s">
        <v>130</v>
      </c>
      <c r="D333" s="113">
        <f t="shared" si="5"/>
        <v>4.1500000000000057</v>
      </c>
    </row>
    <row r="334" spans="1:4" ht="15">
      <c r="A334" s="132">
        <v>195.97</v>
      </c>
      <c r="B334" s="128" t="s">
        <v>69</v>
      </c>
      <c r="C334" s="222" t="s">
        <v>417</v>
      </c>
      <c r="D334" s="113">
        <f t="shared" si="5"/>
        <v>0.28999999999999204</v>
      </c>
    </row>
    <row r="335" spans="1:4" ht="15">
      <c r="A335" s="132">
        <v>196.26</v>
      </c>
      <c r="B335" s="128" t="s">
        <v>70</v>
      </c>
      <c r="C335" s="222" t="s">
        <v>418</v>
      </c>
      <c r="D335" s="113">
        <f t="shared" si="5"/>
        <v>9.0000000000003411E-2</v>
      </c>
    </row>
    <row r="336" spans="1:4" ht="15">
      <c r="A336" s="132">
        <v>196.35</v>
      </c>
      <c r="B336" s="134" t="s">
        <v>44</v>
      </c>
      <c r="C336" s="134" t="s">
        <v>327</v>
      </c>
      <c r="D336" s="113">
        <f t="shared" si="5"/>
        <v>0.51000000000001933</v>
      </c>
    </row>
    <row r="337" spans="1:6" ht="15">
      <c r="A337" s="132">
        <v>196.86</v>
      </c>
      <c r="B337" s="128" t="s">
        <v>70</v>
      </c>
      <c r="C337" s="128" t="s">
        <v>111</v>
      </c>
      <c r="D337" s="113">
        <f t="shared" si="5"/>
        <v>0.57999999999998408</v>
      </c>
    </row>
    <row r="338" spans="1:6" ht="15">
      <c r="A338" s="132">
        <v>197.44</v>
      </c>
      <c r="B338" s="128" t="s">
        <v>44</v>
      </c>
      <c r="C338" s="128" t="s">
        <v>111</v>
      </c>
      <c r="D338" s="113">
        <f t="shared" si="5"/>
        <v>0.34999999999999432</v>
      </c>
    </row>
    <row r="339" spans="1:6" ht="15">
      <c r="A339" s="132">
        <v>197.79</v>
      </c>
      <c r="B339" s="128" t="s">
        <v>69</v>
      </c>
      <c r="C339" s="128" t="s">
        <v>328</v>
      </c>
      <c r="D339" s="113">
        <f t="shared" si="5"/>
        <v>0.61000000000001364</v>
      </c>
    </row>
    <row r="340" spans="1:6" ht="15">
      <c r="A340" s="132">
        <v>198.4</v>
      </c>
      <c r="B340" s="128" t="s">
        <v>69</v>
      </c>
      <c r="C340" s="222" t="s">
        <v>415</v>
      </c>
      <c r="D340" s="113">
        <f t="shared" si="5"/>
        <v>-3.9999999999992042E-2</v>
      </c>
    </row>
    <row r="341" spans="1:6" ht="15">
      <c r="A341" s="132">
        <v>198.36</v>
      </c>
      <c r="B341" s="222" t="s">
        <v>69</v>
      </c>
      <c r="C341" s="128" t="s">
        <v>247</v>
      </c>
      <c r="D341" s="113">
        <f t="shared" si="5"/>
        <v>9.9999999999909051E-3</v>
      </c>
    </row>
    <row r="342" spans="1:6" ht="24">
      <c r="A342" s="106">
        <v>198.37</v>
      </c>
      <c r="B342" s="107"/>
      <c r="C342" s="108" t="s">
        <v>407</v>
      </c>
      <c r="D342" s="109">
        <f>A343-A342</f>
        <v>3.0000000000001137E-2</v>
      </c>
    </row>
    <row r="343" spans="1:6" ht="15">
      <c r="A343" s="140">
        <v>198.4</v>
      </c>
      <c r="B343" s="141" t="s">
        <v>75</v>
      </c>
      <c r="C343" s="223" t="s">
        <v>416</v>
      </c>
      <c r="D343" s="142">
        <f>A344-A343</f>
        <v>9.9999999999994316E-2</v>
      </c>
    </row>
    <row r="344" spans="1:6" ht="15">
      <c r="A344" s="132">
        <v>198.5</v>
      </c>
      <c r="B344" s="128" t="s">
        <v>69</v>
      </c>
      <c r="C344" s="128" t="s">
        <v>108</v>
      </c>
      <c r="D344" s="142">
        <f t="shared" ref="D344:D350" si="6">A345-A344</f>
        <v>1.6099999999999852</v>
      </c>
    </row>
    <row r="345" spans="1:6" ht="15">
      <c r="A345" s="132">
        <v>200.10999999999999</v>
      </c>
      <c r="B345" s="128" t="s">
        <v>70</v>
      </c>
      <c r="C345" s="128" t="s">
        <v>329</v>
      </c>
      <c r="D345" s="142">
        <f t="shared" si="6"/>
        <v>2.0000000000010232E-2</v>
      </c>
      <c r="F345" s="145"/>
    </row>
    <row r="346" spans="1:6" ht="15">
      <c r="A346" s="132">
        <v>200.13</v>
      </c>
      <c r="B346" s="128" t="s">
        <v>70</v>
      </c>
      <c r="C346" s="128" t="s">
        <v>330</v>
      </c>
      <c r="D346" s="142">
        <f t="shared" si="6"/>
        <v>0.31999999999999318</v>
      </c>
      <c r="F346" s="145"/>
    </row>
    <row r="347" spans="1:6" ht="15">
      <c r="A347" s="132">
        <v>200.45</v>
      </c>
      <c r="B347" s="128" t="s">
        <v>70</v>
      </c>
      <c r="C347" s="128" t="s">
        <v>331</v>
      </c>
      <c r="D347" s="142">
        <f t="shared" si="6"/>
        <v>0.43999999999999773</v>
      </c>
      <c r="F347" s="145"/>
    </row>
    <row r="348" spans="1:6" ht="15">
      <c r="A348" s="132">
        <v>200.89</v>
      </c>
      <c r="B348" s="134" t="s">
        <v>70</v>
      </c>
      <c r="C348" s="134" t="s">
        <v>83</v>
      </c>
      <c r="D348" s="142">
        <f t="shared" si="6"/>
        <v>0.34000000000000341</v>
      </c>
      <c r="F348" s="145"/>
    </row>
    <row r="349" spans="1:6" ht="15">
      <c r="A349" s="132">
        <v>201.23</v>
      </c>
      <c r="B349" s="128" t="s">
        <v>44</v>
      </c>
      <c r="C349" s="128" t="s">
        <v>83</v>
      </c>
      <c r="D349" s="142">
        <f t="shared" si="6"/>
        <v>0.36000000000001364</v>
      </c>
      <c r="F349" s="145"/>
    </row>
    <row r="350" spans="1:6" ht="15">
      <c r="A350" s="132">
        <v>201.59</v>
      </c>
      <c r="B350" s="128" t="s">
        <v>69</v>
      </c>
      <c r="C350" s="128" t="s">
        <v>332</v>
      </c>
      <c r="D350" s="142">
        <f t="shared" si="6"/>
        <v>0.10999999999998522</v>
      </c>
      <c r="F350" s="145"/>
    </row>
    <row r="351" spans="1:6" ht="24">
      <c r="A351" s="106">
        <v>201.7</v>
      </c>
      <c r="B351" s="107"/>
      <c r="C351" s="108" t="s">
        <v>81</v>
      </c>
      <c r="D351" s="109"/>
      <c r="F351" s="145"/>
    </row>
    <row r="352" spans="1:6" ht="15">
      <c r="A352" s="219"/>
      <c r="B352" s="220"/>
      <c r="C352" s="220"/>
      <c r="D352" s="221"/>
    </row>
    <row r="353" spans="1:4" ht="15">
      <c r="A353" s="213" t="s">
        <v>231</v>
      </c>
      <c r="B353" s="214"/>
      <c r="C353" s="214"/>
      <c r="D353" s="215"/>
    </row>
    <row r="354" spans="1:4" ht="16" thickBot="1">
      <c r="A354" s="216"/>
      <c r="B354" s="217"/>
      <c r="C354" s="217"/>
      <c r="D354" s="218"/>
    </row>
    <row r="355" spans="1:4">
      <c r="A355" s="143"/>
      <c r="B355" s="144"/>
      <c r="C355" s="144"/>
      <c r="D355" s="143"/>
    </row>
  </sheetData>
  <mergeCells count="3">
    <mergeCell ref="A353:D353"/>
    <mergeCell ref="A354:D354"/>
    <mergeCell ref="A352:D352"/>
  </mergeCells>
  <phoneticPr fontId="23" type="noConversion"/>
  <printOptions gridLines="1"/>
  <pageMargins left="0.35000000000000003" right="3.6555555555555554" top="0.44444444444444442" bottom="0.46666666666666667" header="0.2" footer="0.2"/>
  <pageSetup orientation="portrait" horizontalDpi="4294967292" verticalDpi="4294967292"/>
  <headerFooter>
    <oddHeader>&amp;L&amp;K000000Event 4845&amp;C&amp;K000000Remembrance Day&amp;R&amp;K00000011 Nov 20</oddHeader>
    <oddFooter>&amp;L&amp;K000000Rev: 3 Nov 20&amp;R&amp;K000000Page &amp;P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4" sqref="B4:R9"/>
    </sheetView>
  </sheetViews>
  <sheetFormatPr baseColWidth="10" defaultColWidth="8.83203125" defaultRowHeight="12" x14ac:dyDescent="0"/>
  <cols>
    <col min="1" max="1" width="3" customWidth="1"/>
    <col min="2" max="2" width="14.5" customWidth="1"/>
    <col min="3" max="3" width="15" customWidth="1"/>
    <col min="4" max="4" width="6.1640625" bestFit="1" customWidth="1"/>
    <col min="5" max="6" width="30.6640625" customWidth="1"/>
    <col min="7" max="7" width="15.6640625" customWidth="1"/>
    <col min="8" max="8" width="9" bestFit="1" customWidth="1"/>
    <col min="9" max="9" width="8" bestFit="1" customWidth="1"/>
    <col min="10" max="10" width="11.83203125" bestFit="1" customWidth="1"/>
    <col min="11" max="11" width="16" bestFit="1" customWidth="1"/>
    <col min="12" max="12" width="15.5" bestFit="1" customWidth="1"/>
    <col min="13" max="13" width="13.33203125" bestFit="1" customWidth="1"/>
    <col min="14" max="14" width="34.1640625" customWidth="1"/>
    <col min="15" max="16" width="9.5" customWidth="1"/>
    <col min="17" max="17" width="9" customWidth="1"/>
  </cols>
  <sheetData>
    <row r="1" spans="1:18" ht="25" thickBot="1">
      <c r="A1" s="77"/>
      <c r="B1" s="78" t="s">
        <v>40</v>
      </c>
      <c r="C1" s="78" t="s">
        <v>41</v>
      </c>
      <c r="D1" s="78" t="s">
        <v>42</v>
      </c>
      <c r="E1" s="78" t="s">
        <v>43</v>
      </c>
      <c r="F1" s="78" t="s">
        <v>64</v>
      </c>
      <c r="G1" s="78" t="s">
        <v>19</v>
      </c>
      <c r="H1" s="79" t="s">
        <v>20</v>
      </c>
      <c r="I1" s="78" t="s">
        <v>21</v>
      </c>
      <c r="J1" s="78" t="s">
        <v>22</v>
      </c>
      <c r="K1" s="53" t="s">
        <v>65</v>
      </c>
      <c r="L1" s="53" t="s">
        <v>66</v>
      </c>
      <c r="M1" s="54" t="s">
        <v>67</v>
      </c>
      <c r="N1" s="80" t="s">
        <v>24</v>
      </c>
      <c r="O1" s="74" t="s">
        <v>71</v>
      </c>
      <c r="P1" s="74" t="s">
        <v>72</v>
      </c>
      <c r="Q1" s="74" t="s">
        <v>73</v>
      </c>
      <c r="R1" s="74" t="s">
        <v>74</v>
      </c>
    </row>
    <row r="2" spans="1:18">
      <c r="A2" s="77"/>
      <c r="B2" s="81" t="str">
        <f t="shared" ref="B2:N2" si="0">IF(ISBLANK(B3),"",B3)</f>
        <v/>
      </c>
      <c r="C2" s="81" t="str">
        <f t="shared" si="0"/>
        <v/>
      </c>
      <c r="D2" s="81" t="str">
        <f t="shared" si="0"/>
        <v/>
      </c>
      <c r="E2" s="81" t="str">
        <f t="shared" si="0"/>
        <v/>
      </c>
      <c r="F2" s="81" t="str">
        <f t="shared" si="0"/>
        <v/>
      </c>
      <c r="G2" s="81" t="str">
        <f t="shared" si="0"/>
        <v/>
      </c>
      <c r="H2" s="81" t="str">
        <f t="shared" si="0"/>
        <v/>
      </c>
      <c r="I2" s="81" t="str">
        <f t="shared" si="0"/>
        <v/>
      </c>
      <c r="J2" s="81" t="str">
        <f t="shared" si="0"/>
        <v/>
      </c>
      <c r="K2" s="82" t="str">
        <f t="shared" si="0"/>
        <v/>
      </c>
      <c r="L2" s="82" t="str">
        <f t="shared" si="0"/>
        <v/>
      </c>
      <c r="M2" s="82" t="str">
        <f t="shared" si="0"/>
        <v/>
      </c>
      <c r="N2" s="81" t="str">
        <f t="shared" si="0"/>
        <v/>
      </c>
      <c r="O2" s="83"/>
      <c r="P2" s="84"/>
      <c r="Q2" s="83"/>
      <c r="R2" s="83"/>
    </row>
    <row r="3" spans="1:18">
      <c r="A3">
        <v>1</v>
      </c>
      <c r="B3" s="60"/>
      <c r="C3" s="60"/>
      <c r="D3" s="60"/>
      <c r="E3" s="60"/>
      <c r="F3" s="60"/>
      <c r="G3" s="60"/>
      <c r="H3" s="60"/>
      <c r="I3" s="60"/>
      <c r="J3" s="60"/>
      <c r="K3" s="61"/>
      <c r="L3" s="61"/>
      <c r="M3" s="61"/>
      <c r="N3" s="60"/>
      <c r="O3" s="75"/>
      <c r="P3" s="75"/>
      <c r="Q3" s="75"/>
      <c r="R3" s="76"/>
    </row>
    <row r="4" spans="1:18">
      <c r="A4" s="59"/>
      <c r="B4" s="91"/>
      <c r="C4" s="91"/>
      <c r="D4" s="60"/>
      <c r="E4" s="91"/>
      <c r="F4" s="60"/>
      <c r="G4" s="91"/>
      <c r="H4" s="91"/>
      <c r="I4" s="91"/>
      <c r="J4" s="91"/>
      <c r="K4" s="61"/>
      <c r="L4" s="61"/>
      <c r="M4" s="61"/>
      <c r="N4" s="92"/>
      <c r="O4" s="93"/>
      <c r="P4" s="75"/>
      <c r="Q4" s="76"/>
      <c r="R4" s="93"/>
    </row>
    <row r="5" spans="1:18">
      <c r="A5" s="59"/>
      <c r="B5" s="91"/>
      <c r="C5" s="91"/>
      <c r="D5" s="60"/>
      <c r="E5" s="60"/>
      <c r="F5" s="60"/>
      <c r="G5" s="91"/>
      <c r="H5" s="91"/>
      <c r="I5" s="91"/>
      <c r="J5" s="60"/>
      <c r="K5" s="61"/>
      <c r="L5" s="61"/>
      <c r="M5" s="61"/>
      <c r="N5" s="60"/>
      <c r="O5" s="93"/>
      <c r="P5" s="76"/>
      <c r="Q5" s="76"/>
      <c r="R5" s="93"/>
    </row>
    <row r="6" spans="1:18">
      <c r="A6" s="59"/>
      <c r="B6" s="91"/>
      <c r="C6" s="91"/>
      <c r="D6" s="60"/>
      <c r="E6" s="60"/>
      <c r="F6" s="60"/>
      <c r="G6" s="60"/>
      <c r="H6" s="91"/>
      <c r="I6" s="91"/>
      <c r="J6" s="60"/>
      <c r="K6" s="61"/>
      <c r="L6" s="61"/>
      <c r="M6" s="61"/>
      <c r="N6" s="60"/>
      <c r="O6" s="93"/>
      <c r="P6" s="76"/>
      <c r="Q6" s="76"/>
      <c r="R6" s="93"/>
    </row>
    <row r="7" spans="1:18">
      <c r="B7" s="91"/>
      <c r="C7" s="91"/>
      <c r="D7" s="60"/>
      <c r="E7" s="91"/>
      <c r="F7" s="60"/>
      <c r="G7" s="91"/>
      <c r="H7" s="91"/>
      <c r="I7" s="91"/>
      <c r="J7" s="91"/>
      <c r="K7" s="61"/>
      <c r="L7" s="61"/>
      <c r="M7" s="61"/>
      <c r="N7" s="92"/>
      <c r="O7" s="75"/>
      <c r="P7" s="76"/>
      <c r="Q7" s="75"/>
      <c r="R7" s="93"/>
    </row>
    <row r="8" spans="1:18">
      <c r="A8" s="59"/>
      <c r="B8" s="91"/>
      <c r="C8" s="91"/>
      <c r="D8" s="60"/>
      <c r="E8" s="91"/>
      <c r="F8" s="91"/>
      <c r="G8" s="91"/>
      <c r="H8" s="91"/>
      <c r="I8" s="91"/>
      <c r="J8" s="91"/>
      <c r="K8" s="61"/>
      <c r="L8" s="61"/>
      <c r="M8" s="61"/>
      <c r="N8" s="92"/>
      <c r="O8" s="93"/>
      <c r="P8" s="75"/>
      <c r="Q8" s="76"/>
      <c r="R8" s="93"/>
    </row>
    <row r="9" spans="1:18">
      <c r="B9" s="91"/>
      <c r="C9" s="91"/>
      <c r="D9" s="60"/>
      <c r="E9" s="91"/>
      <c r="F9" s="60"/>
      <c r="G9" s="91"/>
      <c r="H9" s="91"/>
      <c r="I9" s="91"/>
      <c r="J9" s="91"/>
      <c r="K9" s="61"/>
      <c r="L9" s="61"/>
      <c r="M9" s="61"/>
      <c r="N9" s="92"/>
      <c r="O9" s="75"/>
      <c r="P9" s="75"/>
      <c r="Q9" s="75"/>
      <c r="R9" s="93"/>
    </row>
    <row r="10" spans="1:18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1"/>
      <c r="L10" s="61"/>
      <c r="M10" s="61"/>
      <c r="N10" s="60"/>
      <c r="O10" s="76"/>
      <c r="P10" s="75"/>
      <c r="Q10" s="76"/>
      <c r="R10" s="76"/>
    </row>
    <row r="11" spans="1:18"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0"/>
      <c r="O11" s="75"/>
      <c r="P11" s="76"/>
      <c r="Q11" s="75"/>
      <c r="R11" s="76"/>
    </row>
    <row r="12" spans="1:18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1"/>
      <c r="L12" s="61"/>
      <c r="M12" s="61"/>
      <c r="N12" s="60"/>
      <c r="O12" s="76"/>
      <c r="P12" s="75"/>
      <c r="Q12" s="76"/>
      <c r="R12" s="76"/>
    </row>
    <row r="13" spans="1:18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61"/>
      <c r="M13" s="61"/>
      <c r="N13" s="60"/>
      <c r="O13" s="76"/>
      <c r="P13" s="76"/>
      <c r="Q13" s="76"/>
      <c r="R13" s="76"/>
    </row>
    <row r="14" spans="1:18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1"/>
      <c r="L14" s="61"/>
      <c r="M14" s="61"/>
      <c r="N14" s="60"/>
      <c r="O14" s="76"/>
      <c r="P14" s="75"/>
      <c r="Q14" s="76"/>
      <c r="R14" s="76"/>
    </row>
    <row r="15" spans="1:18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1"/>
      <c r="L15" s="61"/>
      <c r="M15" s="61"/>
      <c r="N15" s="60"/>
      <c r="O15" s="76"/>
      <c r="P15" s="75"/>
      <c r="Q15" s="76"/>
      <c r="R15" s="76"/>
    </row>
    <row r="16" spans="1:18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1"/>
      <c r="L16" s="61"/>
      <c r="M16" s="61"/>
      <c r="N16" s="60"/>
      <c r="O16" s="76"/>
      <c r="P16" s="76"/>
      <c r="Q16" s="76"/>
      <c r="R16" s="76"/>
    </row>
    <row r="17" spans="1:18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85"/>
      <c r="L17" s="61"/>
      <c r="M17" s="61"/>
      <c r="N17" s="60"/>
      <c r="O17" s="76"/>
      <c r="P17" s="75"/>
      <c r="Q17" s="76"/>
      <c r="R17" s="76"/>
    </row>
    <row r="18" spans="1:18">
      <c r="A18" s="59"/>
      <c r="B18" s="60"/>
      <c r="C18" s="60"/>
      <c r="D18" s="60"/>
      <c r="E18" s="86"/>
      <c r="F18" s="60"/>
      <c r="G18" s="60"/>
      <c r="H18" s="60"/>
      <c r="I18" s="60"/>
      <c r="J18" s="60"/>
      <c r="K18" s="61"/>
      <c r="L18" s="61"/>
      <c r="M18" s="61"/>
      <c r="N18" s="60"/>
      <c r="O18" s="76"/>
      <c r="P18" s="75"/>
      <c r="Q18" s="76"/>
      <c r="R18" s="76"/>
    </row>
    <row r="19" spans="1:18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1"/>
      <c r="L19" s="61"/>
      <c r="M19" s="61"/>
      <c r="N19" s="60"/>
      <c r="O19" s="76"/>
      <c r="P19" s="75"/>
      <c r="Q19" s="76"/>
      <c r="R19" s="76"/>
    </row>
    <row r="20" spans="1:18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1"/>
      <c r="L20" s="61"/>
      <c r="M20" s="61"/>
      <c r="N20" s="60"/>
      <c r="O20" s="76"/>
      <c r="P20" s="75"/>
      <c r="Q20" s="76"/>
      <c r="R20" s="76"/>
    </row>
    <row r="21" spans="1:18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1"/>
      <c r="L21" s="61"/>
      <c r="M21" s="61"/>
      <c r="N21" s="60"/>
      <c r="O21" s="76"/>
      <c r="P21" s="76"/>
      <c r="Q21" s="76"/>
      <c r="R21" s="76"/>
    </row>
    <row r="22" spans="1:18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1"/>
      <c r="L22" s="61"/>
      <c r="M22" s="61"/>
      <c r="N22" s="60"/>
      <c r="O22" s="76"/>
      <c r="P22" s="76"/>
      <c r="Q22" s="76"/>
      <c r="R22" s="76"/>
    </row>
    <row r="23" spans="1:18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61"/>
      <c r="M23" s="61"/>
      <c r="N23" s="60"/>
      <c r="O23" s="76"/>
      <c r="P23" s="76"/>
      <c r="Q23" s="76"/>
      <c r="R23" s="76"/>
    </row>
    <row r="24" spans="1:18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1"/>
      <c r="L24" s="61"/>
      <c r="M24" s="61"/>
      <c r="N24" s="60"/>
      <c r="O24" s="76"/>
      <c r="P24" s="75"/>
      <c r="Q24" s="76"/>
      <c r="R24" s="76"/>
    </row>
    <row r="25" spans="1:18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1"/>
      <c r="L25" s="61"/>
      <c r="M25" s="61"/>
      <c r="N25" s="60"/>
      <c r="O25" s="76"/>
      <c r="P25" s="76"/>
      <c r="Q25" s="76"/>
      <c r="R25" s="76"/>
    </row>
    <row r="26" spans="1:18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1"/>
      <c r="L26" s="61"/>
      <c r="M26" s="61"/>
      <c r="N26" s="60"/>
      <c r="O26" s="76"/>
      <c r="P26" s="75"/>
      <c r="Q26" s="76"/>
      <c r="R26" s="76"/>
    </row>
    <row r="27" spans="1:18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1"/>
      <c r="L27" s="61"/>
      <c r="M27" s="61"/>
      <c r="N27" s="60"/>
      <c r="O27" s="76"/>
      <c r="P27" s="75"/>
      <c r="Q27" s="76"/>
      <c r="R27" s="76"/>
    </row>
    <row r="28" spans="1:18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1"/>
      <c r="L28" s="61"/>
      <c r="M28" s="61"/>
      <c r="N28" s="60"/>
      <c r="O28" s="76"/>
      <c r="P28" s="75"/>
      <c r="Q28" s="76"/>
      <c r="R28" s="76"/>
    </row>
    <row r="29" spans="1:18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1"/>
      <c r="L29" s="61"/>
      <c r="M29" s="61"/>
      <c r="N29" s="60"/>
      <c r="O29" s="76"/>
      <c r="P29" s="75"/>
      <c r="Q29" s="76"/>
      <c r="R29" s="76"/>
    </row>
    <row r="30" spans="1:18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1"/>
      <c r="L30" s="61"/>
      <c r="M30" s="61"/>
      <c r="N30" s="60"/>
      <c r="O30" s="76"/>
      <c r="P30" s="75"/>
      <c r="Q30" s="76"/>
      <c r="R30" s="76"/>
    </row>
    <row r="31" spans="1:18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61"/>
      <c r="M31" s="61"/>
      <c r="N31" s="60"/>
      <c r="O31" s="76"/>
      <c r="P31" s="75"/>
      <c r="Q31" s="76"/>
      <c r="R31" s="76"/>
    </row>
    <row r="32" spans="1:18">
      <c r="K32" s="55"/>
      <c r="L32" s="55"/>
      <c r="M32" s="55"/>
      <c r="O32" s="87"/>
      <c r="Q32" s="87"/>
      <c r="R32" s="87"/>
    </row>
    <row r="34" spans="16:16">
      <c r="P34" t="s">
        <v>34</v>
      </c>
    </row>
    <row r="35" spans="16:16">
      <c r="P35" t="s">
        <v>35</v>
      </c>
    </row>
    <row r="36" spans="16:16">
      <c r="P36" t="s">
        <v>61</v>
      </c>
    </row>
    <row r="37" spans="16:16">
      <c r="P37" t="s">
        <v>62</v>
      </c>
    </row>
    <row r="38" spans="16:16">
      <c r="P38" t="s">
        <v>63</v>
      </c>
    </row>
  </sheetData>
  <sortState ref="A3:XFD5">
    <sortCondition ref="A3:A5"/>
    <sortCondition ref="B3:B5"/>
  </sortState>
  <phoneticPr fontId="17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Entry</vt:lpstr>
      <vt:lpstr>Control Card 1</vt:lpstr>
      <vt:lpstr>Control Card 2</vt:lpstr>
      <vt:lpstr> Route</vt:lpstr>
      <vt:lpstr>Riders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</cp:lastModifiedBy>
  <cp:lastPrinted>2019-06-14T02:02:26Z</cp:lastPrinted>
  <dcterms:created xsi:type="dcterms:W3CDTF">1997-11-12T04:43:39Z</dcterms:created>
  <dcterms:modified xsi:type="dcterms:W3CDTF">2020-11-04T05:32:00Z</dcterms:modified>
</cp:coreProperties>
</file>