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showInkAnnotation="0" autoCompressPictures="0"/>
  <mc:AlternateContent xmlns:mc="http://schemas.openxmlformats.org/markup-compatibility/2006">
    <mc:Choice Requires="x15">
      <x15ac:absPath xmlns:x15ac="http://schemas.microsoft.com/office/spreadsheetml/2010/11/ac" url="/Users/stephencarol/Documents/BCR/2024/5406 Rails Trails/"/>
    </mc:Choice>
  </mc:AlternateContent>
  <xr:revisionPtr revIDLastSave="0" documentId="13_ncr:1_{7AD4C686-6170-9943-96CA-CB0829A2B4BB}"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View Royal Start" sheetId="7" r:id="rId2"/>
    <sheet name="Sidney Start" sheetId="8" r:id="rId3"/>
  </sheets>
  <definedNames>
    <definedName name="Address_1" localSheetId="2">#REF!</definedName>
    <definedName name="Address_1" localSheetId="1">#REF!</definedName>
    <definedName name="Address_1">#REF!</definedName>
    <definedName name="Address_2" localSheetId="2">#REF!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1">'Control Entry'!#REF!</definedName>
    <definedName name="Control_11">'Control Entry'!#REF!</definedName>
    <definedName name="Control_12" localSheetId="2">'Control Entry'!#REF!</definedName>
    <definedName name="Control_12" localSheetId="1">'Control Entry'!#REF!</definedName>
    <definedName name="Control_12">'Control Entry'!#REF!</definedName>
    <definedName name="Control_13" localSheetId="2">'Control Entry'!#REF!</definedName>
    <definedName name="Control_13" localSheetId="1">'Control Entry'!#REF!</definedName>
    <definedName name="Control_13">'Control Entry'!#REF!</definedName>
    <definedName name="Control_14" localSheetId="2">'Control Entry'!#REF!</definedName>
    <definedName name="Control_14" localSheetId="1">'Control Entry'!#REF!</definedName>
    <definedName name="Control_14">'Control Entry'!#REF!</definedName>
    <definedName name="Control_15" localSheetId="2">'Control Entry'!#REF!</definedName>
    <definedName name="Control_15" localSheetId="1">'Control Entry'!#REF!</definedName>
    <definedName name="Control_15">'Control Entry'!#REF!</definedName>
    <definedName name="Control_16" localSheetId="2">'Control Entry'!#REF!</definedName>
    <definedName name="Control_16" localSheetId="1">'Control Entry'!#REF!</definedName>
    <definedName name="Control_16">'Control Entry'!#REF!</definedName>
    <definedName name="Control_17" localSheetId="2">'Control Entry'!#REF!</definedName>
    <definedName name="Control_17" localSheetId="1">'Control Entry'!#REF!</definedName>
    <definedName name="Control_17">'Control Entry'!#REF!</definedName>
    <definedName name="Control_18" localSheetId="2">'Control Entry'!#REF!</definedName>
    <definedName name="Control_18" localSheetId="1">'Control Entry'!#REF!</definedName>
    <definedName name="Control_18">'Control Entry'!#REF!</definedName>
    <definedName name="Control_19" localSheetId="2">'Control Entry'!#REF!</definedName>
    <definedName name="Control_19" localSheetId="1">'Control Entry'!#REF!</definedName>
    <definedName name="Control_19">'Control Entry'!#REF!</definedName>
    <definedName name="Control_2">'Control Entry'!$D$16:$O$16</definedName>
    <definedName name="Control_20" localSheetId="2">'Control Entry'!#REF!</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1">#REF!</definedName>
    <definedName name="Country">#REF!</definedName>
    <definedName name="Distance">'Control Entry'!$D$15:$D$24</definedName>
    <definedName name="email" localSheetId="2">#REF!</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1">#REF!</definedName>
    <definedName name="Fax">#REF!</definedName>
    <definedName name="First_Name" localSheetId="2">#REF!</definedName>
    <definedName name="First_Name" localSheetId="1">#REF!</definedName>
    <definedName name="First_Name">#REF!</definedName>
    <definedName name="Home_telephone" localSheetId="2">#REF!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1">#REF!</definedName>
    <definedName name="Postal_Code">#REF!</definedName>
    <definedName name="_xlnm.Print_Area" localSheetId="2">'Sidney Start'!$A$1:$K$55</definedName>
    <definedName name="_xlnm.Print_Area" localSheetId="1">'View Royal Start'!$A$1:$K$55</definedName>
    <definedName name="Province_State" localSheetId="2">#REF!</definedName>
    <definedName name="Province_State" localSheetId="1">#REF!</definedName>
    <definedName name="Province_State">#REF!</definedName>
    <definedName name="Start_date">'Control Entry'!$B$12</definedName>
    <definedName name="Start_time">'Control Entry'!$B$13</definedName>
    <definedName name="surname" localSheetId="2">#REF!</definedName>
    <definedName name="surname" localSheetId="1">#REF!</definedName>
    <definedName name="surname">#REF!</definedName>
    <definedName name="Work_telephone" localSheetId="2">#REF!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L37" i="1"/>
  <c r="N37" i="1" s="1"/>
  <c r="M36" i="1"/>
  <c r="L36" i="1"/>
  <c r="M35" i="1"/>
  <c r="L35" i="1"/>
  <c r="L34" i="1"/>
  <c r="L33" i="1"/>
  <c r="L32" i="1"/>
  <c r="L31" i="1"/>
  <c r="L30" i="1"/>
  <c r="L29" i="1"/>
  <c r="M28" i="1"/>
  <c r="L28" i="1"/>
  <c r="C48" i="8" l="1"/>
  <c r="D49" i="8"/>
  <c r="D50" i="8"/>
  <c r="C49" i="8"/>
  <c r="C50"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35" i="1" l="1"/>
  <c r="N36" i="1"/>
  <c r="O35" i="1"/>
  <c r="O36" i="1"/>
  <c r="M32" i="1"/>
  <c r="O32" i="1" s="1"/>
  <c r="M30" i="1"/>
  <c r="M33" i="1"/>
  <c r="O33" i="1" s="1"/>
  <c r="M31" i="1"/>
  <c r="O31" i="1" s="1"/>
  <c r="M29" i="1"/>
  <c r="O29" i="1" s="1"/>
  <c r="N33" i="1"/>
  <c r="N31" i="1"/>
  <c r="N30" i="1"/>
  <c r="N34" i="1"/>
  <c r="N32" i="1"/>
  <c r="N29" i="1"/>
  <c r="O30" i="1"/>
  <c r="N28" i="1"/>
  <c r="O28" i="1"/>
  <c r="M16" i="1"/>
  <c r="O16" i="1" s="1"/>
  <c r="C22" i="7"/>
  <c r="C23" i="7"/>
  <c r="C21" i="7"/>
  <c r="B7" i="1"/>
  <c r="M21" i="1" s="1"/>
  <c r="O21" i="1" s="1"/>
  <c r="M19" i="1"/>
  <c r="O19" i="1" s="1"/>
  <c r="M18" i="1"/>
  <c r="O18" i="1" s="1"/>
  <c r="M17" i="1"/>
  <c r="O17" i="1" s="1"/>
  <c r="M15" i="1"/>
  <c r="O15" i="1" s="1"/>
  <c r="N18" i="1"/>
  <c r="N22" i="1"/>
  <c r="N17" i="1"/>
  <c r="N21" i="1"/>
  <c r="N24" i="1"/>
  <c r="N16" i="1"/>
  <c r="N20" i="1"/>
  <c r="N19" i="1"/>
  <c r="N23" i="1"/>
  <c r="D44" i="8" l="1"/>
  <c r="D42" i="8"/>
  <c r="D43" i="8"/>
  <c r="C45" i="8"/>
  <c r="C46" i="8"/>
  <c r="C47" i="8"/>
  <c r="D45" i="8"/>
  <c r="D46" i="8"/>
  <c r="D47" i="8"/>
  <c r="C43" i="8"/>
  <c r="C44" i="8"/>
  <c r="C42" i="8"/>
  <c r="M34" i="1"/>
  <c r="O34" i="1" s="1"/>
  <c r="D25" i="8"/>
  <c r="D26" i="8"/>
  <c r="D24" i="8"/>
  <c r="D28" i="8"/>
  <c r="D27" i="8"/>
  <c r="D29" i="8"/>
  <c r="C41" i="8"/>
  <c r="C39" i="8"/>
  <c r="C40" i="8"/>
  <c r="D35" i="8"/>
  <c r="D34" i="8"/>
  <c r="D33" i="8"/>
  <c r="C30" i="8"/>
  <c r="C31" i="8"/>
  <c r="C32" i="8"/>
  <c r="D37" i="8"/>
  <c r="D36" i="8"/>
  <c r="D38" i="8"/>
  <c r="C24" i="8"/>
  <c r="C25" i="8"/>
  <c r="C26" i="8"/>
  <c r="C27" i="8"/>
  <c r="C28" i="8"/>
  <c r="C29" i="8"/>
  <c r="C35" i="8"/>
  <c r="C33" i="8"/>
  <c r="C34" i="8"/>
  <c r="D31" i="8"/>
  <c r="D30" i="8"/>
  <c r="D32" i="8"/>
  <c r="C36" i="8"/>
  <c r="C37" i="8"/>
  <c r="C38" i="8"/>
  <c r="C21" i="8"/>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0" i="8" l="1"/>
  <c r="D39" i="8"/>
  <c r="D41" i="8"/>
  <c r="D37" i="7"/>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5C82D454-BE95-3146-96C3-E89A0149B208}">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<sst xmlns="http://schemas.openxmlformats.org/spreadsheetml/2006/main" count="225" uniqueCount="121">
  <si>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</si>
  <si>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</si>
  <si>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</si>
  <si>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</si>
  <si>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</si>
  <si>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</si>
  <si>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</si>
  <si>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</si>
  <si>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</si>
  <si>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</si>
  <si>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</si>
  <si>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</si>
  <si>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</si>
  <si>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</si>
  <si>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</si>
  <si>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</si>
  <si>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</si>
  <si>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</si>
  <si>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</si>
  <si>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</si>
  <si>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</si>
  <si>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</si>
  <si>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</si>
  <si>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</si>
  <si>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</si>
  <si>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</si>
  <si>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</si>
  <si>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</si>
  <si>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</si>
  <si>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</si>
  <si>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</si>
  <si>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</si>
  <si>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</si>
  <si>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</si>
  <si>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</si>
  <si>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</si>
  <si>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</si>
  <si>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</si>
  <si>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</si>
  <si>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</si>
  <si>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</si>
  <si>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</si>
  <si>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</si>
  <si>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</si>
  <si>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</si>
  <si>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</si>
  <si>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</si>
  <si>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</si>
  <si>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</si>
  <si>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</si>
  <si>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</si>
  <si>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</si>
  <si>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</si>
  <si>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</si>
  <si>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</si>
  <si>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</si>
  <si>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</si>
  <si>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</si>
  <si>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</si>
  <si>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</si>
  <si>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</si>
  <si>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</si>
  <si>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</si>
  <si>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</si>
  <si>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</si>
  <si>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</si>
  <si>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</si>
  <si>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</si>
  <si>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</si>
  <si>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</si>
  <si>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</si>
  <si>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</si>
  <si>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</si>
  <si>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</si>
  <si>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Old Rails and Trails</t>
  </si>
  <si>
    <t>‭778-350-6119‬</t>
  </si>
  <si>
    <t>VIEW ROYAL</t>
  </si>
  <si>
    <t>SOOKE</t>
  </si>
  <si>
    <t>SAANICH</t>
  </si>
  <si>
    <t>NORTH SAANICH</t>
  </si>
  <si>
    <t>OAK BAY</t>
  </si>
  <si>
    <t>VICTORIA</t>
  </si>
  <si>
    <t xml:space="preserve">Harvest Lane Park </t>
  </si>
  <si>
    <t>1457 Harvest Ln</t>
  </si>
  <si>
    <t>Anderson Hill Park</t>
  </si>
  <si>
    <t>572 Island Rd</t>
  </si>
  <si>
    <t>Entry arch to park,</t>
  </si>
  <si>
    <t>How many signs on left post?</t>
  </si>
  <si>
    <t>HMCS Malahat</t>
  </si>
  <si>
    <t>20 Huron St</t>
  </si>
  <si>
    <t>Sooke River Rd parking lot</t>
  </si>
  <si>
    <t>The Flight Path, Mills Rd</t>
  </si>
  <si>
    <t>Concrete posts beside path</t>
  </si>
  <si>
    <t>Right post plaque</t>
  </si>
  <si>
    <t>Patricia Bay 1939 -    ___________</t>
  </si>
  <si>
    <t>Portage Park</t>
  </si>
  <si>
    <t>Bicycle art in front of bench</t>
  </si>
  <si>
    <t>What size?</t>
  </si>
  <si>
    <t>Small        Lifesize        Big</t>
  </si>
  <si>
    <t>Self sign</t>
  </si>
  <si>
    <t>STAFFED</t>
  </si>
  <si>
    <t>Under steps to slide</t>
  </si>
  <si>
    <t>"There's magical _________within"?</t>
  </si>
  <si>
    <t>598 Parkridge St</t>
  </si>
  <si>
    <t>You're on the trail, though</t>
  </si>
  <si>
    <t>Washroom building</t>
  </si>
  <si>
    <t>Which side of tennis court?</t>
  </si>
  <si>
    <t>LEFT          RIGHT</t>
  </si>
  <si>
    <r>
      <t>Sooke _______</t>
    </r>
    <r>
      <rPr>
        <u/>
        <sz val="10"/>
        <rFont val="Arial"/>
        <family val="2"/>
      </rPr>
      <t xml:space="preserve"> </t>
    </r>
    <r>
      <rPr>
        <sz val="10"/>
        <rFont val="Arial"/>
        <family val="2"/>
      </rPr>
      <t>Historical Society</t>
    </r>
  </si>
  <si>
    <t>Outside left of entrance</t>
  </si>
  <si>
    <t>What is the big black sculpture thing?</t>
  </si>
  <si>
    <t>Copley West Park</t>
  </si>
  <si>
    <t>45 Island View Ave</t>
  </si>
  <si>
    <t>Water fountain</t>
  </si>
  <si>
    <t>Which side of info sign?</t>
  </si>
  <si>
    <t>Atkins Rd parking lot</t>
  </si>
  <si>
    <t>Bottom of green Info sign by washroom</t>
  </si>
  <si>
    <t xml:space="preserve">Galloping Goose </t>
  </si>
  <si>
    <t>Regional Park</t>
  </si>
  <si>
    <t xml:space="preserve">Lost Airmen of </t>
  </si>
  <si>
    <t>the Empire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</si>
</sst>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u/>
      <sz val="10"/>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169" fontId="5" fillId="0" borderId="25" xfId="0" applyNumberFormat="1" applyFont="1" applyBorder="1" applyAlignment="1" applyProtection="1">
      <alignment horizontal="left"/>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0"/>
  <sheetViews>
    <sheetView showGridLines="0" tabSelected="1" zoomScale="125" zoomScaleNormal="140" zoomScalePageLayoutView="135" workbookViewId="0">
      <selection activeCell="B13" sqref="B13"/>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8" t="s">
        <v>55</v>
      </c>
      <c r="B1" s="108"/>
      <c r="C1" s="108"/>
      <c r="D1" s="108"/>
      <c r="E1" s="108"/>
      <c r="F1" s="108"/>
      <c r="G1" s="108"/>
      <c r="H1" s="40" t="s">
        <v>53</v>
      </c>
      <c r="Q1" s="102" t="s">
        <v>71</v>
      </c>
      <c r="R1" s="102"/>
      <c r="S1" s="102"/>
      <c r="T1" s="102"/>
      <c r="U1" s="102"/>
      <c r="V1" s="102"/>
      <c r="W1" s="102"/>
      <c r="X1" s="102"/>
      <c r="Y1" s="102"/>
      <c r="Z1" s="102"/>
      <c r="AA1" s="102"/>
      <c r="AB1" s="102"/>
      <c r="AC1" s="102"/>
      <c r="AD1" s="102"/>
      <c r="AE1" s="102"/>
      <c r="AF1" s="102"/>
      <c r="AG1" s="87"/>
    </row>
    <row r="2" spans="1:33" ht="13" customHeight="1" thickBot="1" x14ac:dyDescent="0.2">
      <c r="H2" s="44"/>
      <c r="I2" s="44"/>
      <c r="Q2" s="102"/>
      <c r="R2" s="102"/>
      <c r="S2" s="102"/>
      <c r="T2" s="102"/>
      <c r="U2" s="102"/>
      <c r="V2" s="102"/>
      <c r="W2" s="102"/>
      <c r="X2" s="102"/>
      <c r="Y2" s="102"/>
      <c r="Z2" s="102"/>
      <c r="AA2" s="102"/>
      <c r="AB2" s="102"/>
      <c r="AC2" s="102"/>
      <c r="AD2" s="102"/>
      <c r="AE2" s="102"/>
      <c r="AF2" s="102"/>
      <c r="AG2" s="87"/>
    </row>
    <row r="3" spans="1:33" s="48" customFormat="1" ht="13" customHeight="1" thickBot="1" x14ac:dyDescent="0.2">
      <c r="A3" s="47" t="s">
        <v>52</v>
      </c>
      <c r="B3" s="72">
        <v>45393</v>
      </c>
      <c r="H3" s="49"/>
      <c r="I3" s="49"/>
      <c r="Q3" s="102"/>
      <c r="R3" s="102"/>
      <c r="S3" s="102"/>
      <c r="T3" s="102"/>
      <c r="U3" s="102"/>
      <c r="V3" s="102"/>
      <c r="W3" s="102"/>
      <c r="X3" s="102"/>
      <c r="Y3" s="102"/>
      <c r="Z3" s="102"/>
      <c r="AA3" s="102"/>
      <c r="AB3" s="102"/>
      <c r="AC3" s="102"/>
      <c r="AD3" s="102"/>
      <c r="AE3" s="102"/>
      <c r="AF3" s="102"/>
      <c r="AG3" s="87"/>
    </row>
    <row r="4" spans="1:33" ht="13" customHeight="1" x14ac:dyDescent="0.15">
      <c r="A4" s="43" t="s">
        <v>54</v>
      </c>
      <c r="B4" s="46">
        <v>45472</v>
      </c>
      <c r="C4"/>
      <c r="H4" s="44"/>
      <c r="I4" s="44"/>
      <c r="Q4" s="102"/>
      <c r="R4" s="102"/>
      <c r="S4" s="102"/>
      <c r="T4" s="102"/>
      <c r="U4" s="102"/>
      <c r="V4" s="102"/>
      <c r="W4" s="102"/>
      <c r="X4" s="102"/>
      <c r="Y4" s="102"/>
      <c r="Z4" s="102"/>
      <c r="AA4" s="102"/>
      <c r="AB4" s="102"/>
      <c r="AC4" s="102"/>
      <c r="AD4" s="102"/>
      <c r="AE4" s="102"/>
      <c r="AF4" s="102"/>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200</v>
      </c>
      <c r="C6">
        <f>IF(Brevet_Length&gt;=1200,Brevet_Length,IF(Brevet_Length&gt;=1000,1000,IF(Brevet_Length&gt;=600,600,IF(Brevet_Length&gt;=400,400,IF(Brevet_Length&gt;=300,300,IF(Brevet_Length&gt;=200,200,100))))))</f>
        <v>200</v>
      </c>
      <c r="J6" s="103" t="s">
        <v>40</v>
      </c>
      <c r="K6" s="103"/>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13.5</v>
      </c>
      <c r="L7">
        <f>IF(Brevet_Length=150,10.5,IF(Brevet_Length=100,7,IF(Brevet_Length=50,3.5,IF(Brevet_Length=25, 2,0))))</f>
        <v>0</v>
      </c>
      <c r="Q7" s="86" t="s">
        <v>42</v>
      </c>
      <c r="R7" s="86"/>
      <c r="S7" s="86"/>
      <c r="T7" s="86"/>
      <c r="U7" s="86"/>
      <c r="V7" s="86"/>
      <c r="W7" s="86"/>
      <c r="X7" s="86"/>
      <c r="Y7" s="86"/>
      <c r="Z7" s="86"/>
    </row>
    <row r="8" spans="1:33" ht="18" x14ac:dyDescent="0.2">
      <c r="A8" s="82" t="s">
        <v>17</v>
      </c>
      <c r="B8" s="109" t="s">
        <v>74</v>
      </c>
      <c r="C8" s="109"/>
      <c r="D8" s="109"/>
      <c r="E8" s="109"/>
      <c r="F8" s="109"/>
      <c r="G8" s="84"/>
      <c r="H8" s="84"/>
      <c r="I8" s="16"/>
      <c r="J8" s="16"/>
      <c r="K8" s="16"/>
      <c r="Q8" s="85" t="s">
        <v>43</v>
      </c>
      <c r="R8" s="86"/>
      <c r="S8" s="86"/>
      <c r="T8" s="86"/>
      <c r="U8" s="86"/>
      <c r="V8" s="86"/>
      <c r="W8" s="86"/>
      <c r="X8" s="86"/>
      <c r="Y8" s="86"/>
      <c r="Z8" s="86"/>
    </row>
    <row r="9" spans="1:33" ht="18" x14ac:dyDescent="0.2">
      <c r="A9" s="11" t="s">
        <v>18</v>
      </c>
      <c r="B9" s="31">
        <v>5406</v>
      </c>
      <c r="C9" s="13"/>
      <c r="F9" s="14"/>
      <c r="G9" s="14"/>
      <c r="H9" s="14"/>
      <c r="I9" s="14"/>
      <c r="J9" s="14"/>
      <c r="K9" s="14"/>
      <c r="Q9" s="85" t="s">
        <v>44</v>
      </c>
      <c r="R9" s="86"/>
      <c r="S9" s="86"/>
      <c r="T9" s="86"/>
      <c r="U9" s="86"/>
      <c r="V9" s="86"/>
      <c r="W9" s="86"/>
      <c r="X9" s="86"/>
      <c r="Y9" s="86"/>
      <c r="Z9" s="86"/>
    </row>
    <row r="10" spans="1:33" ht="18" x14ac:dyDescent="0.2">
      <c r="A10" s="18" t="s">
        <v>32</v>
      </c>
      <c r="B10" s="32">
        <v>45486</v>
      </c>
      <c r="E10" s="80" t="s">
        <v>66</v>
      </c>
      <c r="F10" s="140" t="s">
        <v>75</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45486</v>
      </c>
      <c r="Q12" s="85" t="s">
        <v>49</v>
      </c>
      <c r="R12" s="86"/>
      <c r="S12" s="86"/>
      <c r="T12" s="86"/>
      <c r="U12" s="86"/>
      <c r="V12" s="86"/>
      <c r="W12" s="86"/>
      <c r="X12" s="86"/>
      <c r="Y12" s="86"/>
      <c r="Z12" s="86"/>
    </row>
    <row r="13" spans="1:33" ht="19" thickBot="1" x14ac:dyDescent="0.25">
      <c r="A13" s="9" t="s">
        <v>20</v>
      </c>
      <c r="B13" s="33">
        <v>0.29166666666666669</v>
      </c>
      <c r="D13" s="104" t="s">
        <v>51</v>
      </c>
      <c r="E13" s="105"/>
      <c r="F13" s="105"/>
      <c r="G13" s="105"/>
      <c r="H13" s="105"/>
      <c r="I13" s="106" t="s">
        <v>47</v>
      </c>
      <c r="J13" s="105"/>
      <c r="K13" s="107"/>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 customHeight="1" x14ac:dyDescent="0.15">
      <c r="C15" s="2" t="s">
        <v>4</v>
      </c>
      <c r="D15" s="15">
        <v>0</v>
      </c>
      <c r="E15" s="34" t="s">
        <v>76</v>
      </c>
      <c r="F15" s="35" t="s">
        <v>117</v>
      </c>
      <c r="G15" s="35" t="s">
        <v>118</v>
      </c>
      <c r="H15" s="35" t="s">
        <v>115</v>
      </c>
      <c r="I15" s="35" t="s">
        <v>100</v>
      </c>
      <c r="J15" s="35"/>
      <c r="K15" s="36"/>
      <c r="L15" s="3">
        <f>Start_date+Start_time</f>
        <v>45486.291666666664</v>
      </c>
      <c r="M15" s="3">
        <f>L15+"1:00"</f>
        <v>45486.333333333328</v>
      </c>
      <c r="N15" s="4">
        <f>IF(ISBLANK(Distance),"",Open Control_1)</f>
        <v>45486.291666666664</v>
      </c>
      <c r="O15" s="4">
        <f>IF(ISBLANK(Distance),"",Close Control_1)</f>
        <v>45486.333333333328</v>
      </c>
      <c r="Q15" s="85" t="s">
        <v>72</v>
      </c>
      <c r="R15" s="86"/>
      <c r="S15" s="86"/>
      <c r="T15" s="86"/>
      <c r="U15" s="86"/>
      <c r="V15" s="86"/>
      <c r="W15" s="86"/>
      <c r="X15" s="86"/>
      <c r="Y15" s="86"/>
      <c r="Z15" s="86"/>
    </row>
    <row r="16" spans="1:33" ht="17" customHeight="1" x14ac:dyDescent="0.15">
      <c r="B16" s="38"/>
      <c r="C16" s="2" t="s">
        <v>5</v>
      </c>
      <c r="D16" s="15">
        <v>34.299999999999997</v>
      </c>
      <c r="E16" s="34" t="s">
        <v>77</v>
      </c>
      <c r="F16" s="35" t="s">
        <v>117</v>
      </c>
      <c r="G16" s="35" t="s">
        <v>118</v>
      </c>
      <c r="H16" s="35" t="s">
        <v>90</v>
      </c>
      <c r="I16" s="36" t="s">
        <v>116</v>
      </c>
      <c r="J16" s="35"/>
      <c r="K16" s="36" t="s">
        <v>108</v>
      </c>
      <c r="L16">
        <f>IF(ISBLANK(Distance),"",IF(Distance&gt;1000,(Distance-1000)/26+33.0847,(IF(Distance&gt;600,(Distance-600)/28+18.799,(IF(Distance&gt;400,(Distance-400)/30+12.1324,(IF(Distance&gt;200,(Distance-200)/32+5.8824,Distance/34))))))))</f>
        <v>1.0088235294117647</v>
      </c>
      <c r="M16">
        <f>IF(ISBLANK(Distance),"",IF(Distance&gt;=brevet,D16200IF(brevet&gt;1200,(brevet-1200)*75/1000+90,Max_time),IF(Distance&gt;1200,(Distance-1200)*75/1000+90,IF(Distance&gt;1000,(Distance-1000)/(1000/75)+75,IF(Distance&gt;600,(Distance-600)/(400/35)+40,IF(Distance&lt;=60,(Distance/20+1),Distance/15))))))</f>
        <v>2.7149999999999999</v>
      </c>
      <c r="N16" s="4">
        <f>IF(ISBLANK(Distance),"",Open_time Control_1+(INT(Open)&amp;":"&amp;IF(ROUND(((Open-INT(Open))*60),0)&lt;10,0,"")&amp;ROUND(((Open-INT(Open))*60),0)))</f>
        <v>45486.334027777775</v>
      </c>
      <c r="O16" s="4">
        <f>IF(ISBLANK(Distance),"",Open_time Control_1+(INT(Close)&amp;":"&amp;IF(ROUND(((Close-INT(Close))*60),0)&lt;10,0,"")&amp;ROUND(((Close-INT(Close))*60),0)))</f>
        <v>45486.404861111107</v>
      </c>
      <c r="Q16" s="85" t="s">
        <v>68</v>
      </c>
      <c r="R16" s="86"/>
      <c r="S16" s="86"/>
      <c r="T16" s="86"/>
      <c r="U16" s="86"/>
      <c r="V16" s="86"/>
      <c r="W16" s="86"/>
      <c r="X16" s="86"/>
      <c r="Y16" s="86"/>
      <c r="Z16" s="86"/>
    </row>
    <row r="17" spans="2:26" ht="17" customHeight="1" x14ac:dyDescent="0.15">
      <c r="B17" s="38"/>
      <c r="C17" s="2" t="s">
        <v>6</v>
      </c>
      <c r="D17" s="15">
        <v>77.400000000000006</v>
      </c>
      <c r="E17" s="34" t="s">
        <v>78</v>
      </c>
      <c r="F17" s="35" t="s">
        <v>111</v>
      </c>
      <c r="G17" s="36" t="s">
        <v>103</v>
      </c>
      <c r="H17" s="36" t="s">
        <v>104</v>
      </c>
      <c r="I17" s="35" t="s">
        <v>105</v>
      </c>
      <c r="J17" s="35" t="s">
        <v>106</v>
      </c>
      <c r="K17" s="36" t="s">
        <v>107</v>
      </c>
      <c r="L17">
        <f>IF(ISBLANK(Distance),"",IF(Distance&gt;1000,(Distance-1000)/26+33.0847,(IF(Distance&gt;600,(Distance-600)/28+18.799,(IF(Distance&gt;400,(Distance-400)/30+12.1324,(IF(Distance&gt;200,(Distance-200)/32+5.8824,Distance/34))))))))</f>
        <v>2.2764705882352945</v>
      </c>
      <c r="M17">
        <f t="shared" ref="M17:M24" si="0">IF(ISBLANK(Distance),"",IF(Distance&gt;=brevet,IF(brevet&gt;1200,(brevet-1200)*75/1000+90,Max_time),IF(Distance&gt;1200,(Distance-1200)*75/1000+90,IF(Distance&gt;1000,(Distance-1000)/(1000/75)+75,IF(Distance&gt;600,(Distance-600)/(400/35)+40,IF(Distance&lt;=60,(Distance/20+1),Distance/15))))))</f>
        <v>5.16</v>
      </c>
      <c r="N17" s="4">
        <f>IF(ISBLANK(Distance),"",Open_time Control_1+(INT(Open)&amp;":"&amp;IF(ROUND(((Open-INT(Open))*60),0)&lt;10,0,"")&amp;ROUND(((Open-INT(Open))*60),0)))</f>
        <v>45486.38680555555</v>
      </c>
      <c r="O17" s="4">
        <f>IF(ISBLANK(Distance),"",Open_time Control_1+(INT(Close)&amp;":"&amp;IF(ROUND(((Close-INT(Close))*60),0)&lt;10,0,"")&amp;ROUND(((Close-INT(Close))*60),0)))</f>
        <v>45486.506944444445</v>
      </c>
      <c r="Q17" s="85" t="s">
        <v>46</v>
      </c>
      <c r="R17" s="86"/>
      <c r="S17" s="86"/>
      <c r="T17" s="86"/>
      <c r="U17" s="86"/>
      <c r="V17" s="86"/>
      <c r="W17" s="86"/>
      <c r="X17" s="86"/>
      <c r="Y17" s="86"/>
      <c r="Z17" s="86"/>
    </row>
    <row r="18" spans="2:26" ht="17" customHeight="1" x14ac:dyDescent="0.15">
      <c r="B18" s="38"/>
      <c r="C18" s="2" t="s">
        <v>7</v>
      </c>
      <c r="D18" s="15">
        <v>104.9</v>
      </c>
      <c r="E18" s="34" t="s">
        <v>79</v>
      </c>
      <c r="F18" s="35" t="s">
        <v>119</v>
      </c>
      <c r="G18" s="36" t="s">
        <v>120</v>
      </c>
      <c r="H18" s="36" t="s">
        <v>91</v>
      </c>
      <c r="I18" s="35" t="s">
        <v>92</v>
      </c>
      <c r="J18" s="35" t="s">
        <v>93</v>
      </c>
      <c r="K18" s="36" t="s">
        <v>94</v>
      </c>
      <c r="L18">
        <f t="shared" ref="L18:L24" si="1">IF(ISBLANK(Distance),"",IF(Distance&gt;1000,(Distance-1000)/26+33.0847,(IF(Distance&gt;600,(Distance-600)/28+18.799,(IF(Distance&gt;400,(Distance-400)/30+12.1324,(IF(Distance&gt;200,(Distance-200)/32+5.8824,Distance/34))))))))</f>
        <v>3.085294117647059</v>
      </c>
      <c r="M18">
        <f t="shared" si="0"/>
        <v>6.9933333333333341</v>
      </c>
      <c r="N18" s="4">
        <f>IF(ISBLANK(Distance),"",Open_time Control_1+(INT(Open)&amp;":"&amp;IF(ROUND(((Open-INT(Open))*60),0)&lt;10,0,"")&amp;ROUND(((Open-INT(Open))*60),0)))</f>
        <v>45486.420138888883</v>
      </c>
      <c r="O18" s="4">
        <f>IF(ISBLANK(Distance),"",Open_time Control_1+(INT(Close)&amp;":"&amp;IF(ROUND(((Close-INT(Close))*60),0)&lt;10,0,"")&amp;ROUND(((Close-INT(Close))*60),0)))</f>
        <v>45486.583333333328</v>
      </c>
    </row>
    <row r="19" spans="2:26" ht="17" customHeight="1" x14ac:dyDescent="0.15">
      <c r="B19" s="38"/>
      <c r="C19" s="2" t="s">
        <v>8</v>
      </c>
      <c r="D19" s="15">
        <v>152.5</v>
      </c>
      <c r="E19" s="34" t="s">
        <v>76</v>
      </c>
      <c r="F19" s="35" t="s">
        <v>95</v>
      </c>
      <c r="G19" s="35" t="s">
        <v>112</v>
      </c>
      <c r="H19" s="36" t="s">
        <v>104</v>
      </c>
      <c r="I19" s="35" t="s">
        <v>113</v>
      </c>
      <c r="J19" s="35" t="s">
        <v>114</v>
      </c>
      <c r="K19" s="36" t="s">
        <v>107</v>
      </c>
      <c r="L19">
        <f t="shared" si="1"/>
        <v>4.4852941176470589</v>
      </c>
      <c r="M19">
        <f t="shared" si="0"/>
        <v>10.166666666666666</v>
      </c>
      <c r="N19" s="4">
        <f>IF(ISBLANK(Distance),"",Open_time Control_1+(INT(Open)&amp;":"&amp;IF(ROUND(((Open-INT(Open))*60),0)&lt;10,0,"")&amp;ROUND(((Open-INT(Open))*60),0)))</f>
        <v>45486.478472222218</v>
      </c>
      <c r="O19" s="4">
        <f>IF(ISBLANK(Distance),"",Open_time Control_1+(INT(Close)&amp;":"&amp;IF(ROUND(((Close-INT(Close))*60),0)&lt;10,0,"")&amp;ROUND(((Close-INT(Close))*60),0)))</f>
        <v>45486.715277777774</v>
      </c>
      <c r="Q19" s="40"/>
    </row>
    <row r="20" spans="2:26" ht="17" customHeight="1" x14ac:dyDescent="0.15">
      <c r="B20" s="38"/>
      <c r="C20" s="2" t="s">
        <v>9</v>
      </c>
      <c r="D20" s="15">
        <v>167.7</v>
      </c>
      <c r="E20" s="34" t="s">
        <v>78</v>
      </c>
      <c r="F20" s="35" t="s">
        <v>82</v>
      </c>
      <c r="G20" s="36" t="s">
        <v>83</v>
      </c>
      <c r="H20" s="35"/>
      <c r="I20" s="35" t="s">
        <v>101</v>
      </c>
      <c r="J20" s="35"/>
      <c r="K20" s="36" t="s">
        <v>102</v>
      </c>
      <c r="L20">
        <f t="shared" si="1"/>
        <v>4.9323529411764699</v>
      </c>
      <c r="M20">
        <f t="shared" si="0"/>
        <v>11.18</v>
      </c>
      <c r="N20" s="4">
        <f>IF(ISBLANK(Distance),"",Open_time Control_1+(INT(Open)&amp;":"&amp;IF(ROUND(((Open-INT(Open))*60),0)&lt;10,0,"")&amp;ROUND(((Open-INT(Open))*60),0)))</f>
        <v>45486.49722222222</v>
      </c>
      <c r="O20" s="4">
        <f>IF(ISBLANK(Distance),"",Open_time Control_1+(INT(Close)&amp;":"&amp;IF(ROUND(((Close-INT(Close))*60),0)&lt;10,0,"")&amp;ROUND(((Close-INT(Close))*60),0)))</f>
        <v>45486.757638888885</v>
      </c>
    </row>
    <row r="21" spans="2:26" ht="17" customHeight="1" x14ac:dyDescent="0.15">
      <c r="B21" s="38"/>
      <c r="C21" s="2" t="s">
        <v>10</v>
      </c>
      <c r="D21" s="15">
        <v>179.7</v>
      </c>
      <c r="E21" s="34" t="s">
        <v>80</v>
      </c>
      <c r="F21" s="35" t="s">
        <v>84</v>
      </c>
      <c r="G21" s="36" t="s">
        <v>85</v>
      </c>
      <c r="H21" s="35"/>
      <c r="I21" s="35" t="s">
        <v>86</v>
      </c>
      <c r="J21" s="35"/>
      <c r="K21" s="35" t="s">
        <v>87</v>
      </c>
      <c r="L21">
        <f t="shared" si="1"/>
        <v>5.2852941176470587</v>
      </c>
      <c r="M21">
        <f t="shared" si="0"/>
        <v>11.979999999999999</v>
      </c>
      <c r="N21" s="4">
        <f>IF(ISBLANK(Distance),"",Open_time Control_1+(INT(Open)&amp;":"&amp;IF(ROUND(((Open-INT(Open))*60),0)&lt;10,0,"")&amp;ROUND(((Open-INT(Open))*60),0)))</f>
        <v>45486.51180555555</v>
      </c>
      <c r="O21" s="4">
        <f>IF(ISBLANK(Distance),"",Open_time Control_1+(INT(Close)&amp;":"&amp;IF(ROUND(((Close-INT(Close))*60),0)&lt;10,0,"")&amp;ROUND(((Close-INT(Close))*60),0)))</f>
        <v>45486.790972222218</v>
      </c>
    </row>
    <row r="22" spans="2:26" ht="17" customHeight="1" x14ac:dyDescent="0.15">
      <c r="B22" s="38"/>
      <c r="C22" s="2" t="s">
        <v>11</v>
      </c>
      <c r="D22" s="15">
        <v>188.4</v>
      </c>
      <c r="E22" s="34" t="s">
        <v>81</v>
      </c>
      <c r="F22" s="35" t="s">
        <v>88</v>
      </c>
      <c r="G22" s="36" t="s">
        <v>89</v>
      </c>
      <c r="H22" s="35"/>
      <c r="I22" s="35" t="s">
        <v>109</v>
      </c>
      <c r="J22" s="35"/>
      <c r="K22" s="36" t="s">
        <v>110</v>
      </c>
      <c r="L22">
        <f t="shared" si="1"/>
        <v>5.5411764705882351</v>
      </c>
      <c r="M22">
        <f t="shared" si="0"/>
        <v>12.56</v>
      </c>
      <c r="N22" s="4">
        <f>IF(ISBLANK(Distance),"",Open_time Control_1+(INT(Open)&amp;":"&amp;IF(ROUND(((Open-INT(Open))*60),0)&lt;10,0,"")&amp;ROUND(((Open-INT(Open))*60),0)))</f>
        <v>45486.522222222222</v>
      </c>
      <c r="O22" s="4">
        <f>IF(ISBLANK(Distance),"",Open_time Control_1+(INT(Close)&amp;":"&amp;IF(ROUND(((Close-INT(Close))*60),0)&lt;10,0,"")&amp;ROUND(((Close-INT(Close))*60),0)))</f>
        <v>45486.815277777772</v>
      </c>
    </row>
    <row r="23" spans="2:26" ht="17" customHeight="1" x14ac:dyDescent="0.15">
      <c r="B23" s="38"/>
      <c r="C23" s="2" t="s">
        <v>12</v>
      </c>
      <c r="D23" s="15">
        <v>200.3</v>
      </c>
      <c r="E23" s="34" t="s">
        <v>76</v>
      </c>
      <c r="F23" s="35" t="s">
        <v>117</v>
      </c>
      <c r="G23" s="35" t="s">
        <v>118</v>
      </c>
      <c r="H23" s="35" t="s">
        <v>115</v>
      </c>
      <c r="I23" s="35" t="s">
        <v>99</v>
      </c>
      <c r="J23" s="35"/>
      <c r="K23" s="36"/>
      <c r="L23">
        <f t="shared" si="1"/>
        <v>5.891775</v>
      </c>
      <c r="M23">
        <f t="shared" si="0"/>
        <v>13.5</v>
      </c>
      <c r="N23" s="4">
        <f>IF(ISBLANK(Distance),"",Open_time Control_1+(INT(Open)&amp;":"&amp;IF(ROUND(((Open-INT(Open))*60),0)&lt;10,0,"")&amp;ROUND(((Open-INT(Open))*60),0)))</f>
        <v>45486.537499999999</v>
      </c>
      <c r="O23" s="4">
        <f>IF(ISBLANK(Distance),"",Open_time Control_1+(INT(Close)&amp;":"&amp;IF(ROUND(((Close-INT(Close))*60),0)&lt;10,0,"")&amp;ROUND(((Close-INT(Close))*60),0)))</f>
        <v>45486.854166666664</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4" t="s">
        <v>69</v>
      </c>
      <c r="E26" s="105"/>
      <c r="F26" s="105"/>
      <c r="G26" s="105"/>
      <c r="H26" s="105"/>
      <c r="I26" s="106" t="s">
        <v>70</v>
      </c>
      <c r="J26" s="105"/>
      <c r="K26" s="107"/>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v>0</v>
      </c>
      <c r="E28" s="34" t="s">
        <v>79</v>
      </c>
      <c r="F28" s="35" t="s">
        <v>119</v>
      </c>
      <c r="G28" s="36" t="s">
        <v>120</v>
      </c>
      <c r="H28" s="36" t="s">
        <v>91</v>
      </c>
      <c r="I28" s="35" t="s">
        <v>92</v>
      </c>
      <c r="J28" s="35" t="s">
        <v>93</v>
      </c>
      <c r="K28" s="36" t="s">
        <v>94</v>
      </c>
      <c r="L28">
        <f>IF(ISBLANK(D28),"",IF(D28&gt;1000,(D28-1000)/26+33.0847,(IF(D28&gt;600,(D28-600)/28+18.799,(IF(D28&gt;400,(D28-400)/30+12.1324,(IF(D28&gt;200,(D28-200)/32+5.8824,D28/34))))))))</f>
        <v>0</v>
      </c>
      <c r="M28">
        <f t="shared" ref="M28:M37" si="2">IF(ISBLANK(D28),"",IF((D28=0),1,IF(D28&gt;=brevet,IF(brevet&gt;1200,(brevet-1200)*75/1000+90,Max_time),IF(D28&gt;1200,(D28-1200)*75/1000+90,IF(D28&gt;1000,(D28-1000)/(1000/75)+75,IF(D28&gt;600,(D28-600)/(400/35)+40,IF(D28&lt;=60,D28/20+1,D28/15)))))))</f>
        <v>1</v>
      </c>
      <c r="N28" s="4">
        <f>IF(ISBLANK(D28),"",Open_time Control_1+(INT(L28)&amp;":"&amp;IF(ROUND(((L28-INT(L28))*60),0)&lt;10,0,"")&amp;ROUND(((L28-INT(L28))*60),0)))</f>
        <v>45486.291666666664</v>
      </c>
      <c r="O28" s="4">
        <f>IF(ISBLANK(D28),"",Open_time Control_1+(INT(M28)&amp;":"&amp;IF(ROUND(((M28-INT(M28))*60),0)&lt;10,0,"")&amp;ROUND(((M28-INT(M28))*60),0)))</f>
        <v>45486.333333333328</v>
      </c>
    </row>
    <row r="29" spans="2:26" ht="17" customHeight="1" x14ac:dyDescent="0.15">
      <c r="D29" s="15">
        <v>47.6</v>
      </c>
      <c r="E29" s="34" t="s">
        <v>76</v>
      </c>
      <c r="F29" s="35" t="s">
        <v>95</v>
      </c>
      <c r="G29" s="35" t="s">
        <v>112</v>
      </c>
      <c r="H29" s="36" t="s">
        <v>104</v>
      </c>
      <c r="I29" s="35" t="s">
        <v>113</v>
      </c>
      <c r="J29" s="35" t="s">
        <v>114</v>
      </c>
      <c r="K29" s="36" t="s">
        <v>107</v>
      </c>
      <c r="L29">
        <f t="shared" ref="L29:L37" si="3">IF(ISBLANK(D29),"",IF(D29&gt;1000,(D29-1000)/26+33.0847,(IF(D29&gt;600,(D29-600)/28+18.799,(IF(D29&gt;400,(D29-400)/30+12.1324,(IF(D29&gt;200,(D29-200)/32+5.8824,D29/34))))))))</f>
        <v>1.4000000000000001</v>
      </c>
      <c r="M29">
        <f t="shared" si="2"/>
        <v>3.38</v>
      </c>
      <c r="N29" s="4">
        <f>IF(ISBLANK(D29),"",Open_time Control_1+(INT(L29)&amp;":"&amp;IF(ROUND(((L29-INT(L29))*60),0)&lt;10,0,"")&amp;ROUND(((L29-INT(L29))*60),0)))</f>
        <v>45486.35</v>
      </c>
      <c r="O29" s="4">
        <f>IF(ISBLANK(D29),"",Open_time Control_1+(INT(M29)&amp;":"&amp;IF(ROUND(((M29-INT(M29))*60),0)&lt;10,0,"")&amp;ROUND(((M29-INT(M29))*60),0)))</f>
        <v>45486.432638888888</v>
      </c>
    </row>
    <row r="30" spans="2:26" ht="17" customHeight="1" x14ac:dyDescent="0.15">
      <c r="D30" s="15">
        <v>62.8</v>
      </c>
      <c r="E30" s="34" t="s">
        <v>78</v>
      </c>
      <c r="F30" s="35" t="s">
        <v>82</v>
      </c>
      <c r="G30" s="36" t="s">
        <v>83</v>
      </c>
      <c r="H30" s="35"/>
      <c r="I30" s="35" t="s">
        <v>101</v>
      </c>
      <c r="J30" s="35"/>
      <c r="K30" s="36" t="s">
        <v>102</v>
      </c>
      <c r="L30">
        <f t="shared" si="3"/>
        <v>1.8470588235294116</v>
      </c>
      <c r="M30">
        <f t="shared" si="2"/>
        <v>4.1866666666666665</v>
      </c>
      <c r="N30" s="4">
        <f>IF(ISBLANK(D30),"",Open_time Control_1+(INT(L30)&amp;":"&amp;IF(ROUND(((L30-INT(L30))*60),0)&lt;10,0,"")&amp;ROUND(((L30-INT(L30))*60),0)))</f>
        <v>45486.368749999994</v>
      </c>
      <c r="O30" s="4">
        <f>IF(ISBLANK(D30),"",Open_time Control_1+(INT(M30)&amp;":"&amp;IF(ROUND(((M30-INT(M30))*60),0)&lt;10,0,"")&amp;ROUND(((M30-INT(M30))*60),0)))</f>
        <v>45486.46597222222</v>
      </c>
    </row>
    <row r="31" spans="2:26" ht="17" customHeight="1" x14ac:dyDescent="0.15">
      <c r="D31" s="15">
        <v>74.8</v>
      </c>
      <c r="E31" s="34" t="s">
        <v>80</v>
      </c>
      <c r="F31" s="35" t="s">
        <v>84</v>
      </c>
      <c r="G31" s="36" t="s">
        <v>85</v>
      </c>
      <c r="H31" s="35"/>
      <c r="I31" s="35" t="s">
        <v>86</v>
      </c>
      <c r="J31" s="35"/>
      <c r="K31" s="35" t="s">
        <v>87</v>
      </c>
      <c r="L31">
        <f t="shared" si="3"/>
        <v>2.1999999999999997</v>
      </c>
      <c r="M31">
        <f t="shared" si="2"/>
        <v>4.9866666666666664</v>
      </c>
      <c r="N31" s="4">
        <f>IF(ISBLANK(D31),"",Open_time Control_1+(INT(L31)&amp;":"&amp;IF(ROUND(((L31-INT(L31))*60),0)&lt;10,0,"")&amp;ROUND(((L31-INT(L31))*60),0)))</f>
        <v>45486.383333333331</v>
      </c>
      <c r="O31" s="4">
        <f>IF(ISBLANK(D31),"",Open_time Control_1+(INT(M31)&amp;":"&amp;IF(ROUND(((M31-INT(M31))*60),0)&lt;10,0,"")&amp;ROUND(((M31-INT(M31))*60),0)))</f>
        <v>45486.499305555553</v>
      </c>
    </row>
    <row r="32" spans="2:26" ht="17" customHeight="1" x14ac:dyDescent="0.15">
      <c r="D32" s="15">
        <v>83.5</v>
      </c>
      <c r="E32" s="34" t="s">
        <v>81</v>
      </c>
      <c r="F32" s="35" t="s">
        <v>88</v>
      </c>
      <c r="G32" s="36" t="s">
        <v>89</v>
      </c>
      <c r="H32" s="35"/>
      <c r="I32" s="35" t="s">
        <v>109</v>
      </c>
      <c r="J32" s="35"/>
      <c r="K32" s="36" t="s">
        <v>110</v>
      </c>
      <c r="L32">
        <f t="shared" si="3"/>
        <v>2.4558823529411766</v>
      </c>
      <c r="M32">
        <f t="shared" si="2"/>
        <v>5.5666666666666664</v>
      </c>
      <c r="N32" s="4">
        <f>IF(ISBLANK(D32),"",Open_time Control_1+(INT(L32)&amp;":"&amp;IF(ROUND(((L32-INT(L32))*60),0)&lt;10,0,"")&amp;ROUND(((L32-INT(L32))*60),0)))</f>
        <v>45486.393749999996</v>
      </c>
      <c r="O32" s="4">
        <f>IF(ISBLANK(D32),"",Open_time Control_1+(INT(M32)&amp;":"&amp;IF(ROUND(((M32-INT(M32))*60),0)&lt;10,0,"")&amp;ROUND(((M32-INT(M32))*60),0)))</f>
        <v>45486.523611111108</v>
      </c>
    </row>
    <row r="33" spans="4:15" ht="17" customHeight="1" x14ac:dyDescent="0.15">
      <c r="D33" s="15">
        <v>95.4</v>
      </c>
      <c r="E33" s="34" t="s">
        <v>76</v>
      </c>
      <c r="F33" s="35" t="s">
        <v>117</v>
      </c>
      <c r="G33" s="35" t="s">
        <v>118</v>
      </c>
      <c r="H33" s="35" t="s">
        <v>115</v>
      </c>
      <c r="I33" s="35" t="s">
        <v>96</v>
      </c>
      <c r="J33" s="35" t="s">
        <v>97</v>
      </c>
      <c r="K33" s="36" t="s">
        <v>98</v>
      </c>
      <c r="L33">
        <f t="shared" si="3"/>
        <v>2.8058823529411767</v>
      </c>
      <c r="M33">
        <f t="shared" si="2"/>
        <v>6.36</v>
      </c>
      <c r="N33" s="4">
        <f>IF(ISBLANK(D33),"",Open_time Control_1+(INT(L33)&amp;":"&amp;IF(ROUND(((L33-INT(L33))*60),0)&lt;10,0,"")&amp;ROUND(((L33-INT(L33))*60),0)))</f>
        <v>45486.408333333333</v>
      </c>
      <c r="O33" s="4">
        <f>IF(ISBLANK(D33),"",Open_time Control_1+(INT(M33)&amp;":"&amp;IF(ROUND(((M33-INT(M33))*60),0)&lt;10,0,"")&amp;ROUND(((M33-INT(M33))*60),0)))</f>
        <v>45486.556944444441</v>
      </c>
    </row>
    <row r="34" spans="4:15" ht="17" customHeight="1" x14ac:dyDescent="0.15">
      <c r="D34" s="15">
        <v>129.69999999999999</v>
      </c>
      <c r="E34" s="34" t="s">
        <v>77</v>
      </c>
      <c r="F34" s="35" t="s">
        <v>117</v>
      </c>
      <c r="G34" s="35" t="s">
        <v>118</v>
      </c>
      <c r="H34" s="35" t="s">
        <v>90</v>
      </c>
      <c r="I34" s="36" t="s">
        <v>116</v>
      </c>
      <c r="J34" s="35"/>
      <c r="K34" s="36" t="s">
        <v>108</v>
      </c>
      <c r="L34">
        <f t="shared" si="3"/>
        <v>3.8147058823529409</v>
      </c>
      <c r="M34">
        <f t="shared" si="2"/>
        <v>8.6466666666666665</v>
      </c>
      <c r="N34" s="4">
        <f>IF(ISBLANK(D34),"",Open_time Control_1+(INT(L34)&amp;":"&amp;IF(ROUND(((L34-INT(L34))*60),0)&lt;10,0,"")&amp;ROUND(((L34-INT(L34))*60),0)))</f>
        <v>45486.450694444444</v>
      </c>
      <c r="O34" s="4">
        <f>IF(ISBLANK(D34),"",Open_time Control_1+(INT(M34)&amp;":"&amp;IF(ROUND(((M34-INT(M34))*60),0)&lt;10,0,"")&amp;ROUND(((M34-INT(M34))*60),0)))</f>
        <v>45486.652083333334</v>
      </c>
    </row>
    <row r="35" spans="4:15" ht="17" customHeight="1" x14ac:dyDescent="0.15">
      <c r="D35" s="15">
        <v>172.8</v>
      </c>
      <c r="E35" s="34" t="s">
        <v>78</v>
      </c>
      <c r="F35" s="35" t="s">
        <v>111</v>
      </c>
      <c r="G35" s="36" t="s">
        <v>103</v>
      </c>
      <c r="H35" s="36" t="s">
        <v>104</v>
      </c>
      <c r="I35" s="35" t="s">
        <v>105</v>
      </c>
      <c r="J35" s="35" t="s">
        <v>106</v>
      </c>
      <c r="K35" s="36" t="s">
        <v>107</v>
      </c>
      <c r="L35">
        <f t="shared" si="3"/>
        <v>5.0823529411764712</v>
      </c>
      <c r="M35">
        <f t="shared" si="2"/>
        <v>11.520000000000001</v>
      </c>
      <c r="N35" s="4">
        <f>IF(ISBLANK(D35),"",Open_time Control_1+(INT(L35)&amp;":"&amp;IF(ROUND(((L35-INT(L35))*60),0)&lt;10,0,"")&amp;ROUND(((L35-INT(L35))*60),0)))</f>
        <v>45486.503472222219</v>
      </c>
      <c r="O35" s="4">
        <f>IF(ISBLANK(D35),"",Open_time Control_1+(INT(M35)&amp;":"&amp;IF(ROUND(((M35-INT(M35))*60),0)&lt;10,0,"")&amp;ROUND(((M35-INT(M35))*60),0)))</f>
        <v>45486.771527777775</v>
      </c>
    </row>
    <row r="36" spans="4:15" ht="17" customHeight="1" x14ac:dyDescent="0.15">
      <c r="D36" s="15">
        <v>200.3</v>
      </c>
      <c r="E36" s="34" t="s">
        <v>79</v>
      </c>
      <c r="F36" s="35" t="s">
        <v>119</v>
      </c>
      <c r="G36" s="36" t="s">
        <v>120</v>
      </c>
      <c r="H36" s="36" t="s">
        <v>91</v>
      </c>
      <c r="I36" s="35" t="s">
        <v>99</v>
      </c>
      <c r="J36" s="36"/>
      <c r="K36" s="36"/>
      <c r="L36">
        <f t="shared" si="3"/>
        <v>5.891775</v>
      </c>
      <c r="M36">
        <f t="shared" si="2"/>
        <v>13.5</v>
      </c>
      <c r="N36" s="4">
        <f>IF(ISBLANK(D36),"",Open_time Control_1+(INT(L36)&amp;":"&amp;IF(ROUND(((L36-INT(L36))*60),0)&lt;10,0,"")&amp;ROUND(((L36-INT(L36))*60),0)))</f>
        <v>45486.537499999999</v>
      </c>
      <c r="O36" s="4">
        <f>IF(ISBLANK(D36),"",Open_time Control_1+(INT(M36)&amp;":"&amp;IF(ROUND(((M36-INT(M36))*60),0)&lt;10,0,"")&amp;ROUND(((M36-INT(M36))*60),0)))</f>
        <v>45486.854166666664</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row r="38" spans="4:15" ht="7" customHeight="1" thickBot="1" x14ac:dyDescent="0.25">
      <c r="D38" s="26"/>
      <c r="E38" s="27"/>
      <c r="F38" s="28"/>
      <c r="G38" s="28"/>
      <c r="H38" s="28"/>
      <c r="I38" s="28"/>
      <c r="J38" s="28"/>
      <c r="K38" s="29"/>
      <c r="N38" s="4"/>
      <c r="O38" s="4"/>
    </row>
    <row r="39" spans="4:15" ht="14" thickBot="1" x14ac:dyDescent="0.2">
      <c r="D39" s="104"/>
      <c r="E39" s="105"/>
      <c r="F39" s="105"/>
      <c r="G39" s="105"/>
      <c r="H39" s="105"/>
      <c r="I39" s="106"/>
      <c r="J39" s="105"/>
      <c r="K39" s="107"/>
    </row>
    <row r="40" spans="4:15" ht="14" thickBot="1" x14ac:dyDescent="0.2">
      <c r="D40" s="5"/>
      <c r="E40" s="6"/>
      <c r="F40" s="24"/>
      <c r="G40" s="24"/>
      <c r="H40" s="25"/>
      <c r="I40" s="6"/>
      <c r="J40" s="6"/>
      <c r="K40" s="7"/>
    </row>
    <row r="41" spans="4:15" ht="17" customHeight="1" x14ac:dyDescent="0.15">
      <c r="D41" s="15"/>
      <c r="E41" s="34"/>
      <c r="F41" s="35"/>
      <c r="G41" s="35"/>
      <c r="H41" s="36"/>
      <c r="I41" s="35"/>
      <c r="J41" s="35"/>
      <c r="K41" s="36"/>
      <c r="N41" s="4"/>
      <c r="O41" s="4"/>
    </row>
    <row r="42" spans="4:15" ht="17" customHeight="1" x14ac:dyDescent="0.15">
      <c r="D42" s="15"/>
      <c r="E42" s="34"/>
      <c r="F42" s="35"/>
      <c r="G42" s="35"/>
      <c r="H42" s="36"/>
      <c r="I42" s="35"/>
      <c r="J42" s="35"/>
      <c r="K42" s="36"/>
      <c r="N42" s="4"/>
      <c r="O42" s="4"/>
    </row>
    <row r="43" spans="4:15" ht="17" customHeight="1" x14ac:dyDescent="0.15">
      <c r="D43" s="15"/>
      <c r="E43" s="34"/>
      <c r="F43" s="35"/>
      <c r="G43" s="35"/>
      <c r="H43" s="36"/>
      <c r="I43" s="35"/>
      <c r="J43" s="35"/>
      <c r="K43" s="36"/>
      <c r="N43" s="4"/>
      <c r="O43" s="4"/>
    </row>
    <row r="44" spans="4:15" ht="17" customHeight="1" x14ac:dyDescent="0.15">
      <c r="D44" s="15"/>
      <c r="E44" s="34"/>
      <c r="F44" s="35"/>
      <c r="G44" s="35"/>
      <c r="H44" s="36"/>
      <c r="I44" s="35"/>
      <c r="J44" s="35"/>
      <c r="K44" s="36"/>
      <c r="N44" s="4"/>
      <c r="O44" s="4"/>
    </row>
    <row r="45" spans="4:15" ht="17" customHeight="1" x14ac:dyDescent="0.15">
      <c r="D45" s="15"/>
      <c r="E45" s="34"/>
      <c r="F45" s="35"/>
      <c r="G45" s="35"/>
      <c r="H45" s="36"/>
      <c r="I45" s="35"/>
      <c r="J45" s="35"/>
      <c r="K45" s="36"/>
      <c r="N45" s="4"/>
      <c r="O45" s="4"/>
    </row>
    <row r="46" spans="4:15" ht="17" customHeight="1" x14ac:dyDescent="0.15">
      <c r="D46" s="15"/>
      <c r="E46" s="34"/>
      <c r="F46" s="35"/>
      <c r="G46" s="35"/>
      <c r="H46" s="36"/>
      <c r="I46" s="35"/>
      <c r="J46" s="35"/>
      <c r="K46" s="36"/>
      <c r="N46" s="4"/>
      <c r="O46" s="4"/>
    </row>
    <row r="47" spans="4:15" ht="17" customHeight="1" x14ac:dyDescent="0.15">
      <c r="D47" s="15"/>
      <c r="E47" s="34"/>
      <c r="F47" s="35"/>
      <c r="G47" s="35"/>
      <c r="H47" s="36"/>
      <c r="I47" s="35"/>
      <c r="J47" s="35"/>
      <c r="K47" s="36"/>
      <c r="N47" s="4"/>
      <c r="O47" s="4"/>
    </row>
    <row r="48" spans="4:15" ht="17" customHeight="1" x14ac:dyDescent="0.15">
      <c r="D48" s="15"/>
      <c r="E48" s="34"/>
      <c r="F48" s="35"/>
      <c r="G48" s="35"/>
      <c r="H48" s="36"/>
      <c r="I48" s="35"/>
      <c r="J48" s="35"/>
      <c r="K48" s="36"/>
      <c r="N48" s="4"/>
      <c r="O48" s="4"/>
    </row>
    <row r="49" spans="4:15" ht="17" customHeight="1" x14ac:dyDescent="0.15">
      <c r="D49" s="15"/>
      <c r="E49" s="34"/>
      <c r="F49" s="35"/>
      <c r="G49" s="35"/>
      <c r="H49" s="36"/>
      <c r="I49" s="35"/>
      <c r="J49" s="35"/>
      <c r="K49" s="36"/>
      <c r="N49" s="4"/>
      <c r="O49" s="4"/>
    </row>
    <row r="50" spans="4:15" ht="17" customHeight="1" thickBot="1" x14ac:dyDescent="0.2">
      <c r="D50" s="20"/>
      <c r="E50" s="34"/>
      <c r="F50" s="35"/>
      <c r="G50" s="35"/>
      <c r="H50" s="36"/>
      <c r="I50" s="35"/>
      <c r="J50" s="35"/>
      <c r="K50" s="36"/>
      <c r="N50" s="4"/>
      <c r="O50" s="4"/>
    </row>
  </sheetData>
  <sheetProtection formatCells="0" selectLockedCells="1"/>
  <mergeCells count="10">
    <mergeCell ref="Q1:AF4"/>
    <mergeCell ref="J6:K6"/>
    <mergeCell ref="D13:H13"/>
    <mergeCell ref="I13:K13"/>
    <mergeCell ref="D39:H39"/>
    <mergeCell ref="I39:K39"/>
    <mergeCell ref="D26:H26"/>
    <mergeCell ref="I26:K26"/>
    <mergeCell ref="A1:G1"/>
    <mergeCell ref="B8:F8"/>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F28" sqref="F28"/>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29" t="s">
        <v>33</v>
      </c>
      <c r="D2" s="129"/>
      <c r="E2" s="129"/>
      <c r="F2" s="129"/>
      <c r="G2" s="55"/>
      <c r="H2" s="55"/>
      <c r="I2" s="78" t="s">
        <v>58</v>
      </c>
      <c r="J2" s="79">
        <f>'Control Entry'!B4</f>
        <v>45472</v>
      </c>
      <c r="K2" s="55"/>
      <c r="L2" s="55"/>
    </row>
    <row r="3" spans="2:15" ht="45" customHeight="1" x14ac:dyDescent="0.45">
      <c r="D3" s="12"/>
      <c r="E3" s="138" t="s">
        <v>29</v>
      </c>
      <c r="F3" s="138"/>
      <c r="G3" s="138"/>
      <c r="H3" s="138"/>
      <c r="I3" s="66" t="s">
        <v>60</v>
      </c>
      <c r="J3" s="71">
        <f>IF(ISBLANK(Brevet_Number),"",Brevet_Number)</f>
        <v>5406</v>
      </c>
      <c r="K3" s="39"/>
      <c r="L3" s="39"/>
    </row>
    <row r="4" spans="2:15" ht="20" customHeight="1" x14ac:dyDescent="0.15">
      <c r="C4" s="12"/>
      <c r="E4" s="139" t="str">
        <f>IF(ISBLANK(Brevet_Length),"",Brevet_Length&amp;" km Randonnée")</f>
        <v>200 km Randonnée</v>
      </c>
      <c r="F4" s="139"/>
      <c r="G4" s="139"/>
      <c r="H4" s="139"/>
      <c r="K4" s="51"/>
      <c r="L4" s="51"/>
    </row>
    <row r="5" spans="2:15" ht="20" customHeight="1" x14ac:dyDescent="0.2">
      <c r="D5" s="52"/>
      <c r="E5" s="137" t="str">
        <f>IF(ISBLANK(Brevet_Description),"",Brevet_Description)</f>
        <v>Old Rails and Trails</v>
      </c>
      <c r="F5" s="137"/>
      <c r="G5" s="137"/>
      <c r="H5" s="137"/>
      <c r="I5" s="74"/>
      <c r="J5" s="52"/>
      <c r="K5" s="52"/>
      <c r="L5" s="52"/>
    </row>
    <row r="6" spans="2:15" ht="20" x14ac:dyDescent="0.2">
      <c r="D6" s="67"/>
      <c r="E6" s="137"/>
      <c r="F6" s="137"/>
      <c r="G6" s="137"/>
      <c r="H6" s="137"/>
      <c r="I6" s="74"/>
      <c r="J6" s="67"/>
      <c r="K6" s="52"/>
      <c r="L6" s="52"/>
    </row>
    <row r="7" spans="2:15" ht="25" customHeight="1" x14ac:dyDescent="0.15">
      <c r="C7" s="133"/>
      <c r="D7" s="133"/>
      <c r="E7" s="133"/>
      <c r="F7" s="133"/>
      <c r="H7" s="135"/>
    </row>
    <row r="8" spans="2:15" ht="21" thickBot="1" x14ac:dyDescent="0.25">
      <c r="B8" s="17" t="s">
        <v>61</v>
      </c>
      <c r="C8" s="134"/>
      <c r="D8" s="134"/>
      <c r="E8" s="134"/>
      <c r="F8" s="134"/>
      <c r="G8" s="17" t="s">
        <v>31</v>
      </c>
      <c r="H8" s="136"/>
      <c r="I8" s="53"/>
      <c r="J8" s="53"/>
      <c r="K8" s="53"/>
    </row>
    <row r="9" spans="2:15" ht="22" customHeight="1" x14ac:dyDescent="0.15">
      <c r="B9" s="58"/>
      <c r="C9" s="58"/>
      <c r="D9" s="58"/>
      <c r="E9" s="58"/>
      <c r="F9" s="54"/>
      <c r="G9" s="60"/>
      <c r="H9" s="60"/>
      <c r="I9" s="60"/>
      <c r="J9" s="54"/>
    </row>
    <row r="10" spans="2:15" ht="20" customHeight="1" x14ac:dyDescent="0.15">
      <c r="B10" s="131" t="s">
        <v>34</v>
      </c>
      <c r="C10" s="131"/>
      <c r="D10" s="64" t="s">
        <v>35</v>
      </c>
      <c r="E10" s="132" t="s">
        <v>57</v>
      </c>
      <c r="F10" s="132"/>
      <c r="G10" s="132"/>
      <c r="H10" s="70"/>
      <c r="I10" s="59"/>
      <c r="J10" s="59"/>
      <c r="K10" s="19"/>
      <c r="L10" s="110"/>
      <c r="M10" s="110"/>
      <c r="N10" s="110"/>
      <c r="O10" s="110"/>
    </row>
    <row r="11" spans="2:15" ht="23" x14ac:dyDescent="0.15">
      <c r="B11" s="58"/>
      <c r="C11" s="58" t="s">
        <v>73</v>
      </c>
      <c r="D11" s="58"/>
      <c r="E11" s="58"/>
      <c r="F11" s="54"/>
      <c r="G11" s="60"/>
      <c r="H11" s="60"/>
      <c r="I11" s="60"/>
      <c r="J11" s="54"/>
    </row>
    <row r="12" spans="2:15" ht="21" thickBot="1" x14ac:dyDescent="0.25">
      <c r="D12" s="126" t="s">
        <v>19</v>
      </c>
      <c r="E12" s="126"/>
      <c r="F12" s="69">
        <f>IF(ISBLANK('Control Entry'!B12),"",'Control Entry'!B12)</f>
        <v>45486</v>
      </c>
      <c r="G12" s="73"/>
      <c r="H12" s="17" t="s">
        <v>63</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26" t="s">
        <v>62</v>
      </c>
      <c r="E14" s="126"/>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7" t="s">
        <v>14</v>
      </c>
      <c r="D17" s="127"/>
      <c r="E17" s="127"/>
      <c r="F17" s="127"/>
      <c r="G17" s="19"/>
      <c r="H17" s="19"/>
      <c r="I17" s="128"/>
      <c r="J17" s="128"/>
      <c r="K17" s="19"/>
      <c r="L17" s="110"/>
      <c r="M17" s="110"/>
      <c r="N17" s="110"/>
      <c r="O17" s="110"/>
    </row>
    <row r="18" spans="2:15" ht="6" customHeight="1" thickBot="1" x14ac:dyDescent="0.2">
      <c r="B18" s="61"/>
      <c r="C18" s="61"/>
      <c r="D18" s="61"/>
      <c r="E18" s="61"/>
      <c r="F18" s="62"/>
      <c r="G18" s="63"/>
      <c r="H18" s="63"/>
      <c r="I18" s="63"/>
      <c r="J18" s="62"/>
    </row>
    <row r="19" spans="2:15" ht="22" thickTop="1" thickBot="1" x14ac:dyDescent="0.2">
      <c r="B19" s="130" t="s">
        <v>50</v>
      </c>
      <c r="C19" s="130"/>
      <c r="D19" s="130"/>
      <c r="E19" s="130"/>
      <c r="F19" s="130"/>
      <c r="G19" s="130"/>
      <c r="H19" s="130"/>
      <c r="I19" s="130"/>
      <c r="J19" s="130"/>
    </row>
    <row r="20" spans="2:15" ht="20" thickBot="1" x14ac:dyDescent="0.25">
      <c r="B20" s="50" t="s">
        <v>26</v>
      </c>
      <c r="C20" s="8" t="s">
        <v>0</v>
      </c>
      <c r="D20" s="8" t="s">
        <v>1</v>
      </c>
      <c r="E20" s="8" t="s">
        <v>22</v>
      </c>
      <c r="F20" s="8" t="s">
        <v>27</v>
      </c>
      <c r="G20" s="123" t="s">
        <v>36</v>
      </c>
      <c r="H20" s="124"/>
      <c r="I20" s="125"/>
      <c r="J20" s="50" t="s">
        <v>28</v>
      </c>
    </row>
    <row r="21" spans="2:15" ht="40" customHeight="1" x14ac:dyDescent="0.25">
      <c r="B21" s="88"/>
      <c r="C21" s="100">
        <f>Control_1 Open_time</f>
        <v>45486.291666666664</v>
      </c>
      <c r="D21" s="100">
        <f>Control_1 Close_time</f>
        <v>45486.333333333328</v>
      </c>
      <c r="E21" s="89"/>
      <c r="F21" s="90" t="str">
        <f>IF(ISBLANK(Control_1 Establishment_1),"",Control_1 Establishment_1)</f>
        <v xml:space="preserve">Galloping Goose </v>
      </c>
      <c r="G21" s="113" t="str">
        <f>IF(ISBLANK('Control Entry'!I15),"",'Control Entry'!I15)</f>
        <v>STAFFED</v>
      </c>
      <c r="H21" s="114"/>
      <c r="I21" s="115"/>
      <c r="J21" s="91"/>
    </row>
    <row r="22" spans="2:15" ht="40" customHeight="1" x14ac:dyDescent="0.25">
      <c r="B22" s="92">
        <f>IF(ISBLANK(Distance Control_1),"",Control_1 Distance)</f>
        <v>0</v>
      </c>
      <c r="C22" s="93">
        <f>Control_1 Open_time</f>
        <v>45486.291666666664</v>
      </c>
      <c r="D22" s="93">
        <f>Control_1 Close_time</f>
        <v>45486.333333333328</v>
      </c>
      <c r="E22" s="90" t="str">
        <f>IF(ISBLANK(Locale Control_1),"",Locale Control_1)</f>
        <v>VIEW ROYAL</v>
      </c>
      <c r="F22" s="90" t="str">
        <f>IF(ISBLANK(Control_1 Establishment_2),"",Control_1 Establishment_2)</f>
        <v>Regional Park</v>
      </c>
      <c r="G22" s="116" t="str">
        <f>IF(ISBLANK('Control Entry'!J15),"",'Control Entry'!J15)</f>
        <v/>
      </c>
      <c r="H22" s="117"/>
      <c r="I22" s="118"/>
      <c r="J22" s="94"/>
    </row>
    <row r="23" spans="2:15" ht="40" customHeight="1" thickBot="1" x14ac:dyDescent="0.3">
      <c r="B23" s="95"/>
      <c r="C23" s="101">
        <f>Control_1 Open_time</f>
        <v>45486.291666666664</v>
      </c>
      <c r="D23" s="101">
        <f>Control_1 Close_time</f>
        <v>45486.333333333328</v>
      </c>
      <c r="E23" s="96"/>
      <c r="F23" s="97" t="str">
        <f>IF(ISBLANK(Control_1 Establishment_3),"",Control_1 Establishment_3)</f>
        <v>Atkins Rd parking lot</v>
      </c>
      <c r="G23" s="119" t="str">
        <f>IF(ISBLANK('Control Entry'!K15),"",'Control Entry'!K15)</f>
        <v/>
      </c>
      <c r="H23" s="120"/>
      <c r="I23" s="121"/>
      <c r="J23" s="98"/>
    </row>
    <row r="24" spans="2:15" ht="40" customHeight="1" x14ac:dyDescent="0.25">
      <c r="B24" s="88"/>
      <c r="C24" s="100">
        <f>Control_2 Open_time</f>
        <v>45486.334027777775</v>
      </c>
      <c r="D24" s="100">
        <f>Control_2 Close_time</f>
        <v>45486.404861111107</v>
      </c>
      <c r="E24" s="99"/>
      <c r="F24" s="90" t="str">
        <f>IF(ISBLANK(Control_2 Establishment_1),"",Control_2 Establishment_1)</f>
        <v xml:space="preserve">Galloping Goose </v>
      </c>
      <c r="G24" s="113" t="str">
        <f>IF(ISBLANK('Control Entry'!I16),"",'Control Entry'!I16)</f>
        <v>Bottom of green Info sign by washroom</v>
      </c>
      <c r="H24" s="114"/>
      <c r="I24" s="115"/>
      <c r="J24" s="91"/>
    </row>
    <row r="25" spans="2:15" ht="40" customHeight="1" x14ac:dyDescent="0.25">
      <c r="B25" s="92">
        <f>IF(ISBLANK(Distance Control_2),"",Control_2 Distance)</f>
        <v>34.299999999999997</v>
      </c>
      <c r="C25" s="93">
        <f>Control_2 Open_time</f>
        <v>45486.334027777775</v>
      </c>
      <c r="D25" s="93">
        <f>Control_2 Close_time</f>
        <v>45486.404861111107</v>
      </c>
      <c r="E25" s="90" t="str">
        <f>IF(ISBLANK(Locale Control_2),"",Locale Control_2)</f>
        <v>SOOKE</v>
      </c>
      <c r="F25" s="90" t="str">
        <f>IF(ISBLANK(Control_2 Establishment_2),"",Control_2 Establishment_2)</f>
        <v>Regional Park</v>
      </c>
      <c r="G25" s="116" t="str">
        <f>IF(ISBLANK('Control Entry'!J16),"",'Control Entry'!J16)</f>
        <v/>
      </c>
      <c r="H25" s="117"/>
      <c r="I25" s="118"/>
      <c r="J25" s="94"/>
    </row>
    <row r="26" spans="2:15" ht="40" customHeight="1" thickBot="1" x14ac:dyDescent="0.3">
      <c r="B26" s="95"/>
      <c r="C26" s="101">
        <f>Control_2 Open_time</f>
        <v>45486.334027777775</v>
      </c>
      <c r="D26" s="101">
        <f>Control_2 Close_time</f>
        <v>45486.404861111107</v>
      </c>
      <c r="E26" s="96"/>
      <c r="F26" s="97" t="str">
        <f>IF(ISBLANK(Control_2 Establishment_3),"",Control_2 Establishment_3)</f>
        <v>Sooke River Rd parking lot</v>
      </c>
      <c r="G26" s="119" t="str">
        <f>IF(ISBLANK('Control Entry'!K16),"",'Control Entry'!K16)</f>
        <v>Sooke _______ Historical Society</v>
      </c>
      <c r="H26" s="120"/>
      <c r="I26" s="121"/>
      <c r="J26" s="98"/>
    </row>
    <row r="27" spans="2:15" ht="40" customHeight="1" x14ac:dyDescent="0.25">
      <c r="B27" s="88"/>
      <c r="C27" s="100">
        <f>Control_3 Open_time</f>
        <v>45486.38680555555</v>
      </c>
      <c r="D27" s="100">
        <f>Control_3 Close_time</f>
        <v>45486.506944444445</v>
      </c>
      <c r="E27" s="99"/>
      <c r="F27" s="90" t="str">
        <f>IF(ISBLANK(Control_3 Establishment_1),"",Control_3 Establishment_1)</f>
        <v>Copley West Park</v>
      </c>
      <c r="G27" s="113" t="str">
        <f>IF(ISBLANK('Control Entry'!I17),"",'Control Entry'!I17)</f>
        <v>Washroom building</v>
      </c>
      <c r="H27" s="114"/>
      <c r="I27" s="115"/>
      <c r="J27" s="91"/>
    </row>
    <row r="28" spans="2:15" ht="40" customHeight="1" x14ac:dyDescent="0.25">
      <c r="B28" s="92">
        <f>IF(ISBLANK(Distance Control_3),"",Control_3 Distance)</f>
        <v>77.400000000000006</v>
      </c>
      <c r="C28" s="93">
        <f>Control_3 Open_time</f>
        <v>45486.38680555555</v>
      </c>
      <c r="D28" s="93">
        <f>Control_3 Close_time</f>
        <v>45486.506944444445</v>
      </c>
      <c r="E28" s="90" t="str">
        <f>IF(ISBLANK(Locale Control_3),"",Locale Control_3)</f>
        <v>SAANICH</v>
      </c>
      <c r="F28" s="90" t="str">
        <f>IF(ISBLANK(Control_3 Establishment_2),"",Control_3 Establishment_2)</f>
        <v>598 Parkridge St</v>
      </c>
      <c r="G28" s="116" t="str">
        <f>IF(ISBLANK('Control Entry'!J17),"",'Control Entry'!J17)</f>
        <v>Which side of tennis court?</v>
      </c>
      <c r="H28" s="117"/>
      <c r="I28" s="118"/>
      <c r="J28" s="94"/>
    </row>
    <row r="29" spans="2:15" ht="40" customHeight="1" thickBot="1" x14ac:dyDescent="0.3">
      <c r="B29" s="95"/>
      <c r="C29" s="101">
        <f>Control_3 Open_time</f>
        <v>45486.38680555555</v>
      </c>
      <c r="D29" s="101">
        <f>Control_3 Close_time</f>
        <v>45486.506944444445</v>
      </c>
      <c r="E29" s="96"/>
      <c r="F29" s="97" t="str">
        <f>IF(ISBLANK(Control_3 Establishment_3),"",Control_3 Establishment_3)</f>
        <v>You're on the trail, though</v>
      </c>
      <c r="G29" s="119" t="str">
        <f>IF(ISBLANK('Control Entry'!K17),"",'Control Entry'!K17)</f>
        <v>LEFT          RIGHT</v>
      </c>
      <c r="H29" s="120"/>
      <c r="I29" s="121"/>
      <c r="J29" s="98"/>
    </row>
    <row r="30" spans="2:15" ht="40" customHeight="1" x14ac:dyDescent="0.25">
      <c r="B30" s="88"/>
      <c r="C30" s="100">
        <f>Control_4 Open_time</f>
        <v>45486.420138888883</v>
      </c>
      <c r="D30" s="100">
        <f>Control_4 Close_time</f>
        <v>45486.583333333328</v>
      </c>
      <c r="E30" s="99"/>
      <c r="F30" s="90" t="str">
        <f>IF(ISBLANK(Control_4 Establishment_1),"",Control_4 Establishment_1)</f>
        <v xml:space="preserve">Lost Airmen of </v>
      </c>
      <c r="G30" s="113" t="str">
        <f>IF(ISBLANK('Control Entry'!I18),"",'Control Entry'!I18)</f>
        <v>Concrete posts beside path</v>
      </c>
      <c r="H30" s="114"/>
      <c r="I30" s="115"/>
      <c r="J30" s="91"/>
    </row>
    <row r="31" spans="2:15" ht="40" customHeight="1" x14ac:dyDescent="0.25">
      <c r="B31" s="92">
        <f>IF(ISBLANK(Distance Control_4),"",Control_4 Distance)</f>
        <v>104.9</v>
      </c>
      <c r="C31" s="93">
        <f>Control_4 Open_time</f>
        <v>45486.420138888883</v>
      </c>
      <c r="D31" s="93">
        <f>Control_4 Close_time</f>
        <v>45486.583333333328</v>
      </c>
      <c r="E31" s="90" t="str">
        <f>IF(ISBLANK(Locale Control_4),"",Locale Control_4)</f>
        <v>NORTH SAANICH</v>
      </c>
      <c r="F31" s="90" t="str">
        <f>IF(ISBLANK(Control_4 Establishment_2),"",Control_4 Establishment_2)</f>
        <v>the Empire Park</v>
      </c>
      <c r="G31" s="116" t="str">
        <f>IF(ISBLANK('Control Entry'!J18),"",'Control Entry'!J18)</f>
        <v>Right post plaque</v>
      </c>
      <c r="H31" s="117"/>
      <c r="I31" s="118"/>
      <c r="J31" s="94"/>
    </row>
    <row r="32" spans="2:15" ht="40" customHeight="1" thickBot="1" x14ac:dyDescent="0.3">
      <c r="B32" s="95"/>
      <c r="C32" s="101">
        <f>Control_4 Open_time</f>
        <v>45486.420138888883</v>
      </c>
      <c r="D32" s="101">
        <f>Control_4 Close_time</f>
        <v>45486.583333333328</v>
      </c>
      <c r="E32" s="96"/>
      <c r="F32" s="97" t="str">
        <f>IF(ISBLANK(Control_4 Establishment_3),"",Control_4 Establishment_3)</f>
        <v>The Flight Path, Mills Rd</v>
      </c>
      <c r="G32" s="119" t="str">
        <f>IF(ISBLANK('Control Entry'!K18),"",'Control Entry'!K18)</f>
        <v>Patricia Bay 1939 -    ___________</v>
      </c>
      <c r="H32" s="120"/>
      <c r="I32" s="121"/>
      <c r="J32" s="98"/>
    </row>
    <row r="33" spans="2:10" ht="40" customHeight="1" x14ac:dyDescent="0.25">
      <c r="B33" s="88"/>
      <c r="C33" s="100">
        <f>Control_5 Open_time</f>
        <v>45486.478472222218</v>
      </c>
      <c r="D33" s="100">
        <f>Control_5 Close_time</f>
        <v>45486.715277777774</v>
      </c>
      <c r="E33" s="99"/>
      <c r="F33" s="90" t="str">
        <f>IF(ISBLANK(Control_5 Establishment_1),"",Control_5 Establishment_1)</f>
        <v>Portage Park</v>
      </c>
      <c r="G33" s="113" t="str">
        <f>IF(ISBLANK('Control Entry'!I19),"",'Control Entry'!I19)</f>
        <v>Water fountain</v>
      </c>
      <c r="H33" s="114"/>
      <c r="I33" s="115"/>
      <c r="J33" s="91"/>
    </row>
    <row r="34" spans="2:10" ht="40" customHeight="1" x14ac:dyDescent="0.25">
      <c r="B34" s="92">
        <f>IF(ISBLANK(Distance Control_5),"",Control_5 Distance)</f>
        <v>152.5</v>
      </c>
      <c r="C34" s="93">
        <f>Control_5 Open_time</f>
        <v>45486.478472222218</v>
      </c>
      <c r="D34" s="93">
        <f>Control_5 Close_time</f>
        <v>45486.715277777774</v>
      </c>
      <c r="E34" s="90" t="str">
        <f>IF(ISBLANK(Locale Control_5),"",Locale Control_5)</f>
        <v>VIEW ROYAL</v>
      </c>
      <c r="F34" s="90" t="str">
        <f>IF(ISBLANK(Control_5 Establishment_2),"",Control_5 Establishment_2)</f>
        <v>45 Island View Ave</v>
      </c>
      <c r="G34" s="116" t="str">
        <f>IF(ISBLANK('Control Entry'!J19),"",'Control Entry'!J19)</f>
        <v>Which side of info sign?</v>
      </c>
      <c r="H34" s="117"/>
      <c r="I34" s="118"/>
      <c r="J34" s="94"/>
    </row>
    <row r="35" spans="2:10" ht="40" customHeight="1" thickBot="1" x14ac:dyDescent="0.3">
      <c r="B35" s="95"/>
      <c r="C35" s="101">
        <f>Control_5 Open_time</f>
        <v>45486.478472222218</v>
      </c>
      <c r="D35" s="101">
        <f>Control_5 Close_time</f>
        <v>45486.715277777774</v>
      </c>
      <c r="E35" s="96"/>
      <c r="F35" s="97" t="str">
        <f>IF(ISBLANK(Control_5 Establishment_3),"",Control_5 Establishment_3)</f>
        <v>You're on the trail, though</v>
      </c>
      <c r="G35" s="119" t="str">
        <f>IF(ISBLANK('Control Entry'!K19),"",'Control Entry'!K19)</f>
        <v>LEFT          RIGHT</v>
      </c>
      <c r="H35" s="120"/>
      <c r="I35" s="121"/>
      <c r="J35" s="98"/>
    </row>
    <row r="36" spans="2:10" ht="40" customHeight="1" x14ac:dyDescent="0.25">
      <c r="B36" s="88"/>
      <c r="C36" s="100">
        <f>Control_6 Open_time</f>
        <v>45486.49722222222</v>
      </c>
      <c r="D36" s="100">
        <f>Control_6 Close_time</f>
        <v>45486.757638888885</v>
      </c>
      <c r="E36" s="99"/>
      <c r="F36" s="90" t="str">
        <f>IF(ISBLANK(Control_6 Establishment_1),"",Control_6 Establishment_1)</f>
        <v xml:space="preserve">Harvest Lane Park </v>
      </c>
      <c r="G36" s="113" t="str">
        <f>IF(ISBLANK('Control Entry'!I20),"",'Control Entry'!I20)</f>
        <v>Under steps to slide</v>
      </c>
      <c r="H36" s="114"/>
      <c r="I36" s="115"/>
      <c r="J36" s="91"/>
    </row>
    <row r="37" spans="2:10" ht="40" customHeight="1" x14ac:dyDescent="0.25">
      <c r="B37" s="92">
        <f>IF(ISBLANK(Distance Control_6),"",Control_6 Distance)</f>
        <v>167.7</v>
      </c>
      <c r="C37" s="93">
        <f>Control_6 Open_time</f>
        <v>45486.49722222222</v>
      </c>
      <c r="D37" s="93">
        <f>Control_6 Close_time</f>
        <v>45486.757638888885</v>
      </c>
      <c r="E37" s="90" t="str">
        <f>IF(ISBLANK(Locale Control_6),"",Locale Control_6)</f>
        <v>SAANICH</v>
      </c>
      <c r="F37" s="90" t="str">
        <f>IF(ISBLANK(Control_6 Establishment_2),"",Control_6 Establishment_2)</f>
        <v>1457 Harvest Ln</v>
      </c>
      <c r="G37" s="116" t="str">
        <f>IF(ISBLANK('Control Entry'!J20),"",'Control Entry'!J20)</f>
        <v/>
      </c>
      <c r="H37" s="117"/>
      <c r="I37" s="118"/>
      <c r="J37" s="94"/>
    </row>
    <row r="38" spans="2:10" ht="40" customHeight="1" thickBot="1" x14ac:dyDescent="0.3">
      <c r="B38" s="95"/>
      <c r="C38" s="101">
        <f>Control_6 Open_time</f>
        <v>45486.49722222222</v>
      </c>
      <c r="D38" s="101">
        <f>Control_6 Close_time</f>
        <v>45486.757638888885</v>
      </c>
      <c r="E38" s="96"/>
      <c r="F38" s="97" t="str">
        <f>IF(ISBLANK(Control_6 Establishment_3),"",Control_6 Establishment_3)</f>
        <v/>
      </c>
      <c r="G38" s="119" t="str">
        <f>IF(ISBLANK('Control Entry'!K20),"",'Control Entry'!K20)</f>
        <v>"There's magical _________within"?</v>
      </c>
      <c r="H38" s="120"/>
      <c r="I38" s="121"/>
      <c r="J38" s="98"/>
    </row>
    <row r="39" spans="2:10" ht="40" customHeight="1" x14ac:dyDescent="0.25">
      <c r="B39" s="88"/>
      <c r="C39" s="100">
        <f>Control_7 Open_time</f>
        <v>45486.51180555555</v>
      </c>
      <c r="D39" s="100">
        <f>Control_7 Close_time</f>
        <v>45486.790972222218</v>
      </c>
      <c r="E39" s="99"/>
      <c r="F39" s="90" t="str">
        <f>IF(ISBLANK(Control_7 Establishment_1),"",Control_7 Establishment_1)</f>
        <v>Anderson Hill Park</v>
      </c>
      <c r="G39" s="113" t="str">
        <f>IF(ISBLANK('Control Entry'!I21),"",'Control Entry'!I21)</f>
        <v>Entry arch to park,</v>
      </c>
      <c r="H39" s="114"/>
      <c r="I39" s="115"/>
      <c r="J39" s="91"/>
    </row>
    <row r="40" spans="2:10" ht="40" customHeight="1" x14ac:dyDescent="0.25">
      <c r="B40" s="92">
        <f>IF(ISBLANK(Distance Control_7),"",Control_7 Distance)</f>
        <v>179.7</v>
      </c>
      <c r="C40" s="93">
        <f>Control_7 Open_time</f>
        <v>45486.51180555555</v>
      </c>
      <c r="D40" s="93">
        <f>Control_7 Close_time</f>
        <v>45486.790972222218</v>
      </c>
      <c r="E40" s="90" t="str">
        <f>IF(ISBLANK(Locale Control_7),"",Locale Control_7)</f>
        <v>OAK BAY</v>
      </c>
      <c r="F40" s="90" t="str">
        <f>IF(ISBLANK(Control_7 Establishment_2),"",Control_7 Establishment_2)</f>
        <v>572 Island Rd</v>
      </c>
      <c r="G40" s="116" t="str">
        <f>IF(ISBLANK('Control Entry'!J21),"",'Control Entry'!J21)</f>
        <v/>
      </c>
      <c r="H40" s="117"/>
      <c r="I40" s="118"/>
      <c r="J40" s="94"/>
    </row>
    <row r="41" spans="2:10" ht="40" customHeight="1" thickBot="1" x14ac:dyDescent="0.3">
      <c r="B41" s="95"/>
      <c r="C41" s="101">
        <f>Control_7 Open_time</f>
        <v>45486.51180555555</v>
      </c>
      <c r="D41" s="101">
        <f>Control_7 Close_time</f>
        <v>45486.790972222218</v>
      </c>
      <c r="E41" s="96"/>
      <c r="F41" s="97" t="str">
        <f>IF(ISBLANK(Control_7 Establishment_3),"",Control_7 Establishment_3)</f>
        <v/>
      </c>
      <c r="G41" s="119" t="str">
        <f>IF(ISBLANK('Control Entry'!K21),"",'Control Entry'!K21)</f>
        <v>How many signs on left post?</v>
      </c>
      <c r="H41" s="120"/>
      <c r="I41" s="121"/>
      <c r="J41" s="98"/>
    </row>
    <row r="42" spans="2:10" ht="40" customHeight="1" x14ac:dyDescent="0.25">
      <c r="B42" s="88"/>
      <c r="C42" s="100">
        <f>Control_8 Open_time</f>
        <v>45486.522222222222</v>
      </c>
      <c r="D42" s="100">
        <f>Control_8 Close_time</f>
        <v>45486.815277777772</v>
      </c>
      <c r="E42" s="99"/>
      <c r="F42" s="90" t="str">
        <f>IF(ISBLANK(Control_8 Establishment_1),"",Control_8 Establishment_1)</f>
        <v>HMCS Malahat</v>
      </c>
      <c r="G42" s="113" t="str">
        <f>IF(ISBLANK('Control Entry'!I22),"",'Control Entry'!I22)</f>
        <v>Outside left of entrance</v>
      </c>
      <c r="H42" s="114"/>
      <c r="I42" s="115"/>
      <c r="J42" s="91"/>
    </row>
    <row r="43" spans="2:10" ht="40" customHeight="1" x14ac:dyDescent="0.25">
      <c r="B43" s="92">
        <f>IF(ISBLANK(Distance Control_8),"",Control_8 Distance)</f>
        <v>188.4</v>
      </c>
      <c r="C43" s="93">
        <f>Control_8 Open_time</f>
        <v>45486.522222222222</v>
      </c>
      <c r="D43" s="93">
        <f>Control_8 Close_time</f>
        <v>45486.815277777772</v>
      </c>
      <c r="E43" s="90" t="str">
        <f>IF(ISBLANK(Locale Control_8),"",Locale Control_8)</f>
        <v>VICTORIA</v>
      </c>
      <c r="F43" s="90" t="str">
        <f>IF(ISBLANK(Control_8 Establishment_2),"",Control_8 Establishment_2)</f>
        <v>20 Huron St</v>
      </c>
      <c r="G43" s="116" t="str">
        <f>IF(ISBLANK('Control Entry'!J22),"",'Control Entry'!J22)</f>
        <v/>
      </c>
      <c r="H43" s="117"/>
      <c r="I43" s="118"/>
      <c r="J43" s="94"/>
    </row>
    <row r="44" spans="2:10" ht="40" customHeight="1" thickBot="1" x14ac:dyDescent="0.3">
      <c r="B44" s="95"/>
      <c r="C44" s="101">
        <f>Control_8 Open_time</f>
        <v>45486.522222222222</v>
      </c>
      <c r="D44" s="101">
        <f>Control_8 Close_time</f>
        <v>45486.815277777772</v>
      </c>
      <c r="E44" s="96"/>
      <c r="F44" s="97" t="str">
        <f>IF(ISBLANK(Control_8 Establishment_3),"",Control_8 Establishment_3)</f>
        <v/>
      </c>
      <c r="G44" s="119" t="str">
        <f>IF(ISBLANK('Control Entry'!K22),"",'Control Entry'!K22)</f>
        <v>What is the big black sculpture thing?</v>
      </c>
      <c r="H44" s="120"/>
      <c r="I44" s="121"/>
      <c r="J44" s="98"/>
    </row>
    <row r="45" spans="2:10" ht="40" customHeight="1" x14ac:dyDescent="0.25">
      <c r="B45" s="88"/>
      <c r="C45" s="100">
        <f>Control_9 Open_time</f>
        <v>45486.537499999999</v>
      </c>
      <c r="D45" s="100">
        <f>Control_9 Close_time</f>
        <v>45486.854166666664</v>
      </c>
      <c r="E45" s="99"/>
      <c r="F45" s="90" t="str">
        <f>IF(ISBLANK(Control_9 Establishment_1),"",Control_9 Establishment_1)</f>
        <v xml:space="preserve">Galloping Goose </v>
      </c>
      <c r="G45" s="113" t="str">
        <f>IF(ISBLANK('Control Entry'!I23),"",'Control Entry'!I23)</f>
        <v>Self sign</v>
      </c>
      <c r="H45" s="114"/>
      <c r="I45" s="115"/>
      <c r="J45" s="91"/>
    </row>
    <row r="46" spans="2:10" ht="40" customHeight="1" x14ac:dyDescent="0.25">
      <c r="B46" s="92">
        <f>IF(ISBLANK(Distance Control_9),"",Control_9 Distance)</f>
        <v>200.3</v>
      </c>
      <c r="C46" s="93">
        <f>Control_9 Open_time</f>
        <v>45486.537499999999</v>
      </c>
      <c r="D46" s="93">
        <f>Control_9 Close_time</f>
        <v>45486.854166666664</v>
      </c>
      <c r="E46" s="90" t="str">
        <f>IF(ISBLANK(Locale Control_9),"",Locale Control_9)</f>
        <v>VIEW ROYAL</v>
      </c>
      <c r="F46" s="90" t="str">
        <f>IF(ISBLANK(Control_9 Establishment_2),"",Control_9 Establishment_2)</f>
        <v>Regional Park</v>
      </c>
      <c r="G46" s="116" t="str">
        <f>IF(ISBLANK('Control Entry'!J23),"",'Control Entry'!J23)</f>
        <v/>
      </c>
      <c r="H46" s="117"/>
      <c r="I46" s="118"/>
      <c r="J46" s="94"/>
    </row>
    <row r="47" spans="2:10" ht="40" customHeight="1" thickBot="1" x14ac:dyDescent="0.3">
      <c r="B47" s="95"/>
      <c r="C47" s="101">
        <f>Control_9 Open_time</f>
        <v>45486.537499999999</v>
      </c>
      <c r="D47" s="101">
        <f>Control_9 Close_time</f>
        <v>45486.854166666664</v>
      </c>
      <c r="E47" s="96"/>
      <c r="F47" s="97" t="str">
        <f>IF(ISBLANK(Control_9 Establishment_3),"",Control_9 Establishment_3)</f>
        <v>Atkins Rd parking lot</v>
      </c>
      <c r="G47" s="119" t="str">
        <f>IF(ISBLANK('Control Entry'!K23),"",'Control Entry'!K23)</f>
        <v/>
      </c>
      <c r="H47" s="120"/>
      <c r="I47" s="121"/>
      <c r="J47" s="98"/>
    </row>
    <row r="48" spans="2:10" ht="40" customHeight="1" x14ac:dyDescent="0.25">
      <c r="B48" s="88"/>
      <c r="C48" s="100" t="str">
        <f>Control_10 Open_time</f>
        <v/>
      </c>
      <c r="D48" s="100" t="str">
        <f>Control_10 Close_time</f>
        <v/>
      </c>
      <c r="E48" s="99"/>
      <c r="F48" s="90" t="str">
        <f>IF(ISBLANK(Control_10 Establishment_1),"",Control_10 Establishment_1)</f>
        <v/>
      </c>
      <c r="G48" s="113" t="str">
        <f>IF(ISBLANK('Control Entry'!I24),"",'Control Entry'!I24)</f>
        <v/>
      </c>
      <c r="H48" s="114"/>
      <c r="I48" s="115"/>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16" t="str">
        <f>IF(ISBLANK('Control Entry'!J24),"",'Control Entry'!J24)</f>
        <v/>
      </c>
      <c r="H49" s="117"/>
      <c r="I49" s="118"/>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19" t="str">
        <f>IF(ISBLANK('Control Entry'!K24),"",'Control Entry'!K24)</f>
        <v/>
      </c>
      <c r="H50" s="120"/>
      <c r="I50" s="121"/>
      <c r="J50" s="98"/>
    </row>
    <row r="52" spans="2:11" ht="24" customHeight="1" x14ac:dyDescent="0.15">
      <c r="B52" s="122" t="s">
        <v>30</v>
      </c>
      <c r="C52" s="122"/>
      <c r="D52" s="122"/>
      <c r="E52" s="122"/>
      <c r="F52" s="122"/>
      <c r="I52" s="58" t="s">
        <v>56</v>
      </c>
      <c r="J52" s="81" t="str">
        <f>IF(ISBLANK('Control Entry'!F10),"",'Control Entry'!F10)</f>
        <v>‭778-350-6119‬</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1"/>
      <c r="G57" s="112"/>
      <c r="H57" s="112"/>
      <c r="I57" s="112"/>
      <c r="J57" s="112"/>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F43" sqref="F43"/>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29" t="s">
        <v>33</v>
      </c>
      <c r="D2" s="129"/>
      <c r="E2" s="129"/>
      <c r="F2" s="129"/>
      <c r="G2" s="55"/>
      <c r="H2" s="55"/>
      <c r="I2" s="78" t="s">
        <v>58</v>
      </c>
      <c r="J2" s="79">
        <f>'Control Entry'!B4</f>
        <v>45472</v>
      </c>
      <c r="K2" s="55"/>
      <c r="L2" s="55"/>
    </row>
    <row r="3" spans="2:15" ht="45" customHeight="1" x14ac:dyDescent="0.45">
      <c r="D3" s="12"/>
      <c r="E3" s="138" t="s">
        <v>29</v>
      </c>
      <c r="F3" s="138"/>
      <c r="G3" s="138"/>
      <c r="H3" s="138"/>
      <c r="I3" s="66" t="s">
        <v>60</v>
      </c>
      <c r="J3" s="71">
        <f>IF(ISBLANK(Brevet_Number),"",Brevet_Number)</f>
        <v>5406</v>
      </c>
      <c r="K3" s="39"/>
      <c r="L3" s="39"/>
    </row>
    <row r="4" spans="2:15" ht="20" customHeight="1" x14ac:dyDescent="0.15">
      <c r="C4" s="12"/>
      <c r="E4" s="139" t="str">
        <f>IF(ISBLANK(Brevet_Length),"",Brevet_Length&amp;" km Randonnée")</f>
        <v>200 km Randonnée</v>
      </c>
      <c r="F4" s="139"/>
      <c r="G4" s="139"/>
      <c r="H4" s="139"/>
      <c r="K4" s="51"/>
      <c r="L4" s="51"/>
    </row>
    <row r="5" spans="2:15" ht="20" customHeight="1" x14ac:dyDescent="0.2">
      <c r="D5" s="52"/>
      <c r="E5" s="137" t="str">
        <f>IF(ISBLANK(Brevet_Description),"",Brevet_Description)</f>
        <v>Old Rails and Trails</v>
      </c>
      <c r="F5" s="137"/>
      <c r="G5" s="137"/>
      <c r="H5" s="137"/>
      <c r="I5" s="74"/>
      <c r="J5" s="52"/>
      <c r="K5" s="52"/>
      <c r="L5" s="52"/>
    </row>
    <row r="6" spans="2:15" ht="20" x14ac:dyDescent="0.2">
      <c r="D6" s="67"/>
      <c r="E6" s="137"/>
      <c r="F6" s="137"/>
      <c r="G6" s="137"/>
      <c r="H6" s="137"/>
      <c r="I6" s="74"/>
      <c r="J6" s="67"/>
      <c r="K6" s="52"/>
      <c r="L6" s="52"/>
    </row>
    <row r="7" spans="2:15" ht="25" customHeight="1" x14ac:dyDescent="0.15">
      <c r="C7" s="133"/>
      <c r="D7" s="133"/>
      <c r="E7" s="133"/>
      <c r="F7" s="133"/>
      <c r="H7" s="135"/>
    </row>
    <row r="8" spans="2:15" ht="21" thickBot="1" x14ac:dyDescent="0.25">
      <c r="B8" s="17" t="s">
        <v>61</v>
      </c>
      <c r="C8" s="134"/>
      <c r="D8" s="134"/>
      <c r="E8" s="134"/>
      <c r="F8" s="134"/>
      <c r="G8" s="17" t="s">
        <v>31</v>
      </c>
      <c r="H8" s="136"/>
      <c r="I8" s="53"/>
      <c r="J8" s="53"/>
      <c r="K8" s="53"/>
    </row>
    <row r="9" spans="2:15" ht="22" customHeight="1" x14ac:dyDescent="0.15">
      <c r="B9" s="58"/>
      <c r="C9" s="58"/>
      <c r="D9" s="58"/>
      <c r="E9" s="58"/>
      <c r="F9" s="54"/>
      <c r="G9" s="60"/>
      <c r="H9" s="60"/>
      <c r="I9" s="60"/>
      <c r="J9" s="54"/>
    </row>
    <row r="10" spans="2:15" ht="20" customHeight="1" x14ac:dyDescent="0.15">
      <c r="B10" s="131" t="s">
        <v>34</v>
      </c>
      <c r="C10" s="131"/>
      <c r="D10" s="64" t="s">
        <v>35</v>
      </c>
      <c r="E10" s="132" t="s">
        <v>57</v>
      </c>
      <c r="F10" s="132"/>
      <c r="G10" s="132"/>
      <c r="H10" s="70"/>
      <c r="I10" s="59"/>
      <c r="J10" s="59"/>
      <c r="K10" s="19"/>
      <c r="L10" s="110"/>
      <c r="M10" s="110"/>
      <c r="N10" s="110"/>
      <c r="O10" s="110"/>
    </row>
    <row r="11" spans="2:15" ht="23" x14ac:dyDescent="0.15">
      <c r="B11" s="58"/>
      <c r="C11" s="58" t="s">
        <v>73</v>
      </c>
      <c r="D11" s="58"/>
      <c r="E11" s="58"/>
      <c r="F11" s="54"/>
      <c r="G11" s="60"/>
      <c r="H11" s="60"/>
      <c r="I11" s="60"/>
      <c r="J11" s="54"/>
    </row>
    <row r="12" spans="2:15" ht="21" thickBot="1" x14ac:dyDescent="0.25">
      <c r="D12" s="126" t="s">
        <v>19</v>
      </c>
      <c r="E12" s="126"/>
      <c r="F12" s="69">
        <f>IF(ISBLANK('Control Entry'!B12),"",'Control Entry'!B12)</f>
        <v>45486</v>
      </c>
      <c r="G12" s="73"/>
      <c r="H12" s="17" t="s">
        <v>63</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26" t="s">
        <v>62</v>
      </c>
      <c r="E14" s="126"/>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7" t="s">
        <v>14</v>
      </c>
      <c r="D17" s="127"/>
      <c r="E17" s="127"/>
      <c r="F17" s="127"/>
      <c r="G17" s="19"/>
      <c r="H17" s="19"/>
      <c r="I17" s="128"/>
      <c r="J17" s="128"/>
      <c r="K17" s="19"/>
      <c r="L17" s="110"/>
      <c r="M17" s="110"/>
      <c r="N17" s="110"/>
      <c r="O17" s="110"/>
    </row>
    <row r="18" spans="2:15" ht="6" customHeight="1" thickBot="1" x14ac:dyDescent="0.2">
      <c r="B18" s="61"/>
      <c r="C18" s="61"/>
      <c r="D18" s="61"/>
      <c r="E18" s="61"/>
      <c r="F18" s="62"/>
      <c r="G18" s="63"/>
      <c r="H18" s="63"/>
      <c r="I18" s="63"/>
      <c r="J18" s="62"/>
    </row>
    <row r="19" spans="2:15" ht="22" thickTop="1" thickBot="1" x14ac:dyDescent="0.2">
      <c r="B19" s="130" t="s">
        <v>50</v>
      </c>
      <c r="C19" s="130"/>
      <c r="D19" s="130"/>
      <c r="E19" s="130"/>
      <c r="F19" s="130"/>
      <c r="G19" s="130"/>
      <c r="H19" s="130"/>
      <c r="I19" s="130"/>
      <c r="J19" s="130"/>
    </row>
    <row r="20" spans="2:15" ht="20" thickBot="1" x14ac:dyDescent="0.25">
      <c r="B20" s="50" t="s">
        <v>26</v>
      </c>
      <c r="C20" s="8" t="s">
        <v>0</v>
      </c>
      <c r="D20" s="8" t="s">
        <v>1</v>
      </c>
      <c r="E20" s="8" t="s">
        <v>22</v>
      </c>
      <c r="F20" s="8" t="s">
        <v>27</v>
      </c>
      <c r="G20" s="123" t="s">
        <v>36</v>
      </c>
      <c r="H20" s="124"/>
      <c r="I20" s="125"/>
      <c r="J20" s="50" t="s">
        <v>28</v>
      </c>
    </row>
    <row r="21" spans="2:15" ht="40" customHeight="1" x14ac:dyDescent="0.25">
      <c r="B21" s="88"/>
      <c r="C21" s="100">
        <f>'Control Entry'!N$28</f>
        <v>45486.291666666664</v>
      </c>
      <c r="D21" s="100">
        <f>'Control Entry'!O$28</f>
        <v>45486.333333333328</v>
      </c>
      <c r="E21" s="89"/>
      <c r="F21" s="90" t="str">
        <f>IF(ISBLANK('Control Entry'!F$28),"",'Control Entry'!F$28)</f>
        <v xml:space="preserve">Lost Airmen of </v>
      </c>
      <c r="G21" s="113" t="str">
        <f>IF(ISBLANK('Control Entry'!I$28),"",'Control Entry'!I$28)</f>
        <v>Concrete posts beside path</v>
      </c>
      <c r="H21" s="114"/>
      <c r="I21" s="115"/>
      <c r="J21" s="91"/>
    </row>
    <row r="22" spans="2:15" ht="40" customHeight="1" x14ac:dyDescent="0.25">
      <c r="B22" s="92">
        <f>IF(ISBLANK('Control Entry'!D$28),"",'Control Entry'!D$28)</f>
        <v>0</v>
      </c>
      <c r="C22" s="93">
        <f>'Control Entry'!N$28</f>
        <v>45486.291666666664</v>
      </c>
      <c r="D22" s="93">
        <f>'Control Entry'!O$28</f>
        <v>45486.333333333328</v>
      </c>
      <c r="E22" s="90" t="str">
        <f>IF(ISBLANK('Control Entry'!E$28),"",'Control Entry'!E$28)</f>
        <v>NORTH SAANICH</v>
      </c>
      <c r="F22" s="90" t="str">
        <f>IF(ISBLANK('Control Entry'!G$28),"",'Control Entry'!G$28)</f>
        <v>the Empire Park</v>
      </c>
      <c r="G22" s="116" t="str">
        <f>IF(ISBLANK('Control Entry'!J$28),"",'Control Entry'!J$28)</f>
        <v>Right post plaque</v>
      </c>
      <c r="H22" s="117"/>
      <c r="I22" s="118"/>
      <c r="J22" s="94"/>
    </row>
    <row r="23" spans="2:15" ht="40" customHeight="1" thickBot="1" x14ac:dyDescent="0.3">
      <c r="B23" s="95"/>
      <c r="C23" s="101">
        <f>'Control Entry'!N$28</f>
        <v>45486.291666666664</v>
      </c>
      <c r="D23" s="101">
        <f>'Control Entry'!O$28</f>
        <v>45486.333333333328</v>
      </c>
      <c r="E23" s="96"/>
      <c r="F23" s="97" t="str">
        <f>IF(ISBLANK('Control Entry'!H$28),"",'Control Entry'!H$28)</f>
        <v>The Flight Path, Mills Rd</v>
      </c>
      <c r="G23" s="119" t="str">
        <f>IF(ISBLANK('Control Entry'!K$28),"",'Control Entry'!K$28)</f>
        <v>Patricia Bay 1939 -    ___________</v>
      </c>
      <c r="H23" s="120"/>
      <c r="I23" s="121"/>
      <c r="J23" s="98"/>
    </row>
    <row r="24" spans="2:15" ht="40" customHeight="1" x14ac:dyDescent="0.25">
      <c r="B24" s="88"/>
      <c r="C24" s="100">
        <f>'Control Entry'!N$29</f>
        <v>45486.35</v>
      </c>
      <c r="D24" s="100">
        <f>'Control Entry'!O$29</f>
        <v>45486.432638888888</v>
      </c>
      <c r="E24" s="89"/>
      <c r="F24" s="90" t="str">
        <f>IF(ISBLANK('Control Entry'!F$29),"",'Control Entry'!F$29)</f>
        <v>Portage Park</v>
      </c>
      <c r="G24" s="113" t="str">
        <f>IF(ISBLANK('Control Entry'!I$29),"",'Control Entry'!I$29)</f>
        <v>Water fountain</v>
      </c>
      <c r="H24" s="114"/>
      <c r="I24" s="115"/>
      <c r="J24" s="91"/>
    </row>
    <row r="25" spans="2:15" ht="40" customHeight="1" x14ac:dyDescent="0.25">
      <c r="B25" s="92">
        <f>IF(ISBLANK('Control Entry'!D$29),"",'Control Entry'!D$29)</f>
        <v>47.6</v>
      </c>
      <c r="C25" s="93">
        <f>'Control Entry'!N$29</f>
        <v>45486.35</v>
      </c>
      <c r="D25" s="93">
        <f>'Control Entry'!O$29</f>
        <v>45486.432638888888</v>
      </c>
      <c r="E25" s="90" t="str">
        <f>IF(ISBLANK('Control Entry'!E$29),"",'Control Entry'!E$29)</f>
        <v>VIEW ROYAL</v>
      </c>
      <c r="F25" s="90" t="str">
        <f>IF(ISBLANK('Control Entry'!G$29),"",'Control Entry'!G$29)</f>
        <v>45 Island View Ave</v>
      </c>
      <c r="G25" s="116" t="str">
        <f>IF(ISBLANK('Control Entry'!J$29),"",'Control Entry'!J$29)</f>
        <v>Which side of info sign?</v>
      </c>
      <c r="H25" s="117"/>
      <c r="I25" s="118"/>
      <c r="J25" s="94"/>
    </row>
    <row r="26" spans="2:15" ht="40" customHeight="1" thickBot="1" x14ac:dyDescent="0.3">
      <c r="B26" s="95"/>
      <c r="C26" s="101">
        <f>'Control Entry'!N$29</f>
        <v>45486.35</v>
      </c>
      <c r="D26" s="101">
        <f>'Control Entry'!O$29</f>
        <v>45486.432638888888</v>
      </c>
      <c r="E26" s="96"/>
      <c r="F26" s="97" t="str">
        <f>IF(ISBLANK('Control Entry'!H$29),"",'Control Entry'!H$29)</f>
        <v>You're on the trail, though</v>
      </c>
      <c r="G26" s="119" t="str">
        <f>IF(ISBLANK('Control Entry'!K$29),"",'Control Entry'!K$29)</f>
        <v>LEFT          RIGHT</v>
      </c>
      <c r="H26" s="120"/>
      <c r="I26" s="121"/>
      <c r="J26" s="98"/>
    </row>
    <row r="27" spans="2:15" ht="40" customHeight="1" x14ac:dyDescent="0.25">
      <c r="B27" s="88"/>
      <c r="C27" s="100">
        <f>'Control Entry'!N$30</f>
        <v>45486.368749999994</v>
      </c>
      <c r="D27" s="100">
        <f>'Control Entry'!O$30</f>
        <v>45486.46597222222</v>
      </c>
      <c r="E27" s="89"/>
      <c r="F27" s="90" t="str">
        <f>IF(ISBLANK('Control Entry'!F$30),"",'Control Entry'!F$30)</f>
        <v xml:space="preserve">Harvest Lane Park </v>
      </c>
      <c r="G27" s="113" t="str">
        <f>IF(ISBLANK('Control Entry'!I$30),"",'Control Entry'!I$30)</f>
        <v>Under steps to slide</v>
      </c>
      <c r="H27" s="114"/>
      <c r="I27" s="115"/>
      <c r="J27" s="91"/>
    </row>
    <row r="28" spans="2:15" ht="40" customHeight="1" x14ac:dyDescent="0.25">
      <c r="B28" s="92">
        <f>IF(ISBLANK('Control Entry'!D$30),"",'Control Entry'!D$30)</f>
        <v>62.8</v>
      </c>
      <c r="C28" s="93">
        <f>'Control Entry'!N$30</f>
        <v>45486.368749999994</v>
      </c>
      <c r="D28" s="93">
        <f>'Control Entry'!O$30</f>
        <v>45486.46597222222</v>
      </c>
      <c r="E28" s="90" t="str">
        <f>IF(ISBLANK('Control Entry'!E$30),"",'Control Entry'!E$30)</f>
        <v>SAANICH</v>
      </c>
      <c r="F28" s="90" t="str">
        <f>IF(ISBLANK('Control Entry'!G$30),"",'Control Entry'!G$30)</f>
        <v>1457 Harvest Ln</v>
      </c>
      <c r="G28" s="116" t="str">
        <f>IF(ISBLANK('Control Entry'!J$30),"",'Control Entry'!J$30)</f>
        <v/>
      </c>
      <c r="H28" s="117"/>
      <c r="I28" s="118"/>
      <c r="J28" s="94"/>
    </row>
    <row r="29" spans="2:15" ht="40" customHeight="1" thickBot="1" x14ac:dyDescent="0.3">
      <c r="B29" s="95"/>
      <c r="C29" s="101">
        <f>'Control Entry'!N$30</f>
        <v>45486.368749999994</v>
      </c>
      <c r="D29" s="101">
        <f>'Control Entry'!O$30</f>
        <v>45486.46597222222</v>
      </c>
      <c r="E29" s="96"/>
      <c r="F29" s="97" t="str">
        <f>IF(ISBLANK('Control Entry'!H$30),"",'Control Entry'!H$30)</f>
        <v/>
      </c>
      <c r="G29" s="119" t="str">
        <f>IF(ISBLANK('Control Entry'!K$30),"",'Control Entry'!K$30)</f>
        <v>"There's magical _________within"?</v>
      </c>
      <c r="H29" s="120"/>
      <c r="I29" s="121"/>
      <c r="J29" s="98"/>
    </row>
    <row r="30" spans="2:15" ht="40" customHeight="1" x14ac:dyDescent="0.25">
      <c r="B30" s="88"/>
      <c r="C30" s="100">
        <f>'Control Entry'!N$31</f>
        <v>45486.383333333331</v>
      </c>
      <c r="D30" s="100">
        <f>'Control Entry'!O$31</f>
        <v>45486.499305555553</v>
      </c>
      <c r="E30" s="89"/>
      <c r="F30" s="90" t="str">
        <f>IF(ISBLANK('Control Entry'!F$31),"",'Control Entry'!F$31)</f>
        <v>Anderson Hill Park</v>
      </c>
      <c r="G30" s="113" t="str">
        <f>IF(ISBLANK('Control Entry'!I$31),"",'Control Entry'!I$31)</f>
        <v>Entry arch to park,</v>
      </c>
      <c r="H30" s="114"/>
      <c r="I30" s="115"/>
      <c r="J30" s="91"/>
    </row>
    <row r="31" spans="2:15" ht="40" customHeight="1" x14ac:dyDescent="0.25">
      <c r="B31" s="92">
        <f>IF(ISBLANK('Control Entry'!D$31),"",'Control Entry'!D$31)</f>
        <v>74.8</v>
      </c>
      <c r="C31" s="93">
        <f>'Control Entry'!N$31</f>
        <v>45486.383333333331</v>
      </c>
      <c r="D31" s="93">
        <f>'Control Entry'!O$31</f>
        <v>45486.499305555553</v>
      </c>
      <c r="E31" s="90" t="str">
        <f>IF(ISBLANK('Control Entry'!E$31),"",'Control Entry'!E$31)</f>
        <v>OAK BAY</v>
      </c>
      <c r="F31" s="90" t="str">
        <f>IF(ISBLANK('Control Entry'!G$31),"",'Control Entry'!G$31)</f>
        <v>572 Island Rd</v>
      </c>
      <c r="G31" s="116" t="str">
        <f>IF(ISBLANK('Control Entry'!J$31),"",'Control Entry'!J$31)</f>
        <v/>
      </c>
      <c r="H31" s="117"/>
      <c r="I31" s="118"/>
      <c r="J31" s="94"/>
    </row>
    <row r="32" spans="2:15" ht="40" customHeight="1" thickBot="1" x14ac:dyDescent="0.3">
      <c r="B32" s="95"/>
      <c r="C32" s="101">
        <f>'Control Entry'!N$31</f>
        <v>45486.383333333331</v>
      </c>
      <c r="D32" s="101">
        <f>'Control Entry'!O$31</f>
        <v>45486.499305555553</v>
      </c>
      <c r="E32" s="96"/>
      <c r="F32" s="97" t="str">
        <f>IF(ISBLANK('Control Entry'!H$31),"",'Control Entry'!H$31)</f>
        <v/>
      </c>
      <c r="G32" s="119" t="str">
        <f>IF(ISBLANK('Control Entry'!K$31),"",'Control Entry'!K$31)</f>
        <v>How many signs on left post?</v>
      </c>
      <c r="H32" s="120"/>
      <c r="I32" s="121"/>
      <c r="J32" s="98"/>
    </row>
    <row r="33" spans="2:10" ht="40" customHeight="1" x14ac:dyDescent="0.25">
      <c r="B33" s="88"/>
      <c r="C33" s="100">
        <f>'Control Entry'!N$32</f>
        <v>45486.393749999996</v>
      </c>
      <c r="D33" s="100">
        <f>'Control Entry'!O$32</f>
        <v>45486.523611111108</v>
      </c>
      <c r="E33" s="89"/>
      <c r="F33" s="90" t="str">
        <f>IF(ISBLANK('Control Entry'!F$32),"",'Control Entry'!F$32)</f>
        <v>HMCS Malahat</v>
      </c>
      <c r="G33" s="113" t="str">
        <f>IF(ISBLANK('Control Entry'!I$32),"",'Control Entry'!I$32)</f>
        <v>Outside left of entrance</v>
      </c>
      <c r="H33" s="114"/>
      <c r="I33" s="115"/>
      <c r="J33" s="91"/>
    </row>
    <row r="34" spans="2:10" ht="40" customHeight="1" x14ac:dyDescent="0.25">
      <c r="B34" s="92">
        <f>IF(ISBLANK('Control Entry'!D$32),"",'Control Entry'!D$32)</f>
        <v>83.5</v>
      </c>
      <c r="C34" s="93">
        <f>'Control Entry'!N$32</f>
        <v>45486.393749999996</v>
      </c>
      <c r="D34" s="93">
        <f>'Control Entry'!O$32</f>
        <v>45486.523611111108</v>
      </c>
      <c r="E34" s="90" t="str">
        <f>IF(ISBLANK('Control Entry'!E$32),"",'Control Entry'!E$32)</f>
        <v>VICTORIA</v>
      </c>
      <c r="F34" s="90" t="str">
        <f>IF(ISBLANK('Control Entry'!G$32),"",'Control Entry'!G$32)</f>
        <v>20 Huron St</v>
      </c>
      <c r="G34" s="116" t="str">
        <f>IF(ISBLANK('Control Entry'!J$32),"",'Control Entry'!J$32)</f>
        <v/>
      </c>
      <c r="H34" s="117"/>
      <c r="I34" s="118"/>
      <c r="J34" s="94"/>
    </row>
    <row r="35" spans="2:10" ht="40" customHeight="1" thickBot="1" x14ac:dyDescent="0.3">
      <c r="B35" s="95"/>
      <c r="C35" s="101">
        <f>'Control Entry'!N$32</f>
        <v>45486.393749999996</v>
      </c>
      <c r="D35" s="101">
        <f>'Control Entry'!O$32</f>
        <v>45486.523611111108</v>
      </c>
      <c r="E35" s="96"/>
      <c r="F35" s="97" t="str">
        <f>IF(ISBLANK('Control Entry'!H$32),"",'Control Entry'!H$32)</f>
        <v/>
      </c>
      <c r="G35" s="119" t="str">
        <f>IF(ISBLANK('Control Entry'!K$32),"",'Control Entry'!K$32)</f>
        <v>What is the big black sculpture thing?</v>
      </c>
      <c r="H35" s="120"/>
      <c r="I35" s="121"/>
      <c r="J35" s="98"/>
    </row>
    <row r="36" spans="2:10" ht="40" customHeight="1" x14ac:dyDescent="0.25">
      <c r="B36" s="88"/>
      <c r="C36" s="100">
        <f>'Control Entry'!N$33</f>
        <v>45486.408333333333</v>
      </c>
      <c r="D36" s="100">
        <f>'Control Entry'!O$33</f>
        <v>45486.556944444441</v>
      </c>
      <c r="E36" s="89"/>
      <c r="F36" s="90" t="str">
        <f>IF(ISBLANK('Control Entry'!F$33),"",'Control Entry'!F$33)</f>
        <v xml:space="preserve">Galloping Goose </v>
      </c>
      <c r="G36" s="113" t="str">
        <f>IF(ISBLANK('Control Entry'!I$33),"",'Control Entry'!I$33)</f>
        <v>Bicycle art in front of bench</v>
      </c>
      <c r="H36" s="114"/>
      <c r="I36" s="115"/>
      <c r="J36" s="91"/>
    </row>
    <row r="37" spans="2:10" ht="40" customHeight="1" x14ac:dyDescent="0.25">
      <c r="B37" s="92">
        <f>IF(ISBLANK('Control Entry'!D$33),"",'Control Entry'!D$33)</f>
        <v>95.4</v>
      </c>
      <c r="C37" s="93">
        <f>'Control Entry'!N$33</f>
        <v>45486.408333333333</v>
      </c>
      <c r="D37" s="93">
        <f>'Control Entry'!O$33</f>
        <v>45486.556944444441</v>
      </c>
      <c r="E37" s="90" t="str">
        <f>IF(ISBLANK('Control Entry'!E$33),"",'Control Entry'!E$33)</f>
        <v>VIEW ROYAL</v>
      </c>
      <c r="F37" s="90" t="str">
        <f>IF(ISBLANK('Control Entry'!G$33),"",'Control Entry'!G$33)</f>
        <v>Regional Park</v>
      </c>
      <c r="G37" s="116" t="str">
        <f>IF(ISBLANK('Control Entry'!J$33),"",'Control Entry'!J$33)</f>
        <v>What size?</v>
      </c>
      <c r="H37" s="117"/>
      <c r="I37" s="118"/>
      <c r="J37" s="94"/>
    </row>
    <row r="38" spans="2:10" ht="40" customHeight="1" thickBot="1" x14ac:dyDescent="0.3">
      <c r="B38" s="95"/>
      <c r="C38" s="101">
        <f>'Control Entry'!N$33</f>
        <v>45486.408333333333</v>
      </c>
      <c r="D38" s="101">
        <f>'Control Entry'!O$33</f>
        <v>45486.556944444441</v>
      </c>
      <c r="E38" s="96"/>
      <c r="F38" s="97" t="str">
        <f>IF(ISBLANK('Control Entry'!H$33),"",'Control Entry'!H$33)</f>
        <v>Atkins Rd parking lot</v>
      </c>
      <c r="G38" s="119" t="str">
        <f>IF(ISBLANK('Control Entry'!K$33),"",'Control Entry'!K$33)</f>
        <v>Small        Lifesize        Big</v>
      </c>
      <c r="H38" s="120"/>
      <c r="I38" s="121"/>
      <c r="J38" s="98"/>
    </row>
    <row r="39" spans="2:10" ht="40" customHeight="1" x14ac:dyDescent="0.25">
      <c r="B39" s="88"/>
      <c r="C39" s="100">
        <f>'Control Entry'!N$34</f>
        <v>45486.450694444444</v>
      </c>
      <c r="D39" s="100">
        <f>'Control Entry'!O$34</f>
        <v>45486.652083333334</v>
      </c>
      <c r="E39" s="89"/>
      <c r="F39" s="90" t="str">
        <f>IF(ISBLANK('Control Entry'!F$34),"",'Control Entry'!F$34)</f>
        <v xml:space="preserve">Galloping Goose </v>
      </c>
      <c r="G39" s="113" t="str">
        <f>IF(ISBLANK('Control Entry'!I$34),"",'Control Entry'!I$34)</f>
        <v>Bottom of green Info sign by washroom</v>
      </c>
      <c r="H39" s="114"/>
      <c r="I39" s="115"/>
      <c r="J39" s="91"/>
    </row>
    <row r="40" spans="2:10" ht="40" customHeight="1" x14ac:dyDescent="0.25">
      <c r="B40" s="92">
        <f>IF(ISBLANK('Control Entry'!D$34),"",'Control Entry'!D$34)</f>
        <v>129.69999999999999</v>
      </c>
      <c r="C40" s="93">
        <f>'Control Entry'!N$34</f>
        <v>45486.450694444444</v>
      </c>
      <c r="D40" s="93">
        <f>'Control Entry'!O$34</f>
        <v>45486.652083333334</v>
      </c>
      <c r="E40" s="90" t="str">
        <f>IF(ISBLANK('Control Entry'!E$34),"",'Control Entry'!E$34)</f>
        <v>SOOKE</v>
      </c>
      <c r="F40" s="90" t="str">
        <f>IF(ISBLANK('Control Entry'!G$34),"",'Control Entry'!G$34)</f>
        <v>Regional Park</v>
      </c>
      <c r="G40" s="116" t="str">
        <f>IF(ISBLANK('Control Entry'!J$34),"",'Control Entry'!J$34)</f>
        <v/>
      </c>
      <c r="H40" s="117"/>
      <c r="I40" s="118"/>
      <c r="J40" s="94"/>
    </row>
    <row r="41" spans="2:10" ht="40" customHeight="1" thickBot="1" x14ac:dyDescent="0.3">
      <c r="B41" s="95"/>
      <c r="C41" s="101">
        <f>'Control Entry'!N$34</f>
        <v>45486.450694444444</v>
      </c>
      <c r="D41" s="101">
        <f>'Control Entry'!O$34</f>
        <v>45486.652083333334</v>
      </c>
      <c r="E41" s="96"/>
      <c r="F41" s="97" t="str">
        <f>IF(ISBLANK('Control Entry'!H$34),"",'Control Entry'!H$34)</f>
        <v>Sooke River Rd parking lot</v>
      </c>
      <c r="G41" s="119" t="str">
        <f>IF(ISBLANK('Control Entry'!K$34),"",'Control Entry'!K$34)</f>
        <v>Sooke _______ Historical Society</v>
      </c>
      <c r="H41" s="120"/>
      <c r="I41" s="121"/>
      <c r="J41" s="98"/>
    </row>
    <row r="42" spans="2:10" ht="40" customHeight="1" x14ac:dyDescent="0.25">
      <c r="B42" s="88"/>
      <c r="C42" s="100">
        <f>'Control Entry'!N$35</f>
        <v>45486.503472222219</v>
      </c>
      <c r="D42" s="100">
        <f>'Control Entry'!O$35</f>
        <v>45486.771527777775</v>
      </c>
      <c r="E42" s="89"/>
      <c r="F42" s="90" t="str">
        <f>IF(ISBLANK('Control Entry'!F$35),"",'Control Entry'!F$35)</f>
        <v>Copley West Park</v>
      </c>
      <c r="G42" s="113" t="str">
        <f>IF(ISBLANK('Control Entry'!I$35),"",'Control Entry'!I$35)</f>
        <v>Washroom building</v>
      </c>
      <c r="H42" s="114"/>
      <c r="I42" s="115"/>
      <c r="J42" s="91"/>
    </row>
    <row r="43" spans="2:10" ht="40" customHeight="1" x14ac:dyDescent="0.25">
      <c r="B43" s="92">
        <f>IF(ISBLANK('Control Entry'!D$35),"",'Control Entry'!D$35)</f>
        <v>172.8</v>
      </c>
      <c r="C43" s="93">
        <f>'Control Entry'!N$35</f>
        <v>45486.503472222219</v>
      </c>
      <c r="D43" s="93">
        <f>'Control Entry'!O$35</f>
        <v>45486.771527777775</v>
      </c>
      <c r="E43" s="90" t="str">
        <f>IF(ISBLANK('Control Entry'!E$35),"",'Control Entry'!E$35)</f>
        <v>SAANICH</v>
      </c>
      <c r="F43" s="90" t="str">
        <f>IF(ISBLANK('Control Entry'!G$35),"",'Control Entry'!G$35)</f>
        <v>598 Parkridge St</v>
      </c>
      <c r="G43" s="116" t="str">
        <f>IF(ISBLANK('Control Entry'!J$35),"",'Control Entry'!J$35)</f>
        <v>Which side of tennis court?</v>
      </c>
      <c r="H43" s="117"/>
      <c r="I43" s="118"/>
      <c r="J43" s="94"/>
    </row>
    <row r="44" spans="2:10" ht="40" customHeight="1" thickBot="1" x14ac:dyDescent="0.3">
      <c r="B44" s="95"/>
      <c r="C44" s="101">
        <f>'Control Entry'!N$35</f>
        <v>45486.503472222219</v>
      </c>
      <c r="D44" s="101">
        <f>'Control Entry'!O$35</f>
        <v>45486.771527777775</v>
      </c>
      <c r="E44" s="96"/>
      <c r="F44" s="97" t="str">
        <f>IF(ISBLANK('Control Entry'!H$35),"",'Control Entry'!H$35)</f>
        <v>You're on the trail, though</v>
      </c>
      <c r="G44" s="119" t="str">
        <f>IF(ISBLANK('Control Entry'!K$35),"",'Control Entry'!K$35)</f>
        <v>LEFT          RIGHT</v>
      </c>
      <c r="H44" s="120"/>
      <c r="I44" s="121"/>
      <c r="J44" s="98"/>
    </row>
    <row r="45" spans="2:10" ht="40" customHeight="1" x14ac:dyDescent="0.25">
      <c r="B45" s="88"/>
      <c r="C45" s="100">
        <f>'Control Entry'!N$36</f>
        <v>45486.537499999999</v>
      </c>
      <c r="D45" s="100">
        <f>'Control Entry'!O$36</f>
        <v>45486.854166666664</v>
      </c>
      <c r="E45" s="89"/>
      <c r="F45" s="90" t="str">
        <f>IF(ISBLANK('Control Entry'!F$36),"",'Control Entry'!F$36)</f>
        <v xml:space="preserve">Lost Airmen of </v>
      </c>
      <c r="G45" s="113" t="str">
        <f>IF(ISBLANK('Control Entry'!I$36),"",'Control Entry'!I$36)</f>
        <v>Self sign</v>
      </c>
      <c r="H45" s="114"/>
      <c r="I45" s="115"/>
      <c r="J45" s="91"/>
    </row>
    <row r="46" spans="2:10" ht="40" customHeight="1" x14ac:dyDescent="0.25">
      <c r="B46" s="92">
        <f>IF(ISBLANK('Control Entry'!D$36),"",'Control Entry'!D$36)</f>
        <v>200.3</v>
      </c>
      <c r="C46" s="93">
        <f>'Control Entry'!N$36</f>
        <v>45486.537499999999</v>
      </c>
      <c r="D46" s="93">
        <f>'Control Entry'!O$36</f>
        <v>45486.854166666664</v>
      </c>
      <c r="E46" s="90" t="str">
        <f>IF(ISBLANK('Control Entry'!E$36),"",'Control Entry'!E$36)</f>
        <v>NORTH SAANICH</v>
      </c>
      <c r="F46" s="90" t="str">
        <f>IF(ISBLANK('Control Entry'!G$36),"",'Control Entry'!G$36)</f>
        <v>the Empire Park</v>
      </c>
      <c r="G46" s="116" t="str">
        <f>IF(ISBLANK('Control Entry'!J$36),"",'Control Entry'!J$36)</f>
        <v/>
      </c>
      <c r="H46" s="117"/>
      <c r="I46" s="118"/>
      <c r="J46" s="94"/>
    </row>
    <row r="47" spans="2:10" ht="40" customHeight="1" thickBot="1" x14ac:dyDescent="0.3">
      <c r="B47" s="95"/>
      <c r="C47" s="101">
        <f>'Control Entry'!N$36</f>
        <v>45486.537499999999</v>
      </c>
      <c r="D47" s="101">
        <f>'Control Entry'!O$36</f>
        <v>45486.854166666664</v>
      </c>
      <c r="E47" s="96"/>
      <c r="F47" s="97" t="str">
        <f>IF(ISBLANK('Control Entry'!H$36),"",'Control Entry'!H$36)</f>
        <v>The Flight Path, Mills Rd</v>
      </c>
      <c r="G47" s="119" t="str">
        <f>IF(ISBLANK('Control Entry'!K$36),"",'Control Entry'!K$36)</f>
        <v/>
      </c>
      <c r="H47" s="120"/>
      <c r="I47" s="121"/>
      <c r="J47" s="98"/>
    </row>
    <row r="48" spans="2:10" ht="40" customHeight="1" x14ac:dyDescent="0.25">
      <c r="B48" s="88"/>
      <c r="C48" s="100" t="str">
        <f>'Control Entry'!N$37</f>
        <v/>
      </c>
      <c r="D48" s="100" t="str">
        <f>'Control Entry'!O$37</f>
        <v/>
      </c>
      <c r="E48" s="89"/>
      <c r="F48" s="90" t="str">
        <f>IF(ISBLANK('Control Entry'!F$37),"",'Control Entry'!F$37)</f>
        <v/>
      </c>
      <c r="G48" s="113" t="str">
        <f>IF(ISBLANK('Control Entry'!I$37),"",'Control Entry'!I$37)</f>
        <v/>
      </c>
      <c r="H48" s="114"/>
      <c r="I48" s="115"/>
      <c r="J48" s="91"/>
    </row>
    <row r="49" spans="2:11" ht="40" customHeight="1" x14ac:dyDescent="0.25">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16" t="str">
        <f>IF(ISBLANK('Control Entry'!J$37),"",'Control Entry'!J$37)</f>
        <v/>
      </c>
      <c r="H49" s="117"/>
      <c r="I49" s="118"/>
      <c r="J49" s="94"/>
    </row>
    <row r="50" spans="2:11" ht="40" customHeight="1" thickBot="1" x14ac:dyDescent="0.3">
      <c r="B50" s="95"/>
      <c r="C50" s="101" t="str">
        <f>'Control Entry'!N$37</f>
        <v/>
      </c>
      <c r="D50" s="101" t="str">
        <f>'Control Entry'!O$37</f>
        <v/>
      </c>
      <c r="E50" s="96"/>
      <c r="F50" s="97" t="str">
        <f>IF(ISBLANK('Control Entry'!H$37),"",'Control Entry'!H$37)</f>
        <v/>
      </c>
      <c r="G50" s="119" t="str">
        <f>IF(ISBLANK('Control Entry'!K$37),"",'Control Entry'!K$37)</f>
        <v/>
      </c>
      <c r="H50" s="120"/>
      <c r="I50" s="121"/>
      <c r="J50" s="98"/>
    </row>
    <row r="52" spans="2:11" ht="24" customHeight="1" x14ac:dyDescent="0.15">
      <c r="B52" s="122" t="s">
        <v>30</v>
      </c>
      <c r="C52" s="122"/>
      <c r="D52" s="122"/>
      <c r="E52" s="122"/>
      <c r="F52" s="122"/>
      <c r="I52" s="58" t="s">
        <v>56</v>
      </c>
      <c r="J52" s="81" t="str">
        <f>IF(ISBLANK('Control Entry'!F10),"",'Control Entry'!F10)</f>
        <v>‭778-350-6119‬</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1"/>
      <c r="G57" s="112"/>
      <c r="H57" s="112"/>
      <c r="I57" s="112"/>
      <c r="J57" s="112"/>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View Royal Start</vt:lpstr>
      <vt:lpstr>Sidney Start</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'Sidney Start'!Print_Area</vt:lpstr>
      <vt:lpstr>'View Royal Start'!Print_Area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2024-04-13T04:32:14Z</cp:lastPrinted>
  <dcterms:created xsi:type="dcterms:W3CDTF">1997-11-12T04:43:39Z</dcterms:created>
  <dcterms:modified xsi:type="dcterms:W3CDTF">2024-06-30T00:57:05Z</dcterms:modified>
</cp:coreProperties>
</file>