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2"/>
  <workbookPr showInkAnnotation="0" autoCompressPictures="0"/>
  <mc:AlternateContent xmlns:mc="http://schemas.openxmlformats.org/markup-compatibility/2006">
    <mc:Choice Requires="x15">
      <x15ac:absPath xmlns:x15ac="http://schemas.microsoft.com/office/spreadsheetml/2010/11/ac" url="/Volumes/stephenhinde/Documents/_Cycling/BCR/2021 Randonneurs/"/>
    </mc:Choice>
  </mc:AlternateContent>
  <xr:revisionPtr revIDLastSave="0" documentId="13_ncr:1_{E9E071EE-5C97-394E-B93E-2E6B8842B050}" xr6:coauthVersionLast="36" xr6:coauthVersionMax="36" xr10:uidLastSave="{00000000-0000-0000-0000-000000000000}"/>
  <bookViews>
    <workbookView xWindow="0" yWindow="460" windowWidth="25480" windowHeight="15540" tabRatio="509" xr2:uid="{00000000-000D-0000-FFFF-FFFF00000000}"/>
  </bookViews>
  <sheets>
    <sheet name="Control Entry" sheetId="1" r:id="rId1"/>
    <sheet name="Control Card Brentwood Bay" sheetId="2" r:id="rId2"/>
    <sheet name="Control Card Nanoose" sheetId="3" r:id="rId3"/>
  </sheets>
  <definedNames>
    <definedName name="Address_1" localSheetId="2">#REF!</definedName>
    <definedName name="Address_1">#REF!</definedName>
    <definedName name="Address_2" localSheetId="2">#REF!</definedName>
    <definedName name="Address_2">#REF!</definedName>
    <definedName name="brevet">'Control Entry'!$C$1</definedName>
    <definedName name="Brevet_Description">'Control Entry'!$B$3</definedName>
    <definedName name="Brevet_Length">'Control Entry'!$B$1</definedName>
    <definedName name="Brevet_Number">'Control Entry'!$B$4</definedName>
    <definedName name="City" localSheetId="2">#REF!</definedName>
    <definedName name="City">#REF!</definedName>
    <definedName name="Close">'Control Entry'!$M$10:$M$19</definedName>
    <definedName name="Close_time">'Control Entry'!$O$10:$O$19</definedName>
    <definedName name="Control_1">'Control Entry'!$D$10:$O$10</definedName>
    <definedName name="Control_10">'Control Entry'!$D$19:$O$19</definedName>
    <definedName name="Control_11" localSheetId="2">'Control Entry'!#REF!</definedName>
    <definedName name="Control_11">'Control Entry'!#REF!</definedName>
    <definedName name="Control_12" localSheetId="2">'Control Entry'!#REF!</definedName>
    <definedName name="Control_12">'Control Entry'!#REF!</definedName>
    <definedName name="Control_13" localSheetId="2">'Control Entry'!#REF!</definedName>
    <definedName name="Control_13">'Control Entry'!#REF!</definedName>
    <definedName name="Control_14" localSheetId="2">'Control Entry'!#REF!</definedName>
    <definedName name="Control_14">'Control Entry'!#REF!</definedName>
    <definedName name="Control_15" localSheetId="2">'Control Entry'!#REF!</definedName>
    <definedName name="Control_15">'Control Entry'!#REF!</definedName>
    <definedName name="Control_16" localSheetId="2">'Control Entry'!#REF!</definedName>
    <definedName name="Control_16">'Control Entry'!#REF!</definedName>
    <definedName name="Control_17" localSheetId="2">'Control Entry'!#REF!</definedName>
    <definedName name="Control_17">'Control Entry'!#REF!</definedName>
    <definedName name="Control_18" localSheetId="2">'Control Entry'!#REF!</definedName>
    <definedName name="Control_18">'Control Entry'!#REF!</definedName>
    <definedName name="Control_19" localSheetId="2">'Control Entry'!#REF!</definedName>
    <definedName name="Control_19">'Control Entry'!#REF!</definedName>
    <definedName name="Control_2">'Control Entry'!$D$11:$O$11</definedName>
    <definedName name="Control_20" localSheetId="2">'Control Entry'!#REF!</definedName>
    <definedName name="Control_20">'Control Entry'!#REF!</definedName>
    <definedName name="Control_3">'Control Entry'!$D$12:$O$12</definedName>
    <definedName name="Control_4">'Control Entry'!$D$13:$O$13</definedName>
    <definedName name="Control_5">'Control Entry'!$D$14:$O$14</definedName>
    <definedName name="Control_6">'Control Entry'!$D$15:$O$15</definedName>
    <definedName name="Control_7">'Control Entry'!$D$16:$O$16</definedName>
    <definedName name="Control_8">'Control Entry'!$D$17:$O$17</definedName>
    <definedName name="Control_9">'Control Entry'!$D$18:$O$18</definedName>
    <definedName name="Country" localSheetId="2">#REF!</definedName>
    <definedName name="Country">#REF!</definedName>
    <definedName name="Distance">'Control Entry'!$D$10:$D$19</definedName>
    <definedName name="email" localSheetId="2">#REF!</definedName>
    <definedName name="email">#REF!</definedName>
    <definedName name="Establishment_1">'Control Entry'!$F$10:$F$19</definedName>
    <definedName name="Establishment_2">'Control Entry'!$G$10:$G$19</definedName>
    <definedName name="Establishment_3">'Control Entry'!$H$10:$H$19</definedName>
    <definedName name="Fax" localSheetId="2">#REF!</definedName>
    <definedName name="Fax">#REF!</definedName>
    <definedName name="First_Name" localSheetId="2">#REF!</definedName>
    <definedName name="First_Name">#REF!</definedName>
    <definedName name="Home_telephone" localSheetId="2">#REF!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2">#REF!</definedName>
    <definedName name="Initial">#REF!</definedName>
    <definedName name="Locale">'Control Entry'!$E$10:$E$19</definedName>
    <definedName name="Max_time">'Control Entry'!$B$2</definedName>
    <definedName name="Open">'Control Entry'!$L$10:$L$19</definedName>
    <definedName name="Open_time">'Control Entry'!$N$10:$N$19</definedName>
    <definedName name="Postal_Code" localSheetId="2">#REF!</definedName>
    <definedName name="Postal_Code">#REF!</definedName>
    <definedName name="_xlnm.Print_Titles" localSheetId="1">'Control Card Brentwood Bay'!$1:$2</definedName>
    <definedName name="_xlnm.Print_Titles" localSheetId="2">'Control Card Nanoose'!$1:$2</definedName>
    <definedName name="Province_State" localSheetId="2">#REF!</definedName>
    <definedName name="Province_State">#REF!</definedName>
    <definedName name="Start_date">'Control Entry'!$B$7</definedName>
    <definedName name="Start_time">'Control Entry'!$B$8</definedName>
    <definedName name="surname" localSheetId="2">#REF!</definedName>
    <definedName name="surname">#REF!</definedName>
    <definedName name="Work_telephone" localSheetId="2">#REF!</definedName>
    <definedName name="Work_telephone">#REF!</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B19" i="1" l="1"/>
  <c r="B15" i="1" s="1"/>
  <c r="B10" i="1" l="1"/>
  <c r="B18" i="1"/>
  <c r="B17" i="1"/>
  <c r="B16" i="1"/>
  <c r="B12" i="1"/>
  <c r="B13" i="1" l="1"/>
  <c r="B14" i="1"/>
  <c r="E8" i="3"/>
  <c r="E7" i="3"/>
  <c r="E5" i="3"/>
  <c r="S20" i="3" l="1"/>
  <c r="F5" i="2"/>
  <c r="F32" i="2"/>
  <c r="F31" i="2"/>
  <c r="F30" i="2"/>
  <c r="F29" i="2"/>
  <c r="F28" i="2"/>
  <c r="F27" i="2"/>
  <c r="F26" i="2"/>
  <c r="F25" i="2"/>
  <c r="F24" i="2"/>
  <c r="F23" i="2"/>
  <c r="F22" i="2"/>
  <c r="F21" i="2"/>
  <c r="F20" i="2"/>
  <c r="F19" i="2"/>
  <c r="F18" i="2"/>
  <c r="F17" i="2"/>
  <c r="F16" i="2"/>
  <c r="F15" i="2"/>
  <c r="F14" i="2"/>
  <c r="F13" i="2"/>
  <c r="F12" i="2"/>
  <c r="F11" i="2"/>
  <c r="F10" i="2"/>
  <c r="F9" i="2"/>
  <c r="F8" i="2"/>
  <c r="F7" i="2"/>
  <c r="F6" i="2"/>
  <c r="F4" i="2"/>
  <c r="F3" i="2"/>
  <c r="L10" i="1"/>
  <c r="N10" i="1" s="1"/>
  <c r="L32" i="1"/>
  <c r="L31" i="1"/>
  <c r="L30" i="1"/>
  <c r="L29" i="1"/>
  <c r="L28" i="1"/>
  <c r="L27" i="1"/>
  <c r="L26" i="1"/>
  <c r="L25" i="1"/>
  <c r="L24" i="1"/>
  <c r="L23" i="1"/>
  <c r="F32" i="3"/>
  <c r="F31" i="3"/>
  <c r="F30" i="3"/>
  <c r="F29" i="3"/>
  <c r="F28" i="3"/>
  <c r="F27" i="3"/>
  <c r="F26" i="3"/>
  <c r="F25" i="3"/>
  <c r="F24" i="3"/>
  <c r="F23" i="3"/>
  <c r="F22" i="3"/>
  <c r="F21" i="3"/>
  <c r="F20" i="3"/>
  <c r="F19" i="3"/>
  <c r="F18" i="3"/>
  <c r="F17" i="3"/>
  <c r="F16" i="3"/>
  <c r="F15" i="3"/>
  <c r="F14" i="3"/>
  <c r="F13" i="3"/>
  <c r="F12" i="3"/>
  <c r="F11" i="3"/>
  <c r="F10" i="3"/>
  <c r="F9" i="3"/>
  <c r="F7" i="3"/>
  <c r="F8" i="3"/>
  <c r="F5" i="3"/>
  <c r="F6" i="3"/>
  <c r="F4" i="3"/>
  <c r="F3" i="3"/>
  <c r="E32" i="3"/>
  <c r="E31" i="3"/>
  <c r="E30" i="3"/>
  <c r="E29" i="3"/>
  <c r="E28" i="3"/>
  <c r="E27" i="3"/>
  <c r="E26" i="3"/>
  <c r="E25" i="3"/>
  <c r="E24" i="3"/>
  <c r="E23" i="3"/>
  <c r="E22" i="3"/>
  <c r="E21" i="3"/>
  <c r="E20" i="3"/>
  <c r="E19" i="3"/>
  <c r="E18" i="3"/>
  <c r="E17" i="3"/>
  <c r="E16" i="3"/>
  <c r="E15" i="3"/>
  <c r="E14" i="3"/>
  <c r="E13" i="3"/>
  <c r="E12" i="3"/>
  <c r="E11" i="3"/>
  <c r="E10" i="3"/>
  <c r="E9" i="3"/>
  <c r="E6" i="3"/>
  <c r="C1" i="1"/>
  <c r="M25" i="1" s="1"/>
  <c r="E4" i="3"/>
  <c r="E3" i="3"/>
  <c r="D31" i="3"/>
  <c r="D28" i="3"/>
  <c r="D25" i="3"/>
  <c r="D22" i="3"/>
  <c r="D19" i="3"/>
  <c r="D16" i="3"/>
  <c r="D13" i="3"/>
  <c r="D10" i="3"/>
  <c r="D7" i="3"/>
  <c r="D4" i="3"/>
  <c r="A31" i="3"/>
  <c r="A28" i="3"/>
  <c r="A25" i="3"/>
  <c r="A22" i="3"/>
  <c r="A19" i="3"/>
  <c r="A16" i="3"/>
  <c r="A13" i="3"/>
  <c r="A10" i="3"/>
  <c r="A7" i="3"/>
  <c r="A4" i="3"/>
  <c r="L19" i="1"/>
  <c r="M18" i="1"/>
  <c r="L18" i="1"/>
  <c r="L17" i="1"/>
  <c r="L16" i="1"/>
  <c r="L15" i="1"/>
  <c r="M14" i="1"/>
  <c r="L14" i="1"/>
  <c r="L13" i="1"/>
  <c r="L12" i="1"/>
  <c r="L11" i="1"/>
  <c r="L6" i="3"/>
  <c r="R5" i="3"/>
  <c r="P5" i="3"/>
  <c r="M10" i="1"/>
  <c r="O10" i="1" s="1"/>
  <c r="M4" i="3"/>
  <c r="L6" i="2"/>
  <c r="S20" i="2"/>
  <c r="R5" i="2"/>
  <c r="P5" i="2"/>
  <c r="A7"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D25" i="2"/>
  <c r="D28" i="2"/>
  <c r="D31" i="2"/>
  <c r="A31" i="2"/>
  <c r="A4" i="2"/>
  <c r="D19" i="2"/>
  <c r="D16" i="2"/>
  <c r="D13" i="2"/>
  <c r="D10" i="2"/>
  <c r="D7" i="2"/>
  <c r="D4" i="2"/>
  <c r="D22" i="2"/>
  <c r="A28" i="2"/>
  <c r="A25" i="2"/>
  <c r="A22" i="2"/>
  <c r="A19" i="2"/>
  <c r="A10" i="2"/>
  <c r="A16" i="2"/>
  <c r="A13" i="2"/>
  <c r="B2" i="1"/>
  <c r="M19" i="1" s="1"/>
  <c r="M12" i="1" l="1"/>
  <c r="M16" i="1"/>
  <c r="N26" i="1"/>
  <c r="B14" i="3" s="1"/>
  <c r="B4" i="2"/>
  <c r="O14" i="1"/>
  <c r="C17" i="2" s="1"/>
  <c r="N13" i="1"/>
  <c r="B14" i="2" s="1"/>
  <c r="O18" i="1"/>
  <c r="C27" i="2" s="1"/>
  <c r="N23" i="1"/>
  <c r="B5" i="3" s="1"/>
  <c r="N29" i="1"/>
  <c r="B21" i="3" s="1"/>
  <c r="M32" i="1"/>
  <c r="O32" i="1" s="1"/>
  <c r="C31" i="3" s="1"/>
  <c r="M11" i="1"/>
  <c r="M13" i="1"/>
  <c r="O13" i="1" s="1"/>
  <c r="N17" i="1"/>
  <c r="B25" i="2" s="1"/>
  <c r="M29" i="1"/>
  <c r="B3" i="2"/>
  <c r="M15" i="1"/>
  <c r="O15" i="1" s="1"/>
  <c r="M17" i="1"/>
  <c r="O17" i="1" s="1"/>
  <c r="M28" i="1"/>
  <c r="B5" i="2"/>
  <c r="N12" i="1"/>
  <c r="B11" i="2" s="1"/>
  <c r="N16" i="1"/>
  <c r="B22" i="2" s="1"/>
  <c r="N19" i="1"/>
  <c r="B31" i="2" s="1"/>
  <c r="N30" i="1"/>
  <c r="B26" i="3" s="1"/>
  <c r="N32" i="1"/>
  <c r="B32" i="3" s="1"/>
  <c r="O19" i="1"/>
  <c r="C31" i="2" s="1"/>
  <c r="N11" i="1"/>
  <c r="B6" i="2" s="1"/>
  <c r="O12" i="1"/>
  <c r="N15" i="1"/>
  <c r="B19" i="2" s="1"/>
  <c r="O16" i="1"/>
  <c r="C23" i="2" s="1"/>
  <c r="N24" i="1"/>
  <c r="B6" i="3" s="1"/>
  <c r="N27" i="1"/>
  <c r="B16" i="3" s="1"/>
  <c r="O29" i="1"/>
  <c r="C23" i="3" s="1"/>
  <c r="O11" i="1"/>
  <c r="N14" i="1"/>
  <c r="B17" i="2" s="1"/>
  <c r="N18" i="1"/>
  <c r="B27" i="2" s="1"/>
  <c r="N25" i="1"/>
  <c r="B11" i="3" s="1"/>
  <c r="N28" i="1"/>
  <c r="B19" i="3" s="1"/>
  <c r="N31" i="1"/>
  <c r="B29" i="3" s="1"/>
  <c r="O28" i="1"/>
  <c r="C19" i="3" s="1"/>
  <c r="B12" i="2"/>
  <c r="C4" i="2"/>
  <c r="C3" i="2"/>
  <c r="C5" i="2"/>
  <c r="O25" i="1"/>
  <c r="M24" i="1"/>
  <c r="O24" i="1" s="1"/>
  <c r="C15" i="2"/>
  <c r="M4" i="2"/>
  <c r="M31" i="1"/>
  <c r="O31" i="1" s="1"/>
  <c r="M27" i="1"/>
  <c r="O27" i="1" s="1"/>
  <c r="M23" i="1"/>
  <c r="O23" i="1" s="1"/>
  <c r="B25" i="3"/>
  <c r="M30" i="1"/>
  <c r="O30" i="1" s="1"/>
  <c r="M26" i="1"/>
  <c r="O26" i="1" s="1"/>
  <c r="B11" i="1"/>
  <c r="C16" i="2"/>
  <c r="B8" i="2" l="1"/>
  <c r="B13" i="3"/>
  <c r="B12" i="3"/>
  <c r="B3" i="3"/>
  <c r="C30" i="3"/>
  <c r="C26" i="2"/>
  <c r="C25" i="2"/>
  <c r="B21" i="2"/>
  <c r="B13" i="2"/>
  <c r="B26" i="2"/>
  <c r="B22" i="3"/>
  <c r="B30" i="3"/>
  <c r="B27" i="3"/>
  <c r="B8" i="3"/>
  <c r="C29" i="2"/>
  <c r="B18" i="3"/>
  <c r="B29" i="2"/>
  <c r="B15" i="2"/>
  <c r="B31" i="3"/>
  <c r="B18" i="2"/>
  <c r="B10" i="3"/>
  <c r="B32" i="2"/>
  <c r="C28" i="2"/>
  <c r="C24" i="2"/>
  <c r="C30" i="2"/>
  <c r="B20" i="2"/>
  <c r="C22" i="3"/>
  <c r="B24" i="3"/>
  <c r="B28" i="3"/>
  <c r="B7" i="3"/>
  <c r="B4" i="3"/>
  <c r="B16" i="2"/>
  <c r="B7" i="2"/>
  <c r="C19" i="2"/>
  <c r="C18" i="2"/>
  <c r="C20" i="2"/>
  <c r="C13" i="2"/>
  <c r="C12" i="2"/>
  <c r="C14" i="2"/>
  <c r="B23" i="3"/>
  <c r="B9" i="2"/>
  <c r="B30" i="2"/>
  <c r="C32" i="2"/>
  <c r="B10" i="2"/>
  <c r="B9" i="3"/>
  <c r="B24" i="2"/>
  <c r="C21" i="3"/>
  <c r="C18" i="3"/>
  <c r="B20" i="3"/>
  <c r="C9" i="2"/>
  <c r="C10" i="2"/>
  <c r="B28" i="2"/>
  <c r="B23" i="2"/>
  <c r="B17" i="3"/>
  <c r="C8" i="2"/>
  <c r="C7" i="2"/>
  <c r="C22" i="2"/>
  <c r="C21" i="2"/>
  <c r="C11" i="2"/>
  <c r="C20" i="3"/>
  <c r="B15" i="3"/>
  <c r="C32" i="3"/>
  <c r="C6" i="2"/>
  <c r="C6" i="3"/>
  <c r="C7" i="3"/>
  <c r="C8" i="3"/>
  <c r="C11" i="3"/>
  <c r="C9" i="3"/>
  <c r="C10" i="3"/>
  <c r="C13" i="3"/>
  <c r="C14" i="3"/>
  <c r="C12" i="3"/>
  <c r="C4" i="3"/>
  <c r="C5" i="3"/>
  <c r="C3" i="3"/>
  <c r="C25" i="3"/>
  <c r="C26" i="3"/>
  <c r="C24" i="3"/>
  <c r="C15" i="3"/>
  <c r="C16" i="3"/>
  <c r="C17" i="3"/>
  <c r="C27" i="3"/>
  <c r="C28" i="3"/>
  <c r="C2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1"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
</t>
        </r>
        <r>
          <rPr>
            <sz val="10"/>
            <color rgb="FF000000"/>
            <rFont val="Tahoma"/>
            <family val="2"/>
          </rPr>
          <t>eg 200, 300, 400, 600</t>
        </r>
      </text>
    </comment>
    <comment ref="B2" authorId="1" shapeId="0" xr:uid="{00000000-0006-0000-0000-000002000000}">
      <text>
        <r>
          <rPr>
            <sz val="8"/>
            <color rgb="FF000000"/>
            <rFont val="Tahoma"/>
            <family val="2"/>
          </rPr>
          <t>Partial result of closing time calculation to avoid limitation of only 7 nested functions</t>
        </r>
      </text>
    </comment>
    <comment ref="B4"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5"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B7" authorId="0" shapeId="0" xr:uid="{00000000-0006-0000-0000-000005000000}">
      <text>
        <r>
          <rPr>
            <b/>
            <sz val="10"/>
            <color rgb="FF000000"/>
            <rFont val="Tahoma"/>
            <family val="2"/>
          </rPr>
          <t>Stephen Hinde:</t>
        </r>
        <r>
          <rPr>
            <sz val="10"/>
            <color rgb="FF000000"/>
            <rFont val="Tahoma"/>
            <family val="2"/>
          </rPr>
          <t xml:space="preserve">
</t>
        </r>
        <r>
          <rPr>
            <sz val="10"/>
            <color rgb="FF000000"/>
            <rFont val="Tahoma"/>
            <family val="2"/>
          </rPr>
          <t xml:space="preserve">Actual date
</t>
        </r>
        <r>
          <rPr>
            <sz val="10"/>
            <color rgb="FF000000"/>
            <rFont val="Tahoma"/>
            <family val="2"/>
          </rPr>
          <t xml:space="preserve">
</t>
        </r>
        <r>
          <rPr>
            <sz val="10"/>
            <color rgb="FF000000"/>
            <rFont val="Tahoma"/>
            <family val="2"/>
          </rPr>
          <t>Recommend using Schedule date</t>
        </r>
      </text>
    </comment>
  </commentList>
</comments>
</file>

<file path=xl/sharedStrings.xml><?xml version="1.0" encoding="utf-8"?>
<sst xmlns="http://schemas.openxmlformats.org/spreadsheetml/2006/main" count="315" uniqueCount="138">
  <si>
    <t>Start time</t>
  </si>
  <si>
    <t>Finish time</t>
  </si>
  <si>
    <t>Elapsed time</t>
  </si>
  <si>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</si>
  <si>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</si>
  <si>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</si>
  <si>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</si>
  <si>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</si>
  <si>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</si>
  <si>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</si>
  <si>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</si>
  <si>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</si>
  <si>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</si>
  <si>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</si>
  <si>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</si>
  <si>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</si>
  <si>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</si>
  <si>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</si>
  <si>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</si>
  <si>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</si>
  <si>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</si>
  <si>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</si>
  <si>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</si>
  <si>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</si>
  <si>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</si>
  <si>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</si>
  <si>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</si>
  <si>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</si>
  <si>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</si>
  <si>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t>
  </si>
  <si>
    <t>DIST (km)</t>
  </si>
  <si>
    <t>Establishment</t>
  </si>
  <si>
    <t>Time of Passage</t>
  </si>
  <si>
    <t>Control Card</t>
  </si>
  <si>
    <t>Name</t>
  </si>
  <si>
    <t>Address</t>
  </si>
  <si>
    <t>City</t>
  </si>
  <si>
    <t>Province/State</t>
  </si>
  <si>
    <t>Country</t>
  </si>
  <si>
    <t>Postal Code</t>
  </si>
  <si>
    <t>Telephone</t>
  </si>
  <si>
    <t>email</t>
  </si>
  <si>
    <t>Randonneur Committee Authorization</t>
  </si>
  <si>
    <t>Report results or abandonment through registration email link</t>
  </si>
  <si>
    <r>
      <t xml:space="preserve">Please </t>
    </r>
    <r>
      <rPr>
        <b/>
        <i/>
        <sz val="16"/>
        <rFont val="Arial"/>
        <family val="2"/>
      </rPr>
      <t>answer questions</t>
    </r>
    <r>
      <rPr>
        <i/>
        <sz val="16"/>
        <rFont val="Arial"/>
        <family val="2"/>
      </rPr>
      <t xml:space="preserve"> and</t>
    </r>
    <r>
      <rPr>
        <b/>
        <i/>
        <sz val="16"/>
        <rFont val="Arial"/>
        <family val="2"/>
      </rPr>
      <t xml:space="preserve"> note time of day</t>
    </r>
  </si>
  <si>
    <t>Start Date</t>
  </si>
  <si>
    <t>Finish Date</t>
  </si>
  <si>
    <t>Member #</t>
  </si>
  <si>
    <t xml:space="preserve">Brevet No. </t>
  </si>
  <si>
    <t>Schedule date:</t>
  </si>
  <si>
    <t>Single</t>
  </si>
  <si>
    <t>Tandem</t>
  </si>
  <si>
    <t>Fixed</t>
  </si>
  <si>
    <t>Recumbent</t>
  </si>
  <si>
    <t>Velomobile</t>
  </si>
  <si>
    <t>(only add if change needed to database)</t>
  </si>
  <si>
    <t>Founding member of LES RANDONNEURS MONDIAUX (1983)</t>
  </si>
  <si>
    <t>Bicycle Type
Circle one</t>
  </si>
  <si>
    <t>-------&gt;</t>
  </si>
  <si>
    <t>Ride Day Emergency Contact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</si>
  <si>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</si>
  <si>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</si>
  <si>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</si>
  <si>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</si>
  <si>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</si>
  <si>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</si>
  <si>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</si>
  <si>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</si>
  <si>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</si>
  <si>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</si>
  <si>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Enter the start date.  This will always be the same as the schedule date, unless a ride window has been enabled.</t>
  </si>
  <si>
    <t>Enter the start time.  This will always be the official ACP listed start time found on the event page, unless a ride window has been enabled.</t>
  </si>
  <si>
    <t>Fill in the control distance.  The opening and closing times will be automatically calculated based on the start time and the brevet distance.  If you need more than 10 controls, use card #2, otherwise leave that section blank.</t>
  </si>
  <si>
    <t>Fill in the Locale (city) for each control.  Establishment 1, 2, and 3 can be used to describe the control itself eg Locale Hope  Est.1 Dairy Queen Est.2 817 Water Ave Est. 3 (leaft blank)</t>
  </si>
  <si>
    <t>When using information controls, you can put your question in the Signature/Answer section eg Sig/Ans.1 Sign on main door  Sig/Ans. 2  This week's special is?  Sig/Ans. 3 ________________</t>
  </si>
  <si>
    <t>Control Card #1 Information Control Question (optional)</t>
  </si>
  <si>
    <t>Note:  Control Card #1 will only show '#1' if a distance is entered into the first distance box for Control Card #2</t>
  </si>
  <si>
    <t>Control Card #2 Information Control Question (optional)</t>
  </si>
  <si>
    <t>_______________________</t>
  </si>
  <si>
    <t>Self Sign</t>
  </si>
  <si>
    <t xml:space="preserve">Control Card </t>
  </si>
  <si>
    <t>MILL BAY</t>
  </si>
  <si>
    <t>A Ferry Sails Through</t>
  </si>
  <si>
    <t>Control Card Brentwoodl Bay</t>
  </si>
  <si>
    <t>Control Card Nanoose</t>
  </si>
  <si>
    <t>BRENTWOOD BAY</t>
  </si>
  <si>
    <t>Ferry Terminal</t>
  </si>
  <si>
    <t>Verdier Ave</t>
  </si>
  <si>
    <t>COBBLE HILL</t>
  </si>
  <si>
    <t>Koksilah Forest Service Rd</t>
  </si>
  <si>
    <t>CEDAR</t>
  </si>
  <si>
    <t>Hemer Park Entrance Gate</t>
  </si>
  <si>
    <t>Service Rd</t>
  </si>
  <si>
    <t>NANOOSE</t>
  </si>
  <si>
    <t>QUALICUM</t>
  </si>
  <si>
    <t>COMOX</t>
  </si>
  <si>
    <t>Point Holmes Boat Launch</t>
  </si>
  <si>
    <t>Lazo Rd</t>
  </si>
  <si>
    <t>CAMPBELL RIVER</t>
  </si>
  <si>
    <t>River City Storage</t>
  </si>
  <si>
    <t>2175 Campbell River Rd</t>
  </si>
  <si>
    <t>CUMBERLAND</t>
  </si>
  <si>
    <t>Just after stop sign</t>
  </si>
  <si>
    <t>First St @ Dunsmuir Ave</t>
  </si>
  <si>
    <t>Rocking Horse Pub sign</t>
  </si>
  <si>
    <t>NW Bay Rd @ Sanders Rd</t>
  </si>
  <si>
    <t>Ferry Rd</t>
  </si>
  <si>
    <t>Beachcomber Regional Park</t>
  </si>
  <si>
    <t>Meadowood General Store</t>
  </si>
  <si>
    <t>Marina Way</t>
  </si>
  <si>
    <t>Park sign at parking area</t>
  </si>
  <si>
    <t>Left post street number?</t>
  </si>
  <si>
    <t>1221 Meadowood Rd</t>
  </si>
  <si>
    <t>Left (east) side of building</t>
  </si>
  <si>
    <t>What is the large statue?</t>
  </si>
  <si>
    <t>Boat launch sign</t>
  </si>
  <si>
    <t>Standing on boat ramp</t>
  </si>
  <si>
    <t>What is the upper right service club?</t>
  </si>
  <si>
    <t>Husky Gas</t>
  </si>
  <si>
    <t>1830 Island Hwy N</t>
  </si>
  <si>
    <t>@ Redwood</t>
  </si>
  <si>
    <t>To right of door</t>
  </si>
  <si>
    <t>What is price of firewood?</t>
  </si>
  <si>
    <t>Directional signs</t>
  </si>
  <si>
    <t>How far to dog park?</t>
  </si>
  <si>
    <t>Post side towards forest</t>
  </si>
  <si>
    <t>Bottom right electrical box</t>
  </si>
  <si>
    <t>What is logo beside "ROYAL'?</t>
  </si>
  <si>
    <t>Yellow Gate</t>
  </si>
  <si>
    <t>Yellow/black diamond sign</t>
  </si>
  <si>
    <t>What is word in middle?</t>
  </si>
  <si>
    <t>__________________Vehilce Access</t>
  </si>
  <si>
    <t xml:space="preserve"> Large yellow concrete triangle</t>
  </si>
  <si>
    <t>What is number at bottom?</t>
  </si>
  <si>
    <t>@ Doran Rd</t>
  </si>
  <si>
    <t xml:space="preserve"> @ Doran Rd</t>
  </si>
  <si>
    <t>To right of entry lane</t>
  </si>
  <si>
    <t>By ambulance station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</si>
</sst>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
  </numFmts>
  <fonts count="32"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i/>
      <sz val="14"/>
      <name val="Arial"/>
      <family val="2"/>
    </font>
    <font>
      <sz val="18"/>
      <name val="Arial"/>
      <family val="2"/>
    </font>
    <font>
      <sz val="14"/>
      <name val="Arial Narrow"/>
      <family val="2"/>
    </font>
    <font>
      <b/>
      <sz val="14"/>
      <name val="Arial Narrow"/>
      <family val="2"/>
    </font>
    <font>
      <b/>
      <sz val="16"/>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20"/>
      <color theme="0" tint="-0.14999847407452621"/>
      <name val="Impact"/>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0"/>
      <color rgb="FFFF0000"/>
      <name val="Arial"/>
      <family val="2"/>
    </font>
    <font>
      <sz val="12"/>
      <name val="Arial Narrow"/>
      <family val="2"/>
    </font>
    <font>
      <b/>
      <sz val="12"/>
      <name val="Arial Narrow"/>
      <family val="2"/>
    </font>
  </fonts>
  <fills count="3">
    <fill>
      <patternFill patternType="none"/>
    </fill>
    <fill>
      <patternFill patternType="gray125"/>
    </fill>
    <fill>
      <patternFill patternType="solid">
        <fgColor indexed="22"/>
        <bgColor indexed="64"/>
      </patternFill>
    </fill>
  </fills>
  <borders count="28">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s>
  <cellStyleXfs count="356">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5" fillId="0" borderId="0"/>
    <xf numFmtId="0" fontId="4" fillId="0" borderId="0"/>
    <xf numFmtId="0" fontId="5" fillId="0" borderId="0"/>
    <xf numFmtId="0" fontId="3" fillId="0" borderId="0"/>
    <xf numFmtId="0" fontId="2" fillId="0" borderId="0"/>
    <xf numFmtId="0" fontId="1"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39">
    <xf numFmtId="0" fontId="0" fillId="0" borderId="0" xfId="0"/>
    <xf numFmtId="0" fontId="0" fillId="0" borderId="16" xfId="0" applyBorder="1"/>
    <xf numFmtId="0" fontId="0" fillId="0" borderId="0" xfId="0" applyAlignment="1">
      <alignment horizontal="right"/>
    </xf>
    <xf numFmtId="0" fontId="0" fillId="0" borderId="0" xfId="0" applyProtection="1">
      <protection hidden="1"/>
    </xf>
    <xf numFmtId="164" fontId="0" fillId="0" borderId="0" xfId="0" applyNumberFormat="1" applyBorder="1"/>
    <xf numFmtId="164" fontId="0" fillId="0" borderId="0" xfId="0" applyNumberFormat="1" applyBorder="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7" fillId="0" borderId="16" xfId="0" applyFont="1" applyBorder="1" applyAlignment="1">
      <alignment horizontal="center" wrapText="1"/>
    </xf>
    <xf numFmtId="0" fontId="7" fillId="0" borderId="7" xfId="0" applyFont="1" applyBorder="1"/>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2" borderId="4" xfId="0" applyFill="1" applyBorder="1"/>
    <xf numFmtId="0" fontId="0" fillId="0" borderId="0" xfId="0" applyAlignment="1">
      <alignment vertical="top" textRotation="90"/>
    </xf>
    <xf numFmtId="0" fontId="10" fillId="0" borderId="0" xfId="0" applyFont="1"/>
    <xf numFmtId="0" fontId="0" fillId="0" borderId="18" xfId="0" applyBorder="1"/>
    <xf numFmtId="0" fontId="0" fillId="0" borderId="19" xfId="0" applyBorder="1"/>
    <xf numFmtId="0" fontId="0" fillId="0" borderId="6" xfId="0" applyBorder="1"/>
    <xf numFmtId="0" fontId="10" fillId="0" borderId="18" xfId="0" applyFont="1" applyBorder="1" applyProtection="1">
      <protection locked="0"/>
    </xf>
    <xf numFmtId="0" fontId="0" fillId="0" borderId="18" xfId="0" applyBorder="1" applyProtection="1">
      <protection locked="0"/>
    </xf>
    <xf numFmtId="0" fontId="10" fillId="0" borderId="18" xfId="0" applyFont="1" applyBorder="1" applyProtection="1"/>
    <xf numFmtId="0" fontId="10" fillId="0" borderId="0" xfId="0" applyFont="1" applyProtection="1"/>
    <xf numFmtId="0" fontId="0" fillId="0" borderId="0" xfId="0" applyProtection="1"/>
    <xf numFmtId="0" fontId="0" fillId="0" borderId="18" xfId="0" applyBorder="1" applyProtection="1"/>
    <xf numFmtId="0" fontId="0" fillId="0" borderId="20" xfId="0" applyBorder="1" applyProtection="1"/>
    <xf numFmtId="0" fontId="0" fillId="0" borderId="21" xfId="0" applyBorder="1" applyProtection="1"/>
    <xf numFmtId="0" fontId="0" fillId="0" borderId="0" xfId="0" applyBorder="1" applyProtection="1"/>
    <xf numFmtId="0" fontId="0" fillId="0" borderId="17" xfId="0" applyBorder="1" applyProtection="1"/>
    <xf numFmtId="0" fontId="0" fillId="0" borderId="8" xfId="0" applyBorder="1" applyProtection="1"/>
    <xf numFmtId="0" fontId="0" fillId="0" borderId="0" xfId="0" applyBorder="1" applyAlignment="1" applyProtection="1">
      <alignment horizontal="centerContinuous"/>
      <protection hidden="1"/>
    </xf>
    <xf numFmtId="0" fontId="0" fillId="0" borderId="0" xfId="0" applyBorder="1" applyAlignment="1">
      <alignment horizontal="centerContinuous"/>
    </xf>
    <xf numFmtId="167" fontId="0" fillId="0" borderId="13" xfId="0" applyNumberFormat="1" applyBorder="1" applyProtection="1">
      <protection locked="0"/>
    </xf>
    <xf numFmtId="0" fontId="0" fillId="0" borderId="0" xfId="0" applyBorder="1" applyAlignment="1">
      <alignment horizontal="center"/>
    </xf>
    <xf numFmtId="0" fontId="0" fillId="0" borderId="0" xfId="0" applyBorder="1"/>
    <xf numFmtId="0" fontId="8" fillId="0" borderId="18" xfId="0" applyFont="1" applyBorder="1" applyProtection="1"/>
    <xf numFmtId="0" fontId="12" fillId="0" borderId="18" xfId="0" applyFont="1" applyBorder="1" applyProtection="1"/>
    <xf numFmtId="167" fontId="13" fillId="0" borderId="16" xfId="0" applyNumberFormat="1" applyFont="1" applyBorder="1" applyAlignment="1">
      <alignment horizontal="center" wrapText="1"/>
    </xf>
    <xf numFmtId="166" fontId="13" fillId="0" borderId="16" xfId="0" applyNumberFormat="1" applyFont="1" applyBorder="1" applyAlignment="1">
      <alignment horizontal="center" vertical="center" wrapText="1"/>
    </xf>
    <xf numFmtId="0" fontId="13" fillId="0" borderId="17" xfId="0" applyFont="1" applyBorder="1" applyAlignment="1">
      <alignment horizontal="center" vertical="center"/>
    </xf>
    <xf numFmtId="0" fontId="14" fillId="0" borderId="16" xfId="0" applyFont="1" applyBorder="1" applyAlignment="1">
      <alignment horizontal="center" vertical="center" wrapText="1"/>
    </xf>
    <xf numFmtId="167" fontId="13" fillId="0" borderId="7" xfId="0" applyNumberFormat="1" applyFont="1" applyBorder="1"/>
    <xf numFmtId="165" fontId="13" fillId="0" borderId="7" xfId="0" applyNumberFormat="1" applyFont="1" applyBorder="1" applyAlignment="1">
      <alignment horizontal="center" vertical="center" wrapText="1"/>
    </xf>
    <xf numFmtId="0" fontId="13" fillId="0" borderId="18" xfId="0" applyFont="1" applyBorder="1" applyAlignment="1">
      <alignment horizontal="center" vertical="center"/>
    </xf>
    <xf numFmtId="0" fontId="14" fillId="0" borderId="7" xfId="0" applyFont="1" applyBorder="1" applyAlignment="1">
      <alignment horizontal="center" vertical="center" wrapText="1"/>
    </xf>
    <xf numFmtId="0" fontId="13" fillId="0" borderId="16" xfId="0" applyFont="1" applyBorder="1" applyAlignment="1">
      <alignment horizontal="center" vertical="center"/>
    </xf>
    <xf numFmtId="167" fontId="15" fillId="0" borderId="16" xfId="0" applyNumberFormat="1" applyFont="1" applyBorder="1" applyAlignment="1">
      <alignment horizontal="center" vertical="center"/>
    </xf>
    <xf numFmtId="18" fontId="15" fillId="0" borderId="16" xfId="0" applyNumberFormat="1" applyFont="1" applyBorder="1" applyAlignment="1">
      <alignment horizontal="center" vertical="center" wrapText="1"/>
    </xf>
    <xf numFmtId="0" fontId="15" fillId="0" borderId="16" xfId="0" applyFont="1" applyBorder="1" applyAlignment="1">
      <alignment horizontal="center" vertical="center" wrapText="1"/>
    </xf>
    <xf numFmtId="167" fontId="12" fillId="0" borderId="0" xfId="0" applyNumberFormat="1" applyFont="1" applyAlignment="1">
      <alignment vertical="top"/>
    </xf>
    <xf numFmtId="0" fontId="9" fillId="0" borderId="0" xfId="0" applyFont="1" applyAlignment="1">
      <alignment horizontal="left" vertical="center"/>
    </xf>
    <xf numFmtId="0" fontId="10" fillId="0" borderId="0" xfId="0" applyFont="1" applyAlignment="1">
      <alignment horizontal="left" vertical="center" wrapText="1"/>
    </xf>
    <xf numFmtId="0" fontId="11" fillId="0" borderId="0" xfId="0" applyFont="1" applyAlignment="1">
      <alignment horizontal="center" vertical="justify"/>
    </xf>
    <xf numFmtId="0" fontId="10" fillId="0" borderId="0" xfId="0" applyFont="1" applyBorder="1" applyAlignment="1" applyProtection="1">
      <alignment horizontal="right"/>
    </xf>
    <xf numFmtId="0" fontId="0" fillId="2" borderId="25" xfId="0" applyFill="1" applyBorder="1" applyAlignment="1">
      <alignment horizontal="right"/>
    </xf>
    <xf numFmtId="0" fontId="10" fillId="0" borderId="5" xfId="0" applyFont="1" applyBorder="1" applyProtection="1"/>
    <xf numFmtId="0" fontId="10" fillId="0" borderId="0" xfId="0" applyFont="1" applyBorder="1" applyAlignment="1" applyProtection="1">
      <alignment horizontal="left"/>
    </xf>
    <xf numFmtId="0" fontId="10" fillId="0" borderId="0" xfId="0" applyFont="1" applyAlignment="1" applyProtection="1"/>
    <xf numFmtId="0" fontId="5" fillId="2" borderId="3" xfId="0" applyFont="1" applyFill="1" applyBorder="1" applyAlignment="1">
      <alignment horizontal="right"/>
    </xf>
    <xf numFmtId="168" fontId="10" fillId="0" borderId="0" xfId="0" applyNumberFormat="1" applyFont="1" applyBorder="1" applyAlignment="1">
      <alignment horizontal="center"/>
    </xf>
    <xf numFmtId="0" fontId="10" fillId="0" borderId="0" xfId="0" quotePrefix="1" applyFont="1" applyAlignment="1">
      <alignment horizontal="right" vertical="center"/>
    </xf>
    <xf numFmtId="0" fontId="10" fillId="0" borderId="0" xfId="0" applyFont="1" applyAlignment="1">
      <alignment vertical="center"/>
    </xf>
    <xf numFmtId="167" fontId="0" fillId="0" borderId="26" xfId="0" applyNumberFormat="1" applyBorder="1" applyProtection="1">
      <protection locked="0"/>
    </xf>
    <xf numFmtId="0" fontId="24" fillId="0" borderId="18" xfId="0" applyFont="1" applyBorder="1" applyProtection="1"/>
    <xf numFmtId="0" fontId="10" fillId="0" borderId="22" xfId="0" applyFont="1" applyBorder="1"/>
    <xf numFmtId="0" fontId="14" fillId="0" borderId="16" xfId="0" applyFont="1" applyBorder="1" applyAlignment="1">
      <alignment horizontal="center" vertical="top" wrapText="1"/>
    </xf>
    <xf numFmtId="0" fontId="6" fillId="0" borderId="0" xfId="0" applyFont="1" applyBorder="1" applyAlignment="1" applyProtection="1">
      <alignment wrapText="1"/>
    </xf>
    <xf numFmtId="0" fontId="10" fillId="0" borderId="0" xfId="0" applyFont="1" applyBorder="1"/>
    <xf numFmtId="0" fontId="10" fillId="0" borderId="0" xfId="0" applyFont="1" applyBorder="1" applyProtection="1"/>
    <xf numFmtId="168" fontId="10" fillId="0" borderId="0" xfId="0" applyNumberFormat="1" applyFont="1" applyBorder="1" applyAlignment="1">
      <alignment horizontal="center"/>
    </xf>
    <xf numFmtId="0" fontId="10" fillId="0" borderId="0" xfId="0" applyFont="1" applyAlignment="1">
      <alignment horizontal="center"/>
    </xf>
    <xf numFmtId="0" fontId="10" fillId="0" borderId="0" xfId="0" applyFont="1" applyBorder="1" applyAlignment="1">
      <alignment horizontal="center"/>
    </xf>
    <xf numFmtId="0" fontId="7" fillId="0" borderId="18" xfId="0" applyFont="1" applyFill="1" applyBorder="1" applyAlignment="1">
      <alignment horizontal="center" wrapText="1"/>
    </xf>
    <xf numFmtId="169" fontId="7" fillId="0" borderId="18" xfId="0" applyNumberFormat="1" applyFont="1" applyFill="1" applyBorder="1" applyAlignment="1">
      <alignment horizontal="left" wrapText="1"/>
    </xf>
    <xf numFmtId="168" fontId="10" fillId="0" borderId="18" xfId="0" applyNumberFormat="1" applyFont="1" applyBorder="1" applyAlignment="1">
      <alignment horizontal="center"/>
    </xf>
    <xf numFmtId="18" fontId="23" fillId="0" borderId="0" xfId="0" applyNumberFormat="1" applyFont="1" applyBorder="1" applyAlignment="1">
      <alignment horizontal="center" wrapText="1"/>
    </xf>
    <xf numFmtId="0" fontId="0" fillId="0" borderId="18" xfId="0" applyBorder="1" applyAlignment="1" applyProtection="1">
      <alignment horizontal="left"/>
    </xf>
    <xf numFmtId="169" fontId="12" fillId="0" borderId="18" xfId="0" applyNumberFormat="1" applyFont="1" applyBorder="1" applyAlignment="1" applyProtection="1">
      <alignment horizontal="center"/>
    </xf>
    <xf numFmtId="169" fontId="10" fillId="0" borderId="18" xfId="0" applyNumberFormat="1" applyFont="1" applyBorder="1" applyAlignment="1" applyProtection="1">
      <alignment horizontal="center"/>
    </xf>
    <xf numFmtId="0" fontId="10" fillId="0" borderId="0" xfId="0" applyNumberFormat="1" applyFont="1" applyBorder="1" applyAlignment="1" applyProtection="1">
      <alignment horizontal="left" vertical="center"/>
    </xf>
    <xf numFmtId="169" fontId="10" fillId="0" borderId="0" xfId="0" applyNumberFormat="1" applyFont="1" applyBorder="1" applyAlignment="1" applyProtection="1">
      <alignment horizontal="left" vertical="center"/>
    </xf>
    <xf numFmtId="0" fontId="9" fillId="0" borderId="0" xfId="0" applyFont="1" applyBorder="1" applyAlignment="1">
      <alignment horizontal="center" wrapText="1"/>
    </xf>
    <xf numFmtId="0" fontId="28" fillId="2" borderId="12" xfId="0" applyFont="1" applyFill="1" applyBorder="1"/>
    <xf numFmtId="0" fontId="28" fillId="2" borderId="10" xfId="0" applyFont="1" applyFill="1" applyBorder="1"/>
    <xf numFmtId="167" fontId="0" fillId="0" borderId="22" xfId="0" applyNumberFormat="1" applyBorder="1" applyProtection="1">
      <protection locked="0"/>
    </xf>
    <xf numFmtId="0" fontId="13" fillId="0" borderId="18" xfId="0" applyFont="1" applyBorder="1" applyProtection="1">
      <protection locked="0"/>
    </xf>
    <xf numFmtId="49" fontId="13" fillId="0" borderId="18" xfId="0" applyNumberFormat="1" applyFont="1" applyBorder="1" applyAlignment="1" applyProtection="1">
      <alignment horizontal="center"/>
      <protection locked="0"/>
    </xf>
    <xf numFmtId="49" fontId="13" fillId="0" borderId="8" xfId="0" applyNumberFormat="1" applyFont="1" applyBorder="1" applyAlignment="1" applyProtection="1">
      <alignment horizontal="center"/>
      <protection locked="0"/>
    </xf>
    <xf numFmtId="0" fontId="13" fillId="0" borderId="2" xfId="0" applyFont="1" applyBorder="1" applyProtection="1">
      <protection locked="0"/>
    </xf>
    <xf numFmtId="0" fontId="13" fillId="0" borderId="9" xfId="0" applyFont="1" applyBorder="1" applyAlignment="1"/>
    <xf numFmtId="0" fontId="13" fillId="0" borderId="5" xfId="0" applyFont="1" applyBorder="1" applyAlignment="1"/>
    <xf numFmtId="0" fontId="13" fillId="0" borderId="10" xfId="0" applyFont="1" applyBorder="1" applyAlignment="1"/>
    <xf numFmtId="1" fontId="13" fillId="0" borderId="4" xfId="0" applyNumberFormat="1" applyFont="1" applyBorder="1" applyProtection="1">
      <protection locked="0"/>
    </xf>
    <xf numFmtId="15" fontId="13" fillId="0" borderId="4" xfId="0" applyNumberFormat="1" applyFont="1" applyBorder="1" applyProtection="1">
      <protection locked="0"/>
    </xf>
    <xf numFmtId="15" fontId="13" fillId="0" borderId="23" xfId="0" applyNumberFormat="1" applyFont="1" applyBorder="1" applyProtection="1">
      <protection locked="0"/>
    </xf>
    <xf numFmtId="20" fontId="13" fillId="0" borderId="8" xfId="0" applyNumberFormat="1" applyFont="1" applyBorder="1" applyProtection="1">
      <protection locked="0"/>
    </xf>
    <xf numFmtId="0" fontId="29" fillId="0" borderId="0" xfId="0" applyFont="1"/>
    <xf numFmtId="0" fontId="0" fillId="0" borderId="0" xfId="0" applyFont="1"/>
    <xf numFmtId="0" fontId="7" fillId="2" borderId="15" xfId="0" applyFont="1" applyFill="1" applyBorder="1" applyAlignment="1">
      <alignment horizontal="center" vertical="center" wrapText="1"/>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7" xfId="0" applyFont="1" applyBorder="1" applyProtection="1">
      <protection locked="0"/>
    </xf>
    <xf numFmtId="49" fontId="5" fillId="0" borderId="27" xfId="0" applyNumberFormat="1" applyFont="1" applyBorder="1" applyAlignment="1" applyProtection="1">
      <alignment horizontal="center"/>
      <protection locked="0"/>
    </xf>
    <xf numFmtId="49" fontId="5" fillId="0" borderId="24" xfId="0" applyNumberFormat="1" applyFont="1" applyBorder="1" applyAlignment="1" applyProtection="1">
      <alignment horizontal="center"/>
      <protection locked="0"/>
    </xf>
    <xf numFmtId="0" fontId="14" fillId="0" borderId="7" xfId="0" applyFont="1" applyBorder="1" applyAlignment="1">
      <alignment horizontal="center" wrapText="1"/>
    </xf>
    <xf numFmtId="49" fontId="30" fillId="0" borderId="14" xfId="0" applyNumberFormat="1" applyFont="1" applyBorder="1" applyAlignment="1" applyProtection="1">
      <alignment horizontal="center"/>
      <protection locked="0"/>
    </xf>
    <xf numFmtId="49" fontId="31" fillId="0" borderId="4" xfId="0" applyNumberFormat="1" applyFont="1" applyBorder="1" applyAlignment="1" applyProtection="1">
      <alignment horizontal="center"/>
      <protection locked="0"/>
    </xf>
    <xf numFmtId="49" fontId="30" fillId="0" borderId="4" xfId="0" applyNumberFormat="1" applyFont="1" applyBorder="1" applyAlignment="1" applyProtection="1">
      <alignment horizontal="center"/>
      <protection locked="0"/>
    </xf>
    <xf numFmtId="49" fontId="30" fillId="0" borderId="27" xfId="0" applyNumberFormat="1" applyFont="1" applyBorder="1" applyAlignment="1" applyProtection="1">
      <alignment horizontal="center"/>
      <protection locked="0"/>
    </xf>
    <xf numFmtId="49" fontId="30" fillId="0" borderId="24" xfId="0" applyNumberFormat="1" applyFont="1" applyBorder="1" applyAlignment="1" applyProtection="1">
      <alignment horizontal="center"/>
      <protection locked="0"/>
    </xf>
    <xf numFmtId="0" fontId="0" fillId="0" borderId="14" xfId="0" applyFont="1" applyBorder="1" applyProtection="1">
      <protection locked="0"/>
    </xf>
    <xf numFmtId="0" fontId="10" fillId="0" borderId="0" xfId="0" applyFont="1" applyAlignment="1">
      <alignment horizontal="center"/>
    </xf>
    <xf numFmtId="167" fontId="0" fillId="0" borderId="0" xfId="0" applyNumberFormat="1"/>
    <xf numFmtId="0" fontId="29" fillId="0" borderId="0" xfId="0" applyFont="1" applyAlignment="1">
      <alignment horizontal="right"/>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168" fontId="10" fillId="0" borderId="0" xfId="0" applyNumberFormat="1" applyFont="1" applyBorder="1" applyAlignment="1">
      <alignment horizontal="left" vertical="center"/>
    </xf>
    <xf numFmtId="0" fontId="0" fillId="0" borderId="0" xfId="0" applyAlignment="1">
      <alignment horizontal="left" vertical="top"/>
    </xf>
    <xf numFmtId="0" fontId="10" fillId="0" borderId="18" xfId="0" applyFont="1" applyBorder="1" applyAlignment="1" applyProtection="1">
      <alignment horizontal="left"/>
    </xf>
    <xf numFmtId="0" fontId="21" fillId="0" borderId="18" xfId="0" applyFont="1" applyBorder="1" applyAlignment="1">
      <alignment horizontal="center" vertical="center"/>
    </xf>
    <xf numFmtId="167" fontId="12" fillId="0" borderId="20" xfId="0" applyNumberFormat="1" applyFont="1" applyBorder="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right" vertical="center"/>
    </xf>
    <xf numFmtId="0" fontId="10" fillId="0" borderId="0" xfId="0" applyFont="1" applyAlignment="1" applyProtection="1">
      <alignment horizontal="right" vertical="center"/>
    </xf>
    <xf numFmtId="0" fontId="6" fillId="0" borderId="20" xfId="0" applyFont="1" applyBorder="1" applyAlignment="1">
      <alignment horizontal="center" vertical="top"/>
    </xf>
    <xf numFmtId="0" fontId="9" fillId="0" borderId="0" xfId="0" applyFont="1" applyAlignment="1">
      <alignment horizontal="center"/>
    </xf>
    <xf numFmtId="18" fontId="23" fillId="0" borderId="18" xfId="0" applyNumberFormat="1" applyFont="1" applyBorder="1" applyAlignment="1">
      <alignment horizontal="center" wrapText="1"/>
    </xf>
    <xf numFmtId="0" fontId="19" fillId="0" borderId="0" xfId="0" applyFont="1" applyAlignment="1">
      <alignment horizontal="center" vertical="top"/>
    </xf>
    <xf numFmtId="0" fontId="19" fillId="0" borderId="0" xfId="0" applyFont="1" applyAlignment="1">
      <alignment horizontal="center"/>
    </xf>
    <xf numFmtId="0" fontId="10" fillId="0" borderId="18" xfId="0" applyFont="1" applyBorder="1"/>
    <xf numFmtId="0" fontId="6" fillId="0" borderId="0" xfId="0" applyFont="1" applyBorder="1" applyAlignment="1" applyProtection="1">
      <alignment horizontal="center" wrapText="1"/>
    </xf>
    <xf numFmtId="0" fontId="6" fillId="0" borderId="0" xfId="0" applyFont="1" applyBorder="1" applyAlignment="1" applyProtection="1">
      <alignment horizontal="center" vertical="top" wrapText="1"/>
    </xf>
    <xf numFmtId="0" fontId="14" fillId="0" borderId="16" xfId="0" applyFont="1" applyBorder="1" applyAlignment="1">
      <alignment horizontal="center" wrapText="1"/>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1113477" y="485206"/>
          <a:ext cx="1992923" cy="15666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1099800" y="465993"/>
          <a:ext cx="2006600" cy="15662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mailto:Columbine@Interurban"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2"/>
  <sheetViews>
    <sheetView showGridLines="0" tabSelected="1" zoomScale="135" zoomScaleNormal="135" zoomScalePageLayoutView="135" workbookViewId="0">
      <selection activeCell="H29" sqref="H29"/>
    </sheetView>
  </sheetViews>
  <sheetFormatPr baseColWidth="10" defaultColWidth="8.83203125" defaultRowHeight="13" x14ac:dyDescent="0.15"/>
  <cols>
    <col min="1" max="1" width="16.5" style="2" customWidth="1"/>
    <col min="2" max="2" width="9.83203125" bestFit="1" customWidth="1"/>
    <col min="3" max="3" width="0" style="3" hidden="1" customWidth="1"/>
    <col min="4" max="4" width="8.33203125" customWidth="1"/>
    <col min="5" max="5" width="17" bestFit="1" customWidth="1"/>
    <col min="6" max="6" width="23.5" bestFit="1" customWidth="1"/>
    <col min="7" max="7" width="22.1640625" bestFit="1" customWidth="1"/>
    <col min="8" max="8" width="25.1640625" bestFit="1" customWidth="1"/>
    <col min="9" max="11" width="31.1640625" customWidth="1"/>
    <col min="12" max="15" width="17.83203125" hidden="1" customWidth="1"/>
  </cols>
  <sheetData>
    <row r="1" spans="1:23" ht="18" x14ac:dyDescent="0.2">
      <c r="A1" s="13" t="s">
        <v>18</v>
      </c>
      <c r="B1" s="90">
        <v>600</v>
      </c>
      <c r="C1">
        <f>IF(Brevet_Length&gt;=1200,Brevet_Length,IF(Brevet_Length&gt;=1000,1000,IF(Brevet_Length&gt;=600,600,IF(Brevet_Length&gt;=400,400,IF(Brevet_Length&gt;=300,300,IF(Brevet_Length&gt;=200,200,100))))))</f>
        <v>600</v>
      </c>
      <c r="J1" s="116" t="s">
        <v>64</v>
      </c>
      <c r="K1" s="116"/>
      <c r="Q1" s="98" t="s">
        <v>65</v>
      </c>
      <c r="R1" s="98"/>
      <c r="S1" s="98"/>
      <c r="T1" s="98"/>
      <c r="U1" s="98"/>
      <c r="V1" s="98"/>
      <c r="W1" s="98"/>
    </row>
    <row r="2" spans="1:23" ht="14" thickBot="1" x14ac:dyDescent="0.2">
      <c r="A2" s="14" t="s">
        <v>19</v>
      </c>
      <c r="B2" s="15">
        <f>IF(brevet=1200,90,IF(brevet=1000,75,IF(brevet=600,40,IF(brevet=400,27,IF(brevet=300,20,IF(brevet=200,13.5,IF(brevet=100,7,0)))))))</f>
        <v>40</v>
      </c>
      <c r="Q2" t="s">
        <v>66</v>
      </c>
    </row>
    <row r="3" spans="1:23" ht="19" thickBot="1" x14ac:dyDescent="0.25">
      <c r="A3" s="14" t="s">
        <v>20</v>
      </c>
      <c r="B3" s="91" t="s">
        <v>82</v>
      </c>
      <c r="C3" s="92"/>
      <c r="D3" s="92"/>
      <c r="E3" s="92"/>
      <c r="F3" s="92"/>
      <c r="G3" s="92"/>
      <c r="H3" s="93"/>
      <c r="I3" s="35"/>
      <c r="J3" s="35"/>
      <c r="K3" s="35"/>
      <c r="O3" s="36"/>
      <c r="P3" s="36"/>
      <c r="Q3" s="98" t="s">
        <v>67</v>
      </c>
    </row>
    <row r="4" spans="1:23" ht="18" x14ac:dyDescent="0.2">
      <c r="A4" s="14" t="s">
        <v>21</v>
      </c>
      <c r="B4" s="94">
        <v>5097</v>
      </c>
      <c r="C4" s="32"/>
      <c r="F4" s="33"/>
      <c r="G4" s="33"/>
      <c r="H4" s="33"/>
      <c r="I4" s="33"/>
      <c r="J4" s="33"/>
      <c r="K4" s="33"/>
      <c r="Q4" s="98" t="s">
        <v>68</v>
      </c>
    </row>
    <row r="5" spans="1:23" ht="18" x14ac:dyDescent="0.2">
      <c r="A5" s="60" t="s">
        <v>49</v>
      </c>
      <c r="B5" s="95">
        <v>44401</v>
      </c>
      <c r="Q5" s="98" t="s">
        <v>69</v>
      </c>
    </row>
    <row r="6" spans="1:23" ht="6" customHeight="1" x14ac:dyDescent="0.15"/>
    <row r="7" spans="1:23" ht="19" thickBot="1" x14ac:dyDescent="0.25">
      <c r="A7" s="56" t="s">
        <v>22</v>
      </c>
      <c r="B7" s="96">
        <v>44401</v>
      </c>
      <c r="Q7" s="98" t="s">
        <v>70</v>
      </c>
    </row>
    <row r="8" spans="1:23" ht="19" thickBot="1" x14ac:dyDescent="0.25">
      <c r="A8" s="12" t="s">
        <v>23</v>
      </c>
      <c r="B8" s="97">
        <v>0.25</v>
      </c>
      <c r="D8" s="117" t="s">
        <v>83</v>
      </c>
      <c r="E8" s="118"/>
      <c r="F8" s="118"/>
      <c r="G8" s="118"/>
      <c r="H8" s="118"/>
      <c r="I8" s="119" t="s">
        <v>75</v>
      </c>
      <c r="J8" s="118"/>
      <c r="K8" s="120"/>
      <c r="Q8" s="98" t="s">
        <v>71</v>
      </c>
    </row>
    <row r="9" spans="1:23" ht="14" thickBot="1" x14ac:dyDescent="0.2">
      <c r="D9" s="6" t="s">
        <v>24</v>
      </c>
      <c r="E9" s="7" t="s">
        <v>25</v>
      </c>
      <c r="F9" s="84" t="s">
        <v>26</v>
      </c>
      <c r="G9" s="84" t="s">
        <v>27</v>
      </c>
      <c r="H9" s="85" t="s">
        <v>28</v>
      </c>
      <c r="I9" s="7" t="s">
        <v>61</v>
      </c>
      <c r="J9" s="7" t="s">
        <v>62</v>
      </c>
      <c r="K9" s="8" t="s">
        <v>63</v>
      </c>
      <c r="L9" t="s">
        <v>3</v>
      </c>
      <c r="M9" t="s">
        <v>4</v>
      </c>
      <c r="N9" t="s">
        <v>5</v>
      </c>
      <c r="O9" t="s">
        <v>6</v>
      </c>
      <c r="Q9" s="98" t="s">
        <v>72</v>
      </c>
    </row>
    <row r="10" spans="1:23" ht="17" customHeight="1" x14ac:dyDescent="0.2">
      <c r="B10" s="115">
        <f>B$19+D10</f>
        <v>118</v>
      </c>
      <c r="C10" s="3" t="s">
        <v>7</v>
      </c>
      <c r="D10" s="34">
        <v>0</v>
      </c>
      <c r="E10" s="101" t="s">
        <v>85</v>
      </c>
      <c r="F10" s="102" t="s">
        <v>86</v>
      </c>
      <c r="G10" s="103" t="s">
        <v>87</v>
      </c>
      <c r="H10" s="108" t="s">
        <v>132</v>
      </c>
      <c r="I10" s="108" t="s">
        <v>136</v>
      </c>
      <c r="J10" s="108" t="s">
        <v>133</v>
      </c>
      <c r="K10" s="109" t="s">
        <v>78</v>
      </c>
      <c r="L10" s="4">
        <f>Start_date+Start_time</f>
        <v>44401.25</v>
      </c>
      <c r="M10" s="4">
        <f>L10+"1:00"</f>
        <v>44401.291666666664</v>
      </c>
      <c r="N10" s="5">
        <f>IF(ISBLANK(Distance),"",Open Control_1)</f>
        <v>44401.25</v>
      </c>
      <c r="O10" s="5">
        <f>IF(ISBLANK(Distance),"",Close Control_1)</f>
        <v>44401.291666666664</v>
      </c>
      <c r="Q10" s="98" t="s">
        <v>73</v>
      </c>
    </row>
    <row r="11" spans="1:23" ht="17" customHeight="1" x14ac:dyDescent="0.2">
      <c r="B11" s="115">
        <f>B$19+D11</f>
        <v>182.5</v>
      </c>
      <c r="C11" s="3" t="s">
        <v>8</v>
      </c>
      <c r="D11" s="34">
        <v>64.5</v>
      </c>
      <c r="E11" s="101" t="s">
        <v>88</v>
      </c>
      <c r="F11" s="102" t="s">
        <v>89</v>
      </c>
      <c r="G11" s="103" t="s">
        <v>134</v>
      </c>
      <c r="H11" s="103" t="s">
        <v>128</v>
      </c>
      <c r="I11" s="108" t="s">
        <v>129</v>
      </c>
      <c r="J11" s="108" t="s">
        <v>131</v>
      </c>
      <c r="K11" s="109" t="s">
        <v>78</v>
      </c>
      <c r="L11">
        <f>IF(ISBLANK(Distance),"",IF(Distance&gt;1000,(Distance-1000)/26+33.0847,(IF(Distance&gt;600,(Distance-600)/28+18.799,(IF(Distance&gt;400,(Distance-400)/30+12.1324,(IF(Distance&gt;200,(Distance-200)/32+5.8824,Distance/34))))))))</f>
        <v>1.8970588235294117</v>
      </c>
      <c r="M11">
        <f>IF(ISBLANK(Distance),"",IF(Distance&gt;=brevet,IF(brevet&gt;1200,(brevet-1200)*75/1000+90,Max_time),IF(Distance&gt;1200,(Distance-1200)*75/1000+90,IF(Distance&gt;1000,(Distance-1000)/(1000/75)+75,IF(Distance&gt;600,(Distance-600)/(400/35)+40,Distance/15)))))</f>
        <v>4.3</v>
      </c>
      <c r="N11" s="5">
        <f>IF(ISBLANK(Distance),"",Open_time Control_1+(INT(Open)&amp;":"&amp;IF(ROUND(((Open-INT(Open))*60),0)&lt;10,0,"")&amp;ROUND(((Open-INT(Open))*60),0)))</f>
        <v>44401.32916666667</v>
      </c>
      <c r="O11" s="5">
        <f>IF(ISBLANK(Distance),"",Open_time Control_1+(INT(Close)&amp;":"&amp;IF(ROUND(((Close-INT(Close))*60),0)&lt;10,0,"")&amp;ROUND(((Close-INT(Close))*60),0)))</f>
        <v>44401.429166666669</v>
      </c>
      <c r="Q11" s="98" t="s">
        <v>74</v>
      </c>
    </row>
    <row r="12" spans="1:23" ht="17" customHeight="1" x14ac:dyDescent="0.2">
      <c r="B12" s="115">
        <f t="shared" ref="B12:B18" si="0">B$19+D12</f>
        <v>244.7</v>
      </c>
      <c r="C12" s="3" t="s">
        <v>9</v>
      </c>
      <c r="D12" s="34">
        <v>126.7</v>
      </c>
      <c r="E12" s="101" t="s">
        <v>90</v>
      </c>
      <c r="F12" s="102" t="s">
        <v>91</v>
      </c>
      <c r="G12" s="103" t="s">
        <v>92</v>
      </c>
      <c r="H12" s="103" t="s">
        <v>128</v>
      </c>
      <c r="I12" s="108" t="s">
        <v>129</v>
      </c>
      <c r="J12" s="108" t="s">
        <v>130</v>
      </c>
      <c r="K12" s="109" t="s">
        <v>78</v>
      </c>
      <c r="L12">
        <f>IF(ISBLANK(Distance),"",IF(Distance&gt;1000,(Distance-1000)/26+33.0847,(IF(Distance&gt;600,(Distance-600)/28+18.799,(IF(Distance&gt;400,(Distance-400)/30+12.1324,(IF(Distance&gt;200,(Distance-200)/32+5.8824,Distance/34))))))))</f>
        <v>3.7264705882352942</v>
      </c>
      <c r="M12">
        <f t="shared" ref="M12:M19" si="1">IF(ISBLANK(Distance),"",IF(Distance&gt;=brevet,IF(brevet&gt;1200,(brevet-1200)*75/1000+90,Max_time),IF(Distance&gt;1200,(Distance-1200)*75/1000+90,IF(Distance&gt;1000,(Distance-1000)/(1000/75)+75,IF(Distance&gt;600,(Distance-600)/(400/35)+40,Distance/15)))))</f>
        <v>8.4466666666666672</v>
      </c>
      <c r="N12" s="5">
        <f>IF(ISBLANK(Distance),"",Open_time Control_1+(INT(Open)&amp;":"&amp;IF(ROUND(((Open-INT(Open))*60),0)&lt;10,0,"")&amp;ROUND(((Open-INT(Open))*60),0)))</f>
        <v>44401.405555555553</v>
      </c>
      <c r="O12" s="5">
        <f>IF(ISBLANK(Distance),"",Open_time Control_1+(INT(Close)&amp;":"&amp;IF(ROUND(((Close-INT(Close))*60),0)&lt;10,0,"")&amp;ROUND(((Close-INT(Close))*60),0)))</f>
        <v>44401.602083333331</v>
      </c>
    </row>
    <row r="13" spans="1:23" ht="17" customHeight="1" x14ac:dyDescent="0.2">
      <c r="B13" s="115">
        <f t="shared" si="0"/>
        <v>296.7</v>
      </c>
      <c r="C13" s="3" t="s">
        <v>10</v>
      </c>
      <c r="D13" s="34">
        <v>178.7</v>
      </c>
      <c r="E13" s="101" t="s">
        <v>93</v>
      </c>
      <c r="F13" s="102" t="s">
        <v>107</v>
      </c>
      <c r="G13" s="103" t="s">
        <v>109</v>
      </c>
      <c r="H13" s="103" t="s">
        <v>110</v>
      </c>
      <c r="I13" s="108" t="s">
        <v>111</v>
      </c>
      <c r="J13" s="108"/>
      <c r="K13" s="109" t="s">
        <v>78</v>
      </c>
      <c r="L13">
        <f t="shared" ref="L13:L19" si="2">IF(ISBLANK(Distance),"",IF(Distance&gt;1000,(Distance-1000)/26+33.0847,(IF(Distance&gt;600,(Distance-600)/28+18.799,(IF(Distance&gt;400,(Distance-400)/30+12.1324,(IF(Distance&gt;200,(Distance-200)/32+5.8824,Distance/34))))))))</f>
        <v>5.2558823529411764</v>
      </c>
      <c r="M13">
        <f t="shared" si="1"/>
        <v>11.913333333333332</v>
      </c>
      <c r="N13" s="5">
        <f>IF(ISBLANK(Distance),"",Open_time Control_1+(INT(Open)&amp;":"&amp;IF(ROUND(((Open-INT(Open))*60),0)&lt;10,0,"")&amp;ROUND(((Open-INT(Open))*60),0)))</f>
        <v>44401.46875</v>
      </c>
      <c r="O13" s="5">
        <f>IF(ISBLANK(Distance),"",Open_time Control_1+(INT(Close)&amp;":"&amp;IF(ROUND(((Close-INT(Close))*60),0)&lt;10,0,"")&amp;ROUND(((Close-INT(Close))*60),0)))</f>
        <v>44401.746527777781</v>
      </c>
    </row>
    <row r="14" spans="1:23" ht="17" customHeight="1" x14ac:dyDescent="0.2">
      <c r="B14" s="115">
        <f t="shared" si="0"/>
        <v>336.9</v>
      </c>
      <c r="C14" s="3" t="s">
        <v>11</v>
      </c>
      <c r="D14" s="34">
        <v>218.9</v>
      </c>
      <c r="E14" s="101" t="s">
        <v>94</v>
      </c>
      <c r="F14" s="102" t="s">
        <v>108</v>
      </c>
      <c r="G14" s="103" t="s">
        <v>112</v>
      </c>
      <c r="H14" s="108" t="s">
        <v>113</v>
      </c>
      <c r="I14" s="108" t="s">
        <v>114</v>
      </c>
      <c r="J14" s="108"/>
      <c r="K14" s="109" t="s">
        <v>78</v>
      </c>
      <c r="L14">
        <f t="shared" si="2"/>
        <v>6.4730249999999998</v>
      </c>
      <c r="M14">
        <f t="shared" si="1"/>
        <v>14.593333333333334</v>
      </c>
      <c r="N14" s="5">
        <f>IF(ISBLANK(Distance),"",Open_time Control_1+(INT(Open)&amp;":"&amp;IF(ROUND(((Open-INT(Open))*60),0)&lt;10,0,"")&amp;ROUND(((Open-INT(Open))*60),0)))</f>
        <v>44401.519444444442</v>
      </c>
      <c r="O14" s="5">
        <f>IF(ISBLANK(Distance),"",Open_time Control_1+(INT(Close)&amp;":"&amp;IF(ROUND(((Close-INT(Close))*60),0)&lt;10,0,"")&amp;ROUND(((Close-INT(Close))*60),0)))</f>
        <v>44401.85833333333</v>
      </c>
      <c r="Q14" s="99" t="s">
        <v>76</v>
      </c>
    </row>
    <row r="15" spans="1:23" ht="17" customHeight="1" x14ac:dyDescent="0.2">
      <c r="B15" s="115">
        <f t="shared" si="0"/>
        <v>405.4</v>
      </c>
      <c r="C15" s="3" t="s">
        <v>12</v>
      </c>
      <c r="D15" s="34">
        <v>287.39999999999998</v>
      </c>
      <c r="E15" s="101" t="s">
        <v>95</v>
      </c>
      <c r="F15" s="102" t="s">
        <v>96</v>
      </c>
      <c r="G15" s="103" t="s">
        <v>97</v>
      </c>
      <c r="H15" s="103" t="s">
        <v>115</v>
      </c>
      <c r="I15" s="108" t="s">
        <v>116</v>
      </c>
      <c r="J15" s="108" t="s">
        <v>117</v>
      </c>
      <c r="K15" s="109" t="s">
        <v>78</v>
      </c>
      <c r="L15">
        <f t="shared" si="2"/>
        <v>8.6136499999999998</v>
      </c>
      <c r="M15">
        <f t="shared" si="1"/>
        <v>19.16</v>
      </c>
      <c r="N15" s="5">
        <f>IF(ISBLANK(Distance),"",Open_time Control_1+(INT(Open)&amp;":"&amp;IF(ROUND(((Open-INT(Open))*60),0)&lt;10,0,"")&amp;ROUND(((Open-INT(Open))*60),0)))</f>
        <v>44401.609027777777</v>
      </c>
      <c r="O15" s="5">
        <f>IF(ISBLANK(Distance),"",Open_time Control_1+(INT(Close)&amp;":"&amp;IF(ROUND(((Close-INT(Close))*60),0)&lt;10,0,"")&amp;ROUND(((Close-INT(Close))*60),0)))</f>
        <v>44402.048611111109</v>
      </c>
    </row>
    <row r="16" spans="1:23" ht="17" customHeight="1" x14ac:dyDescent="0.2">
      <c r="B16" s="115">
        <f t="shared" si="0"/>
        <v>462.3</v>
      </c>
      <c r="C16" s="3" t="s">
        <v>13</v>
      </c>
      <c r="D16" s="34">
        <v>344.3</v>
      </c>
      <c r="E16" s="101" t="s">
        <v>98</v>
      </c>
      <c r="F16" s="102" t="s">
        <v>118</v>
      </c>
      <c r="G16" s="103" t="s">
        <v>119</v>
      </c>
      <c r="H16" s="103" t="s">
        <v>120</v>
      </c>
      <c r="I16" s="108" t="s">
        <v>121</v>
      </c>
      <c r="J16" s="108" t="s">
        <v>122</v>
      </c>
      <c r="K16" s="109" t="s">
        <v>78</v>
      </c>
      <c r="L16">
        <f t="shared" si="2"/>
        <v>10.391774999999999</v>
      </c>
      <c r="M16">
        <f t="shared" si="1"/>
        <v>22.953333333333333</v>
      </c>
      <c r="N16" s="5">
        <f>IF(ISBLANK(Distance),"",Open_time Control_1+(INT(Open)&amp;":"&amp;IF(ROUND(((Open-INT(Open))*60),0)&lt;10,0,"")&amp;ROUND(((Open-INT(Open))*60),0)))</f>
        <v>44401.683333333334</v>
      </c>
      <c r="O16" s="5">
        <f>IF(ISBLANK(Distance),"",Open_time Control_1+(INT(Close)&amp;":"&amp;IF(ROUND(((Close-INT(Close))*60),0)&lt;10,0,"")&amp;ROUND(((Close-INT(Close))*60),0)))</f>
        <v>44402.206250000003</v>
      </c>
    </row>
    <row r="17" spans="2:15" ht="17" customHeight="1" x14ac:dyDescent="0.2">
      <c r="B17" s="115">
        <f t="shared" si="0"/>
        <v>519.70000000000005</v>
      </c>
      <c r="C17" s="3" t="s">
        <v>14</v>
      </c>
      <c r="D17" s="34">
        <v>401.7</v>
      </c>
      <c r="E17" s="101" t="s">
        <v>101</v>
      </c>
      <c r="F17" s="103" t="s">
        <v>123</v>
      </c>
      <c r="G17" s="103" t="s">
        <v>103</v>
      </c>
      <c r="H17" s="108" t="s">
        <v>137</v>
      </c>
      <c r="I17" s="108" t="s">
        <v>124</v>
      </c>
      <c r="J17" s="108"/>
      <c r="K17" s="109" t="s">
        <v>78</v>
      </c>
      <c r="L17">
        <f t="shared" si="2"/>
        <v>12.189066666666667</v>
      </c>
      <c r="M17">
        <f t="shared" si="1"/>
        <v>26.779999999999998</v>
      </c>
      <c r="N17" s="5">
        <f>IF(ISBLANK(Distance),"",Open_time Control_1+(INT(Open)&amp;":"&amp;IF(ROUND(((Open-INT(Open))*60),0)&lt;10,0,"")&amp;ROUND(((Open-INT(Open))*60),0)))</f>
        <v>44401.757638888892</v>
      </c>
      <c r="O17" s="5">
        <f>IF(ISBLANK(Distance),"",Open_time Control_1+(INT(Close)&amp;":"&amp;IF(ROUND(((Close-INT(Close))*60),0)&lt;10,0,"")&amp;ROUND(((Close-INT(Close))*60),0)))</f>
        <v>44402.365972222222</v>
      </c>
    </row>
    <row r="18" spans="2:15" ht="17" customHeight="1" x14ac:dyDescent="0.2">
      <c r="B18" s="115">
        <f t="shared" si="0"/>
        <v>601.9</v>
      </c>
      <c r="C18" s="3" t="s">
        <v>15</v>
      </c>
      <c r="D18" s="34">
        <v>483.9</v>
      </c>
      <c r="E18" s="101" t="s">
        <v>93</v>
      </c>
      <c r="F18" s="102" t="s">
        <v>104</v>
      </c>
      <c r="G18" s="103" t="s">
        <v>105</v>
      </c>
      <c r="H18" s="103" t="s">
        <v>125</v>
      </c>
      <c r="I18" s="108" t="s">
        <v>126</v>
      </c>
      <c r="J18" s="108" t="s">
        <v>127</v>
      </c>
      <c r="K18" s="110" t="s">
        <v>78</v>
      </c>
      <c r="L18">
        <f t="shared" si="2"/>
        <v>14.929066666666667</v>
      </c>
      <c r="M18">
        <f t="shared" si="1"/>
        <v>32.26</v>
      </c>
      <c r="N18" s="5">
        <f>IF(ISBLANK(Distance),"",Open_time Control_1+(INT(Open)&amp;":"&amp;IF(ROUND(((Open-INT(Open))*60),0)&lt;10,0,"")&amp;ROUND(((Open-INT(Open))*60),0)))</f>
        <v>44401.87222222222</v>
      </c>
      <c r="O18" s="5">
        <f>IF(ISBLANK(Distance),"",Open_time Control_1+(INT(Close)&amp;":"&amp;IF(ROUND(((Close-INT(Close))*60),0)&lt;10,0,"")&amp;ROUND(((Close-INT(Close))*60),0)))</f>
        <v>44402.594444444447</v>
      </c>
    </row>
    <row r="19" spans="2:15" ht="17" customHeight="1" thickBot="1" x14ac:dyDescent="0.25">
      <c r="B19" s="115">
        <f>D19-D$18</f>
        <v>118</v>
      </c>
      <c r="C19" s="3" t="s">
        <v>16</v>
      </c>
      <c r="D19" s="64">
        <v>601.9</v>
      </c>
      <c r="E19" s="104" t="s">
        <v>81</v>
      </c>
      <c r="F19" s="105" t="s">
        <v>86</v>
      </c>
      <c r="G19" s="106" t="s">
        <v>106</v>
      </c>
      <c r="H19" s="106"/>
      <c r="I19" s="111" t="s">
        <v>79</v>
      </c>
      <c r="J19" s="111"/>
      <c r="K19" s="112"/>
      <c r="L19">
        <f t="shared" si="2"/>
        <v>18.866857142857143</v>
      </c>
      <c r="M19">
        <f t="shared" si="1"/>
        <v>40</v>
      </c>
      <c r="N19" s="5">
        <f>IF(ISBLANK(Distance),"",Open_time Control_1+(INT(Open)&amp;":"&amp;IF(ROUND(((Open-INT(Open))*60),0)&lt;10,0,"")&amp;ROUND(((Open-INT(Open))*60),0)))</f>
        <v>44402.036111111112</v>
      </c>
      <c r="O19" s="5">
        <f>IF(ISBLANK(Distance),"",Open_time Control_1+(INT(Close)&amp;":"&amp;IF(ROUND(((Close-INT(Close))*60),0)&lt;10,0,"")&amp;ROUND(((Close-INT(Close))*60),0)))</f>
        <v>44402.916666666664</v>
      </c>
    </row>
    <row r="20" spans="2:15" ht="7" customHeight="1" thickBot="1" x14ac:dyDescent="0.25">
      <c r="D20" s="86"/>
      <c r="E20" s="87"/>
      <c r="F20" s="88"/>
      <c r="G20" s="88"/>
      <c r="H20" s="88"/>
      <c r="I20" s="88"/>
      <c r="J20" s="88"/>
      <c r="K20" s="89"/>
      <c r="N20" s="5"/>
      <c r="O20" s="5"/>
    </row>
    <row r="21" spans="2:15" ht="14" thickBot="1" x14ac:dyDescent="0.2">
      <c r="D21" s="117" t="s">
        <v>84</v>
      </c>
      <c r="E21" s="118"/>
      <c r="F21" s="118"/>
      <c r="G21" s="118"/>
      <c r="H21" s="118"/>
      <c r="I21" s="119" t="s">
        <v>77</v>
      </c>
      <c r="J21" s="118"/>
      <c r="K21" s="120"/>
    </row>
    <row r="22" spans="2:15" ht="14" thickBot="1" x14ac:dyDescent="0.2">
      <c r="D22" s="6" t="s">
        <v>24</v>
      </c>
      <c r="E22" s="7" t="s">
        <v>25</v>
      </c>
      <c r="F22" s="84" t="s">
        <v>26</v>
      </c>
      <c r="G22" s="84" t="s">
        <v>27</v>
      </c>
      <c r="H22" s="85" t="s">
        <v>28</v>
      </c>
      <c r="I22" s="7" t="s">
        <v>61</v>
      </c>
      <c r="J22" s="7" t="s">
        <v>62</v>
      </c>
      <c r="K22" s="8" t="s">
        <v>63</v>
      </c>
      <c r="L22" t="s">
        <v>3</v>
      </c>
      <c r="M22" t="s">
        <v>4</v>
      </c>
      <c r="N22" t="s">
        <v>5</v>
      </c>
      <c r="O22" t="s">
        <v>6</v>
      </c>
    </row>
    <row r="23" spans="2:15" ht="16" x14ac:dyDescent="0.2">
      <c r="D23" s="34">
        <v>0</v>
      </c>
      <c r="E23" s="101" t="s">
        <v>93</v>
      </c>
      <c r="F23" s="102" t="s">
        <v>104</v>
      </c>
      <c r="G23" s="103" t="s">
        <v>105</v>
      </c>
      <c r="H23" s="103" t="s">
        <v>125</v>
      </c>
      <c r="I23" s="108" t="s">
        <v>126</v>
      </c>
      <c r="J23" s="108" t="s">
        <v>127</v>
      </c>
      <c r="K23" s="109"/>
      <c r="L23">
        <f>IF(ISBLANK(D23),"",IF(D23&gt;1000,(D23-1000)/26+33.0847,(IF(D23&gt;600,(D23-600)/28+18.799,(IF(D23&gt;400,(D23-400)/30+12.1324,(IF(D23&gt;200,(D23-200)/32+5.8824,D23/34))))))))</f>
        <v>0</v>
      </c>
      <c r="M23">
        <f t="shared" ref="M23:M32" si="3">IF(ISBLANK(D23),"",IF(D23&gt;=brevet,IF(brevet&gt;1200,(brevet-1200)*75/1000+90,Max_time),IF(D23&gt;1200,(D23-1200)*75/1000+90,IF(D23&gt;1000,(D23-1000)/(1000/75)+75,IF(D23&gt;600,(D23-600)/(400/35)+40,D23/15)))))</f>
        <v>0</v>
      </c>
      <c r="N23" s="5">
        <f>IF(ISBLANK(D23),"",Open_time Control_1+(INT(L23)&amp;":"&amp;IF(ROUND(((L23-INT(L23))*60),0)&lt;10,0,"")&amp;ROUND(((L23-INT(L23))*60),0)))</f>
        <v>44401.25</v>
      </c>
      <c r="O23" s="5">
        <f>IF(ISBLANK(D23),"",Open_time Control_1+(INT(M23)&amp;":"&amp;IF(ROUND(((M23-INT(M23))*60),0)&lt;10,0,"")&amp;ROUND(((M23-INT(M23))*60),0)))</f>
        <v>44401.25</v>
      </c>
    </row>
    <row r="24" spans="2:15" ht="17" customHeight="1" x14ac:dyDescent="0.2">
      <c r="D24" s="34">
        <v>118</v>
      </c>
      <c r="E24" s="101" t="s">
        <v>85</v>
      </c>
      <c r="F24" s="102" t="s">
        <v>86</v>
      </c>
      <c r="G24" s="103" t="s">
        <v>87</v>
      </c>
      <c r="H24" s="108" t="s">
        <v>132</v>
      </c>
      <c r="I24" s="108" t="s">
        <v>136</v>
      </c>
      <c r="J24" s="108" t="s">
        <v>133</v>
      </c>
      <c r="K24" s="110"/>
      <c r="L24">
        <f t="shared" ref="L24:L32" si="4">IF(ISBLANK(D24),"",IF(D24&gt;1000,(D24-1000)/26+33.0847,(IF(D24&gt;600,(D24-600)/28+18.799,(IF(D24&gt;400,(D24-400)/30+12.1324,(IF(D24&gt;200,(D24-200)/32+5.8824,D24/34))))))))</f>
        <v>3.4705882352941178</v>
      </c>
      <c r="M24">
        <f t="shared" si="3"/>
        <v>7.8666666666666663</v>
      </c>
      <c r="N24" s="5">
        <f>IF(ISBLANK(D24),"",Open_time Control_1+(INT(L24)&amp;":"&amp;IF(ROUND(((L24-INT(L24))*60),0)&lt;10,0,"")&amp;ROUND(((L24-INT(L24))*60),0)))</f>
        <v>44401.394444444442</v>
      </c>
      <c r="O24" s="5">
        <f>IF(ISBLANK(D24),"",Open_time Control_1+(INT(M24)&amp;":"&amp;IF(ROUND(((M24-INT(M24))*60),0)&lt;10,0,"")&amp;ROUND(((M24-INT(M24))*60),0)))</f>
        <v>44401.577777777777</v>
      </c>
    </row>
    <row r="25" spans="2:15" ht="17" customHeight="1" x14ac:dyDescent="0.2">
      <c r="D25" s="34">
        <v>182.5</v>
      </c>
      <c r="E25" s="113" t="s">
        <v>88</v>
      </c>
      <c r="F25" s="102" t="s">
        <v>89</v>
      </c>
      <c r="G25" s="103" t="s">
        <v>135</v>
      </c>
      <c r="H25" s="103" t="s">
        <v>128</v>
      </c>
      <c r="I25" s="108" t="s">
        <v>129</v>
      </c>
      <c r="J25" s="108" t="s">
        <v>131</v>
      </c>
      <c r="K25" s="110"/>
      <c r="L25">
        <f t="shared" si="4"/>
        <v>5.367647058823529</v>
      </c>
      <c r="M25">
        <f t="shared" si="3"/>
        <v>12.166666666666666</v>
      </c>
      <c r="N25" s="5">
        <f>IF(ISBLANK(D25),"",Open_time Control_1+(INT(L25)&amp;":"&amp;IF(ROUND(((L25-INT(L25))*60),0)&lt;10,0,"")&amp;ROUND(((L25-INT(L25))*60),0)))</f>
        <v>44401.473611111112</v>
      </c>
      <c r="O25" s="5">
        <f>IF(ISBLANK(D25),"",Open_time Control_1+(INT(M25)&amp;":"&amp;IF(ROUND(((M25-INT(M25))*60),0)&lt;10,0,"")&amp;ROUND(((M25-INT(M25))*60),0)))</f>
        <v>44401.756944444445</v>
      </c>
    </row>
    <row r="26" spans="2:15" ht="17" customHeight="1" x14ac:dyDescent="0.2">
      <c r="D26" s="34">
        <v>244.7</v>
      </c>
      <c r="E26" s="101" t="s">
        <v>90</v>
      </c>
      <c r="F26" s="102" t="s">
        <v>91</v>
      </c>
      <c r="G26" s="103" t="s">
        <v>92</v>
      </c>
      <c r="H26" s="103" t="s">
        <v>128</v>
      </c>
      <c r="I26" s="108" t="s">
        <v>129</v>
      </c>
      <c r="J26" s="108" t="s">
        <v>130</v>
      </c>
      <c r="K26" s="109"/>
      <c r="L26">
        <f t="shared" si="4"/>
        <v>7.2792749999999993</v>
      </c>
      <c r="M26">
        <f t="shared" si="3"/>
        <v>16.313333333333333</v>
      </c>
      <c r="N26" s="5">
        <f>IF(ISBLANK(D26),"",Open_time Control_1+(INT(L26)&amp;":"&amp;IF(ROUND(((L26-INT(L26))*60),0)&lt;10,0,"")&amp;ROUND(((L26-INT(L26))*60),0)))</f>
        <v>44401.553472222222</v>
      </c>
      <c r="O26" s="5">
        <f>IF(ISBLANK(D26),"",Open_time Control_1+(INT(M26)&amp;":"&amp;IF(ROUND(((M26-INT(M26))*60),0)&lt;10,0,"")&amp;ROUND(((M26-INT(M26))*60),0)))</f>
        <v>44401.929861111108</v>
      </c>
    </row>
    <row r="27" spans="2:15" ht="17" customHeight="1" x14ac:dyDescent="0.2">
      <c r="D27" s="34">
        <v>296.7</v>
      </c>
      <c r="E27" s="101" t="s">
        <v>93</v>
      </c>
      <c r="F27" s="102" t="s">
        <v>107</v>
      </c>
      <c r="G27" s="103" t="s">
        <v>109</v>
      </c>
      <c r="H27" s="103" t="s">
        <v>110</v>
      </c>
      <c r="I27" s="108" t="s">
        <v>111</v>
      </c>
      <c r="J27" s="108"/>
      <c r="K27" s="109"/>
      <c r="L27">
        <f t="shared" si="4"/>
        <v>8.9042749999999984</v>
      </c>
      <c r="M27">
        <f t="shared" si="3"/>
        <v>19.779999999999998</v>
      </c>
      <c r="N27" s="5">
        <f>IF(ISBLANK(D27),"",Open_time Control_1+(INT(L27)&amp;":"&amp;IF(ROUND(((L27-INT(L27))*60),0)&lt;10,0,"")&amp;ROUND(((L27-INT(L27))*60),0)))</f>
        <v>44401.620833333334</v>
      </c>
      <c r="O27" s="5">
        <f>IF(ISBLANK(D27),"",Open_time Control_1+(INT(M27)&amp;":"&amp;IF(ROUND(((M27-INT(M27))*60),0)&lt;10,0,"")&amp;ROUND(((M27-INT(M27))*60),0)))</f>
        <v>44402.074305555558</v>
      </c>
    </row>
    <row r="28" spans="2:15" ht="17" customHeight="1" x14ac:dyDescent="0.2">
      <c r="D28" s="34">
        <v>336.9</v>
      </c>
      <c r="E28" s="101" t="s">
        <v>94</v>
      </c>
      <c r="F28" s="102" t="s">
        <v>108</v>
      </c>
      <c r="G28" s="103" t="s">
        <v>112</v>
      </c>
      <c r="H28" s="108" t="s">
        <v>113</v>
      </c>
      <c r="I28" s="108" t="s">
        <v>114</v>
      </c>
      <c r="J28" s="108"/>
      <c r="K28" s="109"/>
      <c r="L28">
        <f t="shared" si="4"/>
        <v>10.160525</v>
      </c>
      <c r="M28">
        <f t="shared" si="3"/>
        <v>22.459999999999997</v>
      </c>
      <c r="N28" s="5">
        <f>IF(ISBLANK(D28),"",Open_time Control_1+(INT(L28)&amp;":"&amp;IF(ROUND(((L28-INT(L28))*60),0)&lt;10,0,"")&amp;ROUND(((L28-INT(L28))*60),0)))</f>
        <v>44401.673611111109</v>
      </c>
      <c r="O28" s="5">
        <f>IF(ISBLANK(D28),"",Open_time Control_1+(INT(M28)&amp;":"&amp;IF(ROUND(((M28-INT(M28))*60),0)&lt;10,0,"")&amp;ROUND(((M28-INT(M28))*60),0)))</f>
        <v>44402.186111111114</v>
      </c>
    </row>
    <row r="29" spans="2:15" ht="17" customHeight="1" x14ac:dyDescent="0.2">
      <c r="D29" s="34">
        <v>405.4</v>
      </c>
      <c r="E29" s="101" t="s">
        <v>95</v>
      </c>
      <c r="F29" s="102" t="s">
        <v>96</v>
      </c>
      <c r="G29" s="103" t="s">
        <v>97</v>
      </c>
      <c r="H29" s="103" t="s">
        <v>115</v>
      </c>
      <c r="I29" s="108" t="s">
        <v>116</v>
      </c>
      <c r="J29" s="108" t="s">
        <v>117</v>
      </c>
      <c r="K29" s="110"/>
      <c r="L29">
        <f t="shared" si="4"/>
        <v>12.3124</v>
      </c>
      <c r="M29">
        <f t="shared" si="3"/>
        <v>27.026666666666664</v>
      </c>
      <c r="N29" s="5">
        <f>IF(ISBLANK(D29),"",Open_time Control_1+(INT(L29)&amp;":"&amp;IF(ROUND(((L29-INT(L29))*60),0)&lt;10,0,"")&amp;ROUND(((L29-INT(L29))*60),0)))</f>
        <v>44401.763194444444</v>
      </c>
      <c r="O29" s="5">
        <f>IF(ISBLANK(D29),"",Open_time Control_1+(INT(M29)&amp;":"&amp;IF(ROUND(((M29-INT(M29))*60),0)&lt;10,0,"")&amp;ROUND(((M29-INT(M29))*60),0)))</f>
        <v>44402.376388888886</v>
      </c>
    </row>
    <row r="30" spans="2:15" ht="17" customHeight="1" x14ac:dyDescent="0.2">
      <c r="D30" s="34">
        <v>462.3</v>
      </c>
      <c r="E30" s="101" t="s">
        <v>98</v>
      </c>
      <c r="F30" s="102" t="s">
        <v>99</v>
      </c>
      <c r="G30" s="103" t="s">
        <v>100</v>
      </c>
      <c r="H30" s="103" t="s">
        <v>120</v>
      </c>
      <c r="I30" s="108" t="s">
        <v>121</v>
      </c>
      <c r="J30" s="108" t="s">
        <v>122</v>
      </c>
      <c r="K30" s="109"/>
      <c r="L30">
        <f t="shared" si="4"/>
        <v>14.209066666666669</v>
      </c>
      <c r="M30">
        <f t="shared" si="3"/>
        <v>30.82</v>
      </c>
      <c r="N30" s="5">
        <f>IF(ISBLANK(D30),"",Open_time Control_1+(INT(L30)&amp;":"&amp;IF(ROUND(((L30-INT(L30))*60),0)&lt;10,0,"")&amp;ROUND(((L30-INT(L30))*60),0)))</f>
        <v>44401.842361111114</v>
      </c>
      <c r="O30" s="5">
        <f>IF(ISBLANK(D30),"",Open_time Control_1+(INT(M30)&amp;":"&amp;IF(ROUND(((M30-INT(M30))*60),0)&lt;10,0,"")&amp;ROUND(((M30-INT(M30))*60),0)))</f>
        <v>44402.53402777778</v>
      </c>
    </row>
    <row r="31" spans="2:15" ht="17" customHeight="1" x14ac:dyDescent="0.2">
      <c r="D31" s="34">
        <v>519.70000000000005</v>
      </c>
      <c r="E31" s="101" t="s">
        <v>101</v>
      </c>
      <c r="F31" s="102" t="s">
        <v>102</v>
      </c>
      <c r="G31" s="103" t="s">
        <v>103</v>
      </c>
      <c r="H31" s="108" t="s">
        <v>137</v>
      </c>
      <c r="I31" s="108" t="s">
        <v>124</v>
      </c>
      <c r="J31" s="108"/>
      <c r="K31" s="109"/>
      <c r="L31">
        <f t="shared" si="4"/>
        <v>16.122400000000003</v>
      </c>
      <c r="M31">
        <f t="shared" si="3"/>
        <v>34.646666666666668</v>
      </c>
      <c r="N31" s="5">
        <f>IF(ISBLANK(D31),"",Open_time Control_1+(INT(L31)&amp;":"&amp;IF(ROUND(((L31-INT(L31))*60),0)&lt;10,0,"")&amp;ROUND(((L31-INT(L31))*60),0)))</f>
        <v>44401.921527777777</v>
      </c>
      <c r="O31" s="5">
        <f>IF(ISBLANK(D31),"",Open_time Control_1+(INT(M31)&amp;":"&amp;IF(ROUND(((M31-INT(M31))*60),0)&lt;10,0,"")&amp;ROUND(((M31-INT(M31))*60),0)))</f>
        <v>44402.693749999999</v>
      </c>
    </row>
    <row r="32" spans="2:15" ht="17" customHeight="1" thickBot="1" x14ac:dyDescent="0.25">
      <c r="D32" s="64">
        <v>601.9</v>
      </c>
      <c r="E32" s="104" t="s">
        <v>93</v>
      </c>
      <c r="F32" s="105" t="s">
        <v>104</v>
      </c>
      <c r="G32" s="106" t="s">
        <v>105</v>
      </c>
      <c r="H32" s="106"/>
      <c r="I32" s="111" t="s">
        <v>79</v>
      </c>
      <c r="J32" s="111"/>
      <c r="K32" s="112"/>
      <c r="L32">
        <f t="shared" si="4"/>
        <v>18.866857142857143</v>
      </c>
      <c r="M32">
        <f t="shared" si="3"/>
        <v>40</v>
      </c>
      <c r="N32" s="5">
        <f>IF(ISBLANK(D32),"",Open_time Control_1+(INT(L32)&amp;":"&amp;IF(ROUND(((L32-INT(L32))*60),0)&lt;10,0,"")&amp;ROUND(((L32-INT(L32))*60),0)))</f>
        <v>44402.036111111112</v>
      </c>
      <c r="O32" s="5">
        <f>IF(ISBLANK(D32),"",Open_time Control_1+(INT(M32)&amp;":"&amp;IF(ROUND(((M32-INT(M32))*60),0)&lt;10,0,"")&amp;ROUND(((M32-INT(M32))*60),0)))</f>
        <v>44402.916666666664</v>
      </c>
    </row>
  </sheetData>
  <mergeCells count="5">
    <mergeCell ref="J1:K1"/>
    <mergeCell ref="D8:H8"/>
    <mergeCell ref="D21:H21"/>
    <mergeCell ref="I8:K8"/>
    <mergeCell ref="I21:K21"/>
  </mergeCells>
  <phoneticPr fontId="16" type="noConversion"/>
  <hyperlinks>
    <hyperlink ref="G11" r:id="rId1" display="Columbine@Interurban" xr:uid="{D36FCF7C-271A-6043-AA96-DFFA972E1AFA}"/>
  </hyperlinks>
  <pageMargins left="0.75" right="0.75" top="1" bottom="1" header="0.5" footer="0.5"/>
  <pageSetup orientation="portrait" horizontalDpi="4294967292" verticalDpi="4294967292"/>
  <headerFooter>
    <oddHeader>&amp;A</oddHeader>
    <oddFooter>Page &amp;P</oddFooter>
  </headerFooter>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40"/>
  <sheetViews>
    <sheetView showGridLines="0" topLeftCell="A17" zoomScale="92" zoomScaleNormal="92" zoomScalePageLayoutView="92" workbookViewId="0">
      <selection activeCell="F10" sqref="F10"/>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style="36" customWidth="1"/>
    <col min="9" max="9" width="12" customWidth="1"/>
    <col min="18" max="19" width="8.83203125" customWidth="1"/>
  </cols>
  <sheetData>
    <row r="1" spans="1:22" ht="21" thickBot="1" x14ac:dyDescent="0.2">
      <c r="A1" s="124" t="s">
        <v>44</v>
      </c>
      <c r="B1" s="124"/>
      <c r="C1" s="124"/>
      <c r="D1" s="124"/>
      <c r="E1" s="124"/>
      <c r="F1" s="124"/>
      <c r="G1" s="124"/>
      <c r="H1" s="35" t="s">
        <v>29</v>
      </c>
    </row>
    <row r="2" spans="1:22" ht="33.75" customHeight="1" thickBot="1" x14ac:dyDescent="0.25">
      <c r="A2" s="100" t="s">
        <v>30</v>
      </c>
      <c r="B2" s="9" t="s">
        <v>3</v>
      </c>
      <c r="C2" s="9" t="s">
        <v>4</v>
      </c>
      <c r="D2" s="9" t="s">
        <v>25</v>
      </c>
      <c r="E2" s="9" t="s">
        <v>31</v>
      </c>
      <c r="F2" s="9" t="s">
        <v>60</v>
      </c>
      <c r="G2" s="100" t="s">
        <v>32</v>
      </c>
      <c r="H2" s="35" t="s">
        <v>29</v>
      </c>
      <c r="K2" s="122" t="s">
        <v>56</v>
      </c>
      <c r="L2" s="122"/>
      <c r="M2" s="122"/>
      <c r="N2" s="122"/>
      <c r="O2" s="122"/>
      <c r="P2" s="122"/>
      <c r="Q2" s="122"/>
      <c r="R2" s="122"/>
      <c r="S2" s="122"/>
      <c r="T2" s="122"/>
      <c r="U2" s="122"/>
    </row>
    <row r="3" spans="1:22" ht="36" customHeight="1" x14ac:dyDescent="0.45">
      <c r="A3" s="39"/>
      <c r="B3" s="40">
        <f>Control_1 Open_time</f>
        <v>44401.25</v>
      </c>
      <c r="C3" s="40">
        <f>Control_1 Close_time</f>
        <v>44401.291666666664</v>
      </c>
      <c r="D3" s="41"/>
      <c r="E3" s="42" t="str">
        <f>IF(ISBLANK(Control_1 Establishment_1),"",Control_1 Establishment_1)</f>
        <v>Ferry Terminal</v>
      </c>
      <c r="F3" s="42" t="str">
        <f>IF(ISBLANK('Control Entry'!I10),"",'Control Entry'!I10)</f>
        <v>To right of entry lane</v>
      </c>
      <c r="G3" s="10"/>
      <c r="H3" s="35" t="s">
        <v>29</v>
      </c>
      <c r="K3" s="16"/>
      <c r="O3" s="131" t="s">
        <v>33</v>
      </c>
      <c r="P3" s="131"/>
      <c r="Q3" s="131"/>
      <c r="R3" s="131"/>
      <c r="S3" s="83"/>
      <c r="U3" s="52"/>
    </row>
    <row r="4" spans="1:22" ht="36" customHeight="1" x14ac:dyDescent="0.2">
      <c r="A4" s="48">
        <f>IF(ISBLANK(Distance Control_1),"",Control_1 Distance)</f>
        <v>0</v>
      </c>
      <c r="B4" s="49">
        <f>Control_1 Open_time</f>
        <v>44401.25</v>
      </c>
      <c r="C4" s="49">
        <f>Control_1 Close_time</f>
        <v>44401.291666666664</v>
      </c>
      <c r="D4" s="50" t="str">
        <f>IF(ISBLANK(Locale Control_1),"",Locale Control_1)</f>
        <v>BRENTWOOD BAY</v>
      </c>
      <c r="E4" s="42" t="str">
        <f>IF(ISBLANK(Control_1 Establishment_2),"",Control_1 Establishment_2)</f>
        <v>Verdier Ave</v>
      </c>
      <c r="F4" s="67" t="str">
        <f>IF(ISBLANK('Control Entry'!J10),"",'Control Entry'!J10)</f>
        <v>What is number at bottom?</v>
      </c>
      <c r="G4" s="10"/>
      <c r="H4" s="35" t="s">
        <v>29</v>
      </c>
      <c r="K4" s="16"/>
      <c r="M4" s="126" t="str">
        <f>IF(ISBLANK(brevet),"",brevet&amp;" km Randonnée")</f>
        <v>600 km Randonnée</v>
      </c>
      <c r="N4" s="126"/>
      <c r="O4" s="126"/>
      <c r="P4" s="126"/>
      <c r="Q4" s="126"/>
      <c r="R4" s="126"/>
      <c r="S4" s="126"/>
      <c r="T4" s="126"/>
      <c r="U4" s="53"/>
    </row>
    <row r="5" spans="1:22" ht="36" customHeight="1" thickBot="1" x14ac:dyDescent="0.25">
      <c r="A5" s="43"/>
      <c r="B5" s="44">
        <f>Control_1 Open_time</f>
        <v>44401.25</v>
      </c>
      <c r="C5" s="44">
        <f>Control_1 Close_time</f>
        <v>44401.291666666664</v>
      </c>
      <c r="D5" s="45"/>
      <c r="E5" s="46" t="str">
        <f>IF(ISBLANK(Control_1 Establishment_3),"",Control_1 Establishment_3)</f>
        <v xml:space="preserve"> Large yellow concrete triangle</v>
      </c>
      <c r="F5" s="107" t="str">
        <f>IF(ISBLANK('Control Entry'!K10),"",'Control Entry'!K10)</f>
        <v>_______________________</v>
      </c>
      <c r="G5" s="11"/>
      <c r="H5" s="35" t="s">
        <v>29</v>
      </c>
      <c r="K5" s="16"/>
      <c r="M5" s="17"/>
      <c r="N5" s="129" t="s">
        <v>48</v>
      </c>
      <c r="O5" s="129"/>
      <c r="P5" s="81">
        <f>IF(ISBLANK(Brevet_Number),"",Brevet_Number)</f>
        <v>5097</v>
      </c>
      <c r="Q5" s="82"/>
      <c r="R5" s="121">
        <f>IF(ISBLANK('Control Entry'!$B5),"",'Control Entry'!$B5)</f>
        <v>44401</v>
      </c>
      <c r="S5" s="121"/>
      <c r="T5" s="121"/>
      <c r="U5" s="121"/>
      <c r="V5" s="54"/>
    </row>
    <row r="6" spans="1:22" ht="36" customHeight="1" x14ac:dyDescent="0.2">
      <c r="A6" s="39"/>
      <c r="B6" s="40">
        <f>Control_2 Open_time</f>
        <v>44401.32916666667</v>
      </c>
      <c r="C6" s="40">
        <f>Control_2 Close_time</f>
        <v>44401.429166666669</v>
      </c>
      <c r="D6" s="47"/>
      <c r="E6" s="42" t="str">
        <f>IF(ISBLANK(Control_2 Establishment_1),"",Control_2 Establishment_1)</f>
        <v>Koksilah Forest Service Rd</v>
      </c>
      <c r="F6" s="42" t="str">
        <f>IF(ISBLANK('Control Entry'!I11),"",'Control Entry'!I11)</f>
        <v>Yellow/black diamond sign</v>
      </c>
      <c r="G6" s="10"/>
      <c r="H6" s="35" t="s">
        <v>29</v>
      </c>
      <c r="K6" s="16"/>
      <c r="L6" s="134" t="str">
        <f>IF(ISBLANK(Brevet_Description),"",Brevet_Description)</f>
        <v>A Ferry Sails Through</v>
      </c>
      <c r="M6" s="134"/>
      <c r="N6" s="134"/>
      <c r="O6" s="134"/>
      <c r="P6" s="134"/>
      <c r="Q6" s="134"/>
      <c r="R6" s="134"/>
      <c r="S6" s="134"/>
      <c r="T6" s="134"/>
      <c r="U6" s="134"/>
    </row>
    <row r="7" spans="1:22" ht="36" customHeight="1" x14ac:dyDescent="0.2">
      <c r="A7" s="48">
        <f>IF(ISBLANK(Distance Control_2),"",Control_2 Distance)</f>
        <v>64.5</v>
      </c>
      <c r="B7" s="49">
        <f>Control_2 Open_time</f>
        <v>44401.32916666667</v>
      </c>
      <c r="C7" s="49">
        <f>Control_2 Close_time</f>
        <v>44401.429166666669</v>
      </c>
      <c r="D7" s="50" t="str">
        <f>IF(ISBLANK(Locale Control_2),"",Locale Control_2)</f>
        <v>COBBLE HILL</v>
      </c>
      <c r="E7" s="42" t="str">
        <f>IF(ISBLANK(Control_2 Establishment_2),"",Control_2 Establishment_2)</f>
        <v>@ Doran Rd</v>
      </c>
      <c r="F7" s="138" t="str">
        <f>IF(ISBLANK('Control Entry'!J11),"",'Control Entry'!J11)</f>
        <v>__________________Vehilce Access</v>
      </c>
      <c r="G7" s="10"/>
      <c r="H7" s="35" t="s">
        <v>29</v>
      </c>
    </row>
    <row r="8" spans="1:22" ht="36" customHeight="1" thickBot="1" x14ac:dyDescent="0.25">
      <c r="A8" s="43"/>
      <c r="B8" s="44">
        <f>Control_2 Open_time</f>
        <v>44401.32916666667</v>
      </c>
      <c r="C8" s="44">
        <f>Control_2 Close_time</f>
        <v>44401.429166666669</v>
      </c>
      <c r="D8" s="45"/>
      <c r="E8" s="46" t="str">
        <f>IF(ISBLANK(Control_2 Establishment_3),"",Control_2 Establishment_3)</f>
        <v>Yellow Gate</v>
      </c>
      <c r="F8" s="107" t="str">
        <f>IF(ISBLANK('Control Entry'!K11),"",'Control Entry'!K11)</f>
        <v>_______________________</v>
      </c>
      <c r="G8" s="11"/>
      <c r="H8" s="35" t="s">
        <v>29</v>
      </c>
      <c r="J8" s="17" t="s">
        <v>34</v>
      </c>
      <c r="L8" s="123"/>
      <c r="M8" s="123"/>
      <c r="N8" s="123"/>
      <c r="O8" s="123"/>
      <c r="P8" s="123"/>
      <c r="Q8" s="123"/>
      <c r="R8" s="36"/>
      <c r="S8" s="55" t="s">
        <v>47</v>
      </c>
      <c r="T8" s="135"/>
      <c r="U8" s="135"/>
    </row>
    <row r="9" spans="1:22" ht="36" customHeight="1" thickBot="1" x14ac:dyDescent="0.3">
      <c r="A9" s="39"/>
      <c r="B9" s="40">
        <f>Control_3 Open_time</f>
        <v>44401.405555555553</v>
      </c>
      <c r="C9" s="40">
        <f>Control_3 Close_time</f>
        <v>44401.602083333331</v>
      </c>
      <c r="D9" s="47"/>
      <c r="E9" s="42" t="str">
        <f>IF(ISBLANK(Control_3 Establishment_1),"",Control_3 Establishment_1)</f>
        <v>Hemer Park Entrance Gate</v>
      </c>
      <c r="F9" s="42" t="str">
        <f>IF(ISBLANK('Control Entry'!I12),"",'Control Entry'!I12)</f>
        <v>Yellow/black diamond sign</v>
      </c>
      <c r="G9" s="10"/>
      <c r="H9" s="35" t="s">
        <v>29</v>
      </c>
      <c r="J9" s="17" t="s">
        <v>35</v>
      </c>
      <c r="K9" s="17"/>
      <c r="L9" s="65" t="s">
        <v>55</v>
      </c>
      <c r="M9" s="23"/>
      <c r="N9" s="23"/>
      <c r="O9" s="23"/>
      <c r="P9" s="23"/>
      <c r="Q9" s="23"/>
      <c r="R9" s="23"/>
      <c r="S9" s="23"/>
      <c r="T9" s="23"/>
      <c r="U9" s="21"/>
    </row>
    <row r="10" spans="1:22" ht="36" customHeight="1" thickBot="1" x14ac:dyDescent="0.3">
      <c r="A10" s="48">
        <f>IF(ISBLANK(Distance Control_3),"",Control_3 Distance)</f>
        <v>126.7</v>
      </c>
      <c r="B10" s="49">
        <f>Control_3 Open_time</f>
        <v>44401.405555555553</v>
      </c>
      <c r="C10" s="49">
        <f>Control_3 Close_time</f>
        <v>44401.602083333331</v>
      </c>
      <c r="D10" s="50" t="str">
        <f>IF(ISBLANK(Locale Control_3),"",Locale Control_3)</f>
        <v>CEDAR</v>
      </c>
      <c r="E10" s="67" t="str">
        <f>IF(ISBLANK(Control_3 Establishment_2),"",Control_3 Establishment_2)</f>
        <v>Service Rd</v>
      </c>
      <c r="F10" s="67" t="str">
        <f>IF(ISBLANK('Control Entry'!J12),"",'Control Entry'!J12)</f>
        <v>What is word in middle?</v>
      </c>
      <c r="G10" s="10"/>
      <c r="H10" s="35" t="s">
        <v>29</v>
      </c>
      <c r="J10" s="17"/>
      <c r="K10" s="17"/>
      <c r="L10" s="37"/>
      <c r="M10" s="23"/>
      <c r="N10" s="23"/>
      <c r="O10" s="23"/>
      <c r="P10" s="23"/>
      <c r="Q10" s="23"/>
      <c r="R10" s="23"/>
      <c r="S10" s="23"/>
      <c r="T10" s="23"/>
      <c r="U10" s="21"/>
    </row>
    <row r="11" spans="1:22" ht="36" customHeight="1" thickBot="1" x14ac:dyDescent="0.3">
      <c r="A11" s="43"/>
      <c r="B11" s="44">
        <f>Control_3 Open_time</f>
        <v>44401.405555555553</v>
      </c>
      <c r="C11" s="44">
        <f>Control_3 Close_time</f>
        <v>44401.602083333331</v>
      </c>
      <c r="D11" s="45"/>
      <c r="E11" s="46" t="str">
        <f>IF(ISBLANK(Control_3 Establishment_3),"",Control_3 Establishment_3)</f>
        <v>Yellow Gate</v>
      </c>
      <c r="F11" s="107" t="str">
        <f>IF(ISBLANK('Control Entry'!K12),"",'Control Entry'!K12)</f>
        <v>_______________________</v>
      </c>
      <c r="G11" s="11"/>
      <c r="H11" s="35" t="s">
        <v>29</v>
      </c>
      <c r="J11" s="17" t="s">
        <v>36</v>
      </c>
      <c r="K11" s="17"/>
      <c r="L11" s="37"/>
      <c r="M11" s="23"/>
      <c r="N11" s="23"/>
      <c r="O11" s="24"/>
      <c r="P11" s="24" t="s">
        <v>37</v>
      </c>
      <c r="Q11" s="24"/>
      <c r="R11" s="24"/>
      <c r="S11" s="57"/>
      <c r="T11" s="37"/>
      <c r="U11" s="21"/>
    </row>
    <row r="12" spans="1:22" ht="36" customHeight="1" thickBot="1" x14ac:dyDescent="0.3">
      <c r="A12" s="39"/>
      <c r="B12" s="40">
        <f>Control_4 Open_time</f>
        <v>44401.46875</v>
      </c>
      <c r="C12" s="40">
        <f>Control_4 Close_time</f>
        <v>44401.746527777781</v>
      </c>
      <c r="D12" s="47"/>
      <c r="E12" s="42" t="str">
        <f>IF(ISBLANK(Control_4 Establishment_1),"",Control_4 Establishment_1)</f>
        <v>Beachcomber Regional Park</v>
      </c>
      <c r="F12" s="42" t="str">
        <f>IF(ISBLANK('Control Entry'!I13),"",'Control Entry'!I13)</f>
        <v>Left post street number?</v>
      </c>
      <c r="G12" s="10"/>
      <c r="H12" s="35" t="s">
        <v>29</v>
      </c>
      <c r="J12" s="17" t="s">
        <v>38</v>
      </c>
      <c r="K12" s="17"/>
      <c r="L12" s="37"/>
      <c r="M12" s="23"/>
      <c r="N12" s="23"/>
      <c r="O12" s="24"/>
      <c r="P12" s="24" t="s">
        <v>39</v>
      </c>
      <c r="Q12" s="24"/>
      <c r="R12" s="24"/>
      <c r="S12" s="57"/>
      <c r="T12" s="37"/>
      <c r="U12" s="21"/>
    </row>
    <row r="13" spans="1:22" ht="36" customHeight="1" thickBot="1" x14ac:dyDescent="0.3">
      <c r="A13" s="48">
        <f>IF(ISBLANK(Distance Control_4),"",Control_4 Distance)</f>
        <v>178.7</v>
      </c>
      <c r="B13" s="49">
        <f>Control_4 Open_time</f>
        <v>44401.46875</v>
      </c>
      <c r="C13" s="49">
        <f>Control_4 Close_time</f>
        <v>44401.746527777781</v>
      </c>
      <c r="D13" s="50" t="str">
        <f>IF(ISBLANK(Locale Control_4),"",Locale Control_4)</f>
        <v>NANOOSE</v>
      </c>
      <c r="E13" s="42" t="str">
        <f>IF(ISBLANK(Control_4 Establishment_2),"",Control_4 Establishment_2)</f>
        <v>Marina Way</v>
      </c>
      <c r="F13" s="42" t="str">
        <f>IF(ISBLANK('Control Entry'!J13),"",'Control Entry'!J13)</f>
        <v/>
      </c>
      <c r="G13" s="10"/>
      <c r="H13" s="35" t="s">
        <v>29</v>
      </c>
      <c r="J13" s="17" t="s">
        <v>40</v>
      </c>
      <c r="L13" s="79"/>
      <c r="M13" s="80"/>
      <c r="N13" s="80"/>
      <c r="O13" s="25"/>
      <c r="P13" s="24" t="s">
        <v>41</v>
      </c>
      <c r="Q13" s="24"/>
      <c r="R13" s="38"/>
      <c r="S13" s="26"/>
      <c r="T13" s="26"/>
      <c r="U13" s="22"/>
    </row>
    <row r="14" spans="1:22" ht="36" customHeight="1" thickBot="1" x14ac:dyDescent="0.25">
      <c r="A14" s="43"/>
      <c r="B14" s="44">
        <f>Control_4 Open_time</f>
        <v>44401.46875</v>
      </c>
      <c r="C14" s="44">
        <f>Control_4 Close_time</f>
        <v>44401.746527777781</v>
      </c>
      <c r="D14" s="45"/>
      <c r="E14" s="46" t="str">
        <f>IF(ISBLANK(Control_4 Establishment_3),"",Control_4 Establishment_3)</f>
        <v>Park sign at parking area</v>
      </c>
      <c r="F14" s="107" t="str">
        <f>IF(ISBLANK('Control Entry'!K13),"",'Control Entry'!K13)</f>
        <v>_______________________</v>
      </c>
      <c r="G14" s="11"/>
      <c r="H14" s="35" t="s">
        <v>29</v>
      </c>
    </row>
    <row r="15" spans="1:22" ht="36" customHeight="1" x14ac:dyDescent="0.2">
      <c r="A15" s="39"/>
      <c r="B15" s="40">
        <f>Control_5 Open_time</f>
        <v>44401.519444444442</v>
      </c>
      <c r="C15" s="40">
        <f>Control_5 Close_time</f>
        <v>44401.85833333333</v>
      </c>
      <c r="D15" s="47"/>
      <c r="E15" s="42" t="str">
        <f>IF(ISBLANK(Control_5 Establishment_1),"",Control_5 Establishment_1)</f>
        <v>Meadowood General Store</v>
      </c>
      <c r="F15" s="42" t="str">
        <f>IF(ISBLANK('Control Entry'!I14),"",'Control Entry'!I14)</f>
        <v>What is the large statue?</v>
      </c>
      <c r="G15" s="10"/>
      <c r="H15" s="35" t="s">
        <v>29</v>
      </c>
      <c r="J15" s="17"/>
      <c r="L15" s="133" t="s">
        <v>59</v>
      </c>
      <c r="M15" s="133"/>
      <c r="N15" s="133"/>
      <c r="O15" s="133"/>
      <c r="P15" s="133"/>
      <c r="Q15" s="133"/>
      <c r="R15" s="133"/>
      <c r="S15" s="133"/>
      <c r="T15" s="133"/>
      <c r="U15" s="133"/>
    </row>
    <row r="16" spans="1:22" ht="36" customHeight="1" thickBot="1" x14ac:dyDescent="0.25">
      <c r="A16" s="48">
        <f>IF(ISBLANK(Distance Control_5),"",Control_5 Distance)</f>
        <v>218.9</v>
      </c>
      <c r="B16" s="49">
        <f>Control_5 Open_time</f>
        <v>44401.519444444442</v>
      </c>
      <c r="C16" s="49">
        <f>Control_5 Close_time</f>
        <v>44401.85833333333</v>
      </c>
      <c r="D16" s="50" t="str">
        <f>IF(ISBLANK(Locale Control_5),"",Locale Control_5)</f>
        <v>QUALICUM</v>
      </c>
      <c r="E16" s="42" t="str">
        <f>IF(ISBLANK(Control_5 Establishment_2),"",Control_5 Establishment_2)</f>
        <v>1221 Meadowood Rd</v>
      </c>
      <c r="F16" s="42" t="str">
        <f>IF(ISBLANK('Control Entry'!J14),"",'Control Entry'!J14)</f>
        <v/>
      </c>
      <c r="G16" s="10"/>
      <c r="H16" s="35" t="s">
        <v>29</v>
      </c>
      <c r="L16" s="74"/>
      <c r="M16" s="74"/>
      <c r="N16" s="74"/>
      <c r="O16" s="74"/>
      <c r="P16" s="74"/>
      <c r="Q16" s="75"/>
      <c r="R16" s="75"/>
      <c r="S16" s="75"/>
      <c r="T16" s="75"/>
      <c r="U16" s="75"/>
    </row>
    <row r="17" spans="1:22" ht="36" customHeight="1" thickBot="1" x14ac:dyDescent="0.25">
      <c r="A17" s="43"/>
      <c r="B17" s="44">
        <f>Control_5 Open_time</f>
        <v>44401.519444444442</v>
      </c>
      <c r="C17" s="44">
        <f>Control_5 Close_time</f>
        <v>44401.85833333333</v>
      </c>
      <c r="D17" s="45"/>
      <c r="E17" s="46" t="str">
        <f>IF(ISBLANK(Control_5 Establishment_3),"",Control_5 Establishment_3)</f>
        <v>Left (east) side of building</v>
      </c>
      <c r="F17" s="46" t="str">
        <f>IF(ISBLANK('Control Entry'!K14),"",'Control Entry'!K14)</f>
        <v>_______________________</v>
      </c>
      <c r="G17" s="11"/>
      <c r="H17" s="35" t="s">
        <v>29</v>
      </c>
    </row>
    <row r="18" spans="1:22" ht="36" customHeight="1" x14ac:dyDescent="0.2">
      <c r="A18" s="39"/>
      <c r="B18" s="40">
        <f>Control_6 Open_time</f>
        <v>44401.609027777777</v>
      </c>
      <c r="C18" s="40">
        <f>Control_6 Close_time</f>
        <v>44402.048611111109</v>
      </c>
      <c r="D18" s="47"/>
      <c r="E18" s="42" t="str">
        <f>IF(ISBLANK(Control_6 Establishment_1),"",Control_6 Establishment_1)</f>
        <v>Point Holmes Boat Launch</v>
      </c>
      <c r="F18" s="42" t="str">
        <f>IF(ISBLANK('Control Entry'!I15),"",'Control Entry'!I15)</f>
        <v>Standing on boat ramp</v>
      </c>
      <c r="G18" s="10"/>
      <c r="H18" s="35" t="s">
        <v>29</v>
      </c>
    </row>
    <row r="19" spans="1:22" ht="36" customHeight="1" x14ac:dyDescent="0.2">
      <c r="A19" s="48">
        <f>IF(ISBLANK(Distance Control_6),"",Control_6 Distance)</f>
        <v>287.39999999999998</v>
      </c>
      <c r="B19" s="49">
        <f>Control_6 Open_time</f>
        <v>44401.609027777777</v>
      </c>
      <c r="C19" s="49">
        <f>Control_6 Close_time</f>
        <v>44402.048611111109</v>
      </c>
      <c r="D19" s="50" t="str">
        <f>IF(ISBLANK(Locale Control_6),"",Locale Control_6)</f>
        <v>COMOX</v>
      </c>
      <c r="E19" s="42" t="str">
        <f>IF(ISBLANK(Control_6 Establishment_2),"",Control_6 Establishment_2)</f>
        <v>Lazo Rd</v>
      </c>
      <c r="F19" s="42" t="str">
        <f>IF(ISBLANK('Control Entry'!J15),"",'Control Entry'!J15)</f>
        <v>What is the upper right service club?</v>
      </c>
      <c r="G19" s="10"/>
      <c r="H19" s="35" t="s">
        <v>29</v>
      </c>
    </row>
    <row r="20" spans="1:22" ht="36" customHeight="1" thickBot="1" x14ac:dyDescent="0.25">
      <c r="A20" s="43"/>
      <c r="B20" s="44">
        <f>Control_6 Open_time</f>
        <v>44401.609027777777</v>
      </c>
      <c r="C20" s="44">
        <f>Control_6 Close_time</f>
        <v>44402.048611111109</v>
      </c>
      <c r="D20" s="45"/>
      <c r="E20" s="46" t="str">
        <f>IF(ISBLANK(Control_6 Establishment_3),"",Control_6 Establishment_3)</f>
        <v>Boat launch sign</v>
      </c>
      <c r="F20" s="46" t="str">
        <f>IF(ISBLANK('Control Entry'!K15),"",'Control Entry'!K15)</f>
        <v>_______________________</v>
      </c>
      <c r="G20" s="11"/>
      <c r="H20" s="35" t="s">
        <v>29</v>
      </c>
      <c r="J20" s="73" t="s">
        <v>45</v>
      </c>
      <c r="K20" s="73"/>
      <c r="L20" s="76"/>
      <c r="M20" s="76"/>
      <c r="N20" s="76"/>
      <c r="P20" s="24" t="s">
        <v>0</v>
      </c>
      <c r="Q20" s="24"/>
      <c r="S20" s="132">
        <f>'Control Entry'!B8</f>
        <v>0.25</v>
      </c>
      <c r="T20" s="132"/>
      <c r="U20" s="132"/>
    </row>
    <row r="21" spans="1:22" ht="36" customHeight="1" x14ac:dyDescent="0.2">
      <c r="A21" s="39"/>
      <c r="B21" s="40">
        <f>Control_7 Open_time</f>
        <v>44401.683333333334</v>
      </c>
      <c r="C21" s="40">
        <f>Control_7 Close_time</f>
        <v>44402.206250000003</v>
      </c>
      <c r="D21" s="47"/>
      <c r="E21" s="42" t="str">
        <f>IF(ISBLANK(Control_7 Establishment_1),"",Control_7 Establishment_1)</f>
        <v>Husky Gas</v>
      </c>
      <c r="F21" s="42" t="str">
        <f>IF(ISBLANK('Control Entry'!I16),"",'Control Entry'!I16)</f>
        <v>To right of door</v>
      </c>
      <c r="G21" s="10"/>
      <c r="H21" s="35" t="s">
        <v>29</v>
      </c>
      <c r="J21" s="73"/>
      <c r="K21" s="73"/>
      <c r="L21" s="71"/>
      <c r="M21" s="71"/>
      <c r="N21" s="71"/>
      <c r="P21" s="24"/>
      <c r="Q21" s="24"/>
      <c r="R21" s="29"/>
      <c r="S21" s="77"/>
      <c r="T21" s="77"/>
      <c r="U21" s="77"/>
      <c r="V21" s="36"/>
    </row>
    <row r="22" spans="1:22" ht="36" customHeight="1" thickBot="1" x14ac:dyDescent="0.25">
      <c r="A22" s="48">
        <f>IF(ISBLANK(Distance Control_7),"",Control_7 Distance)</f>
        <v>344.3</v>
      </c>
      <c r="B22" s="49">
        <f>Control_7 Open_time</f>
        <v>44401.683333333334</v>
      </c>
      <c r="C22" s="49">
        <f>Control_7 Close_time</f>
        <v>44402.206250000003</v>
      </c>
      <c r="D22" s="50" t="str">
        <f>IF(ISBLANK(Locale Control_7),"",Locale Control_7)</f>
        <v>CAMPBELL RIVER</v>
      </c>
      <c r="E22" s="42" t="str">
        <f>IF(ISBLANK(Control_7 Establishment_2),"",Control_7 Establishment_2)</f>
        <v>1830 Island Hwy N</v>
      </c>
      <c r="F22" s="42" t="str">
        <f>IF(ISBLANK('Control Entry'!J16),"",'Control Entry'!J16)</f>
        <v>What is price of firewood?</v>
      </c>
      <c r="G22" s="10"/>
      <c r="H22" s="35" t="s">
        <v>29</v>
      </c>
      <c r="J22" s="72" t="s">
        <v>46</v>
      </c>
      <c r="K22" s="72"/>
      <c r="L22" s="76"/>
      <c r="M22" s="76"/>
      <c r="N22" s="76"/>
      <c r="O22" s="25"/>
      <c r="P22" s="24" t="s">
        <v>1</v>
      </c>
      <c r="Q22" s="24"/>
      <c r="R22" s="25"/>
      <c r="S22" s="78"/>
      <c r="T22" s="78"/>
      <c r="U22" s="78"/>
    </row>
    <row r="23" spans="1:22" ht="36" customHeight="1" thickBot="1" x14ac:dyDescent="0.25">
      <c r="A23" s="43"/>
      <c r="B23" s="44">
        <f>Control_7 Open_time</f>
        <v>44401.683333333334</v>
      </c>
      <c r="C23" s="44">
        <f>Control_7 Close_time</f>
        <v>44402.206250000003</v>
      </c>
      <c r="D23" s="45"/>
      <c r="E23" s="46" t="str">
        <f>IF(ISBLANK(Control_7 Establishment_3),"",Control_7 Establishment_3)</f>
        <v>@ Redwood</v>
      </c>
      <c r="F23" s="46" t="str">
        <f>IF(ISBLANK('Control Entry'!K16),"",'Control Entry'!K16)</f>
        <v>_______________________</v>
      </c>
      <c r="G23" s="11"/>
      <c r="H23" s="35" t="s">
        <v>29</v>
      </c>
      <c r="J23" s="72"/>
      <c r="K23" s="72"/>
      <c r="L23" s="71"/>
      <c r="M23" s="71"/>
      <c r="N23" s="71"/>
      <c r="O23" s="29"/>
      <c r="P23" s="70"/>
      <c r="Q23" s="70"/>
      <c r="R23" s="29"/>
      <c r="S23" s="29"/>
      <c r="T23" s="29"/>
      <c r="U23" s="29"/>
      <c r="V23" s="36"/>
    </row>
    <row r="24" spans="1:22" ht="36" customHeight="1" thickBot="1" x14ac:dyDescent="0.25">
      <c r="A24" s="39"/>
      <c r="B24" s="40">
        <f>Control_8 Open_time</f>
        <v>44401.757638888892</v>
      </c>
      <c r="C24" s="40">
        <f>Control_8 Close_time</f>
        <v>44402.365972222222</v>
      </c>
      <c r="D24" s="47"/>
      <c r="E24" s="42" t="str">
        <f>IF(ISBLANK(Control_8 Establishment_1),"",Control_8 Establishment_1)</f>
        <v>Directional signs</v>
      </c>
      <c r="F24" s="42" t="str">
        <f>IF(ISBLANK('Control Entry'!I17),"",'Control Entry'!I17)</f>
        <v>How far to dog park?</v>
      </c>
      <c r="G24" s="10"/>
      <c r="H24" s="35" t="s">
        <v>29</v>
      </c>
      <c r="J24" s="18"/>
      <c r="K24" s="18"/>
      <c r="L24" s="18"/>
      <c r="M24" s="26"/>
      <c r="N24" s="26"/>
      <c r="O24" s="25"/>
      <c r="P24" s="24" t="s">
        <v>2</v>
      </c>
      <c r="Q24" s="24"/>
      <c r="R24" s="25"/>
      <c r="S24" s="26"/>
      <c r="T24" s="26"/>
      <c r="U24" s="26"/>
    </row>
    <row r="25" spans="1:22" ht="36" customHeight="1" x14ac:dyDescent="0.2">
      <c r="A25" s="48">
        <f>IF(ISBLANK(Distance Control_8),"",Control_8 Distance)</f>
        <v>401.7</v>
      </c>
      <c r="B25" s="49">
        <f>Control_8 Open_time</f>
        <v>44401.757638888892</v>
      </c>
      <c r="C25" s="49">
        <f>Control_8 Close_time</f>
        <v>44402.365972222222</v>
      </c>
      <c r="D25" s="50" t="str">
        <f>IF(ISBLANK(Locale Control_8),"",Locale Control_8)</f>
        <v>CUMBERLAND</v>
      </c>
      <c r="E25" s="67" t="str">
        <f>IF(ISBLANK(Control_8 Establishment_2),"",Control_8 Establishment_2)</f>
        <v>First St @ Dunsmuir Ave</v>
      </c>
      <c r="F25" s="42" t="str">
        <f>IF(ISBLANK('Control Entry'!J17),"",'Control Entry'!J17)</f>
        <v/>
      </c>
      <c r="G25" s="10"/>
      <c r="H25" s="35" t="s">
        <v>29</v>
      </c>
      <c r="J25" s="130" t="s">
        <v>17</v>
      </c>
      <c r="K25" s="130"/>
      <c r="L25" s="130"/>
      <c r="M25" s="130"/>
      <c r="N25" s="130"/>
      <c r="O25" s="63"/>
      <c r="P25" s="127"/>
      <c r="Q25" s="127"/>
      <c r="R25" s="63"/>
      <c r="S25" s="128"/>
      <c r="T25" s="128"/>
      <c r="U25" s="128"/>
      <c r="V25" s="128"/>
    </row>
    <row r="26" spans="1:22" ht="36" customHeight="1" thickBot="1" x14ac:dyDescent="0.25">
      <c r="A26" s="43"/>
      <c r="B26" s="44">
        <f>Control_8 Open_time</f>
        <v>44401.757638888892</v>
      </c>
      <c r="C26" s="44">
        <f>Control_8 Close_time</f>
        <v>44402.365972222222</v>
      </c>
      <c r="D26" s="45"/>
      <c r="E26" s="46" t="str">
        <f>IF(ISBLANK(Control_8 Establishment_3),"",Control_8 Establishment_3)</f>
        <v>By ambulance station</v>
      </c>
      <c r="F26" s="46" t="str">
        <f>IF(ISBLANK('Control Entry'!K17),"",'Control Entry'!K17)</f>
        <v>_______________________</v>
      </c>
      <c r="G26" s="11"/>
      <c r="H26" s="35" t="s">
        <v>29</v>
      </c>
    </row>
    <row r="27" spans="1:22" ht="36" customHeight="1" x14ac:dyDescent="0.2">
      <c r="A27" s="39"/>
      <c r="B27" s="40">
        <f>Control_9 Open_time</f>
        <v>44401.87222222222</v>
      </c>
      <c r="C27" s="40">
        <f>Control_9 Close_time</f>
        <v>44402.594444444447</v>
      </c>
      <c r="D27" s="47"/>
      <c r="E27" s="42" t="str">
        <f>IF(ISBLANK(Control_9 Establishment_1),"",Control_9 Establishment_1)</f>
        <v>Rocking Horse Pub sign</v>
      </c>
      <c r="F27" s="42" t="str">
        <f>IF(ISBLANK('Control Entry'!I18),"",'Control Entry'!I18)</f>
        <v>Bottom right electrical box</v>
      </c>
      <c r="G27" s="10"/>
      <c r="H27" s="35" t="s">
        <v>29</v>
      </c>
      <c r="K27" s="126" t="s">
        <v>57</v>
      </c>
      <c r="L27" s="127"/>
      <c r="M27" s="62" t="s">
        <v>58</v>
      </c>
      <c r="N27" s="127" t="s">
        <v>50</v>
      </c>
      <c r="O27" s="127"/>
      <c r="P27" s="127" t="s">
        <v>51</v>
      </c>
      <c r="Q27" s="127"/>
      <c r="R27" s="63" t="s">
        <v>52</v>
      </c>
      <c r="S27" s="128" t="s">
        <v>53</v>
      </c>
      <c r="T27" s="128"/>
      <c r="U27" s="128" t="s">
        <v>54</v>
      </c>
      <c r="V27" s="128"/>
    </row>
    <row r="28" spans="1:22" ht="36" customHeight="1" x14ac:dyDescent="0.2">
      <c r="A28" s="48">
        <f>IF(ISBLANK(Distance Control_9),"",Control_9 Distance)</f>
        <v>483.9</v>
      </c>
      <c r="B28" s="49">
        <f>Control_9 Open_time</f>
        <v>44401.87222222222</v>
      </c>
      <c r="C28" s="49">
        <f>Control_9 Close_time</f>
        <v>44402.594444444447</v>
      </c>
      <c r="D28" s="50" t="str">
        <f>IF(ISBLANK(Locale Control_9),"",Locale Control_9)</f>
        <v>NANOOSE</v>
      </c>
      <c r="E28" s="42" t="str">
        <f>IF(ISBLANK(Control_9 Establishment_2),"",Control_9 Establishment_2)</f>
        <v>NW Bay Rd @ Sanders Rd</v>
      </c>
      <c r="F28" s="42" t="str">
        <f>IF(ISBLANK('Control Entry'!J18),"",'Control Entry'!J18)</f>
        <v>What is logo beside "ROYAL'?</v>
      </c>
      <c r="G28" s="10"/>
      <c r="H28" s="35" t="s">
        <v>29</v>
      </c>
    </row>
    <row r="29" spans="1:22" ht="36" customHeight="1" thickBot="1" x14ac:dyDescent="0.25">
      <c r="A29" s="43"/>
      <c r="B29" s="44">
        <f>Control_9 Open_time</f>
        <v>44401.87222222222</v>
      </c>
      <c r="C29" s="44">
        <f>Control_9 Close_time</f>
        <v>44402.594444444447</v>
      </c>
      <c r="D29" s="45"/>
      <c r="E29" s="46" t="str">
        <f>IF(ISBLANK(Control_9 Establishment_3),"",Control_9 Establishment_3)</f>
        <v>Post side towards forest</v>
      </c>
      <c r="F29" s="46" t="str">
        <f>IF(ISBLANK('Control Entry'!K18),"",'Control Entry'!K18)</f>
        <v>_______________________</v>
      </c>
      <c r="G29" s="11"/>
      <c r="H29" s="35" t="s">
        <v>29</v>
      </c>
      <c r="M29" s="136" t="s">
        <v>42</v>
      </c>
      <c r="N29" s="136"/>
      <c r="O29" s="136"/>
      <c r="P29" s="136"/>
      <c r="Q29" s="136"/>
      <c r="R29" s="136"/>
      <c r="S29" s="136"/>
      <c r="T29" s="136"/>
      <c r="U29" s="68"/>
    </row>
    <row r="30" spans="1:22" ht="36" customHeight="1" x14ac:dyDescent="0.2">
      <c r="A30" s="39"/>
      <c r="B30" s="40">
        <f>Control_10 Open_time</f>
        <v>44402.036111111112</v>
      </c>
      <c r="C30" s="40">
        <f>Control_10 Close_time</f>
        <v>44402.916666666664</v>
      </c>
      <c r="D30" s="47"/>
      <c r="E30" s="42" t="str">
        <f>IF(ISBLANK(Control_10 Establishment_1),"",Control_10 Establishment_1)</f>
        <v>Ferry Terminal</v>
      </c>
      <c r="F30" s="42" t="str">
        <f>IF(ISBLANK('Control Entry'!I19),"",'Control Entry'!I19)</f>
        <v>Self Sign</v>
      </c>
      <c r="G30" s="10"/>
      <c r="H30" s="35" t="s">
        <v>29</v>
      </c>
      <c r="M30" s="19"/>
      <c r="N30" s="27"/>
      <c r="O30" s="27"/>
      <c r="P30" s="28"/>
      <c r="Q30" s="27"/>
      <c r="R30" s="27"/>
      <c r="S30" s="27"/>
      <c r="T30" s="28"/>
      <c r="U30" s="29"/>
    </row>
    <row r="31" spans="1:22" ht="36" customHeight="1" x14ac:dyDescent="0.2">
      <c r="A31" s="48">
        <f>IF(ISBLANK(Distance Control_10),"",Control_10 Distance)</f>
        <v>601.9</v>
      </c>
      <c r="B31" s="49">
        <f>Control_10 Open_time</f>
        <v>44402.036111111112</v>
      </c>
      <c r="C31" s="49">
        <f>Control_10 Close_time</f>
        <v>44402.916666666664</v>
      </c>
      <c r="D31" s="50" t="str">
        <f>IF(ISBLANK(Locale Control_10),"",Locale Control_10)</f>
        <v>MILL BAY</v>
      </c>
      <c r="E31" s="42" t="str">
        <f>IF(ISBLANK(Control_10 Establishment_2),"",Control_10 Establishment_2)</f>
        <v>Ferry Rd</v>
      </c>
      <c r="F31" s="42" t="str">
        <f>IF(ISBLANK('Control Entry'!J19),"",'Control Entry'!J19)</f>
        <v/>
      </c>
      <c r="G31" s="10"/>
      <c r="H31" s="35" t="s">
        <v>29</v>
      </c>
      <c r="M31" s="20"/>
      <c r="N31" s="29"/>
      <c r="O31" s="29"/>
      <c r="P31" s="30"/>
      <c r="Q31" s="29"/>
      <c r="R31" s="29"/>
      <c r="S31" s="29"/>
      <c r="T31" s="30"/>
      <c r="U31" s="29"/>
    </row>
    <row r="32" spans="1:22" ht="36" customHeight="1" thickBot="1" x14ac:dyDescent="0.25">
      <c r="A32" s="43"/>
      <c r="B32" s="44">
        <f>Control_10 Open_time</f>
        <v>44402.036111111112</v>
      </c>
      <c r="C32" s="44">
        <f>Control_10 Close_time</f>
        <v>44402.916666666664</v>
      </c>
      <c r="D32" s="45"/>
      <c r="E32" s="46" t="str">
        <f>IF(ISBLANK(Control_10 Establishment_3),"",Control_10 Establishment_3)</f>
        <v/>
      </c>
      <c r="F32" s="46" t="str">
        <f>IF(ISBLANK('Control Entry'!K19),"",'Control Entry'!K19)</f>
        <v/>
      </c>
      <c r="G32" s="11"/>
      <c r="H32" s="35" t="s">
        <v>29</v>
      </c>
      <c r="M32" s="66"/>
      <c r="N32" s="26"/>
      <c r="O32" s="26"/>
      <c r="P32" s="31"/>
      <c r="Q32" s="26"/>
      <c r="R32" s="26"/>
      <c r="S32" s="26"/>
      <c r="T32" s="31"/>
      <c r="U32" s="29"/>
    </row>
    <row r="33" spans="1:22" ht="36" customHeight="1" x14ac:dyDescent="0.2">
      <c r="A33" s="125" t="s">
        <v>43</v>
      </c>
      <c r="B33" s="125"/>
      <c r="C33" s="125"/>
      <c r="D33" s="125"/>
      <c r="E33" s="125"/>
      <c r="F33" s="125"/>
      <c r="G33" s="125"/>
      <c r="H33" s="51"/>
      <c r="I33" s="51"/>
      <c r="N33" s="137"/>
      <c r="O33" s="137"/>
      <c r="P33" s="137"/>
      <c r="Q33" s="137"/>
      <c r="R33" s="137"/>
      <c r="S33" s="137"/>
      <c r="T33" s="137"/>
      <c r="U33" s="137"/>
      <c r="V33" s="61"/>
    </row>
    <row r="34" spans="1:22" ht="36" customHeight="1" x14ac:dyDescent="0.2">
      <c r="A34"/>
      <c r="O34" s="59"/>
      <c r="P34" s="59"/>
      <c r="Q34" s="59"/>
      <c r="R34" s="58"/>
    </row>
    <row r="35" spans="1:22" ht="36" customHeight="1" x14ac:dyDescent="0.2">
      <c r="A35"/>
      <c r="N35" s="136"/>
      <c r="O35" s="136"/>
      <c r="P35" s="136"/>
      <c r="Q35" s="136"/>
      <c r="R35" s="136"/>
      <c r="S35" s="136"/>
      <c r="T35" s="136"/>
      <c r="U35" s="136"/>
    </row>
    <row r="36" spans="1:22" ht="36" customHeight="1" x14ac:dyDescent="0.15">
      <c r="A36"/>
      <c r="N36" s="36"/>
      <c r="O36" s="29"/>
      <c r="P36" s="29"/>
      <c r="Q36" s="29"/>
      <c r="R36" s="29"/>
      <c r="S36" s="29"/>
      <c r="T36" s="29"/>
      <c r="U36" s="29"/>
    </row>
    <row r="37" spans="1:22" ht="36" customHeight="1" x14ac:dyDescent="0.15">
      <c r="A37"/>
      <c r="N37" s="36"/>
      <c r="O37" s="29"/>
      <c r="P37" s="29"/>
      <c r="Q37" s="29"/>
      <c r="R37" s="29"/>
      <c r="S37" s="29"/>
      <c r="T37" s="29"/>
      <c r="U37" s="29"/>
    </row>
    <row r="38" spans="1:22" ht="36" customHeight="1" x14ac:dyDescent="0.2">
      <c r="A38"/>
      <c r="N38" s="69"/>
      <c r="O38" s="29"/>
      <c r="P38" s="29"/>
      <c r="Q38" s="29"/>
      <c r="R38" s="29"/>
      <c r="S38" s="29"/>
      <c r="T38" s="29"/>
      <c r="U38" s="29"/>
    </row>
    <row r="39" spans="1:22" ht="36" customHeight="1" x14ac:dyDescent="0.15">
      <c r="A39"/>
    </row>
    <row r="40" spans="1:22" ht="36" customHeight="1" x14ac:dyDescent="0.15">
      <c r="A40"/>
    </row>
  </sheetData>
  <mergeCells count="24">
    <mergeCell ref="T8:U8"/>
    <mergeCell ref="N35:U35"/>
    <mergeCell ref="M29:T29"/>
    <mergeCell ref="N27:O27"/>
    <mergeCell ref="P27:Q27"/>
    <mergeCell ref="S27:T27"/>
    <mergeCell ref="U27:V27"/>
    <mergeCell ref="N33:U33"/>
    <mergeCell ref="R5:U5"/>
    <mergeCell ref="K2:U2"/>
    <mergeCell ref="L8:Q8"/>
    <mergeCell ref="A1:G1"/>
    <mergeCell ref="A33:G33"/>
    <mergeCell ref="M4:T4"/>
    <mergeCell ref="P25:Q25"/>
    <mergeCell ref="S25:T25"/>
    <mergeCell ref="U25:V25"/>
    <mergeCell ref="N5:O5"/>
    <mergeCell ref="K27:L27"/>
    <mergeCell ref="J25:N25"/>
    <mergeCell ref="O3:R3"/>
    <mergeCell ref="S20:U20"/>
    <mergeCell ref="L15:U15"/>
    <mergeCell ref="L6:U6"/>
  </mergeCells>
  <phoneticPr fontId="16" type="noConversion"/>
  <pageMargins left="0.2" right="0.2" top="0.2" bottom="0.2" header="0.51" footer="0.51"/>
  <pageSetup scale="45" orientation="landscape" horizontalDpi="4294967292" verticalDpi="4294967292"/>
  <drawing r:id="rId1"/>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0"/>
  <sheetViews>
    <sheetView showGridLines="0" topLeftCell="A18" zoomScale="92" zoomScaleNormal="92" zoomScalePageLayoutView="92" workbookViewId="0">
      <selection activeCell="L8" sqref="L8:Q8"/>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style="36" customWidth="1"/>
    <col min="9" max="9" width="12" customWidth="1"/>
    <col min="18" max="19" width="8.83203125" customWidth="1"/>
  </cols>
  <sheetData>
    <row r="1" spans="1:22" ht="21" thickBot="1" x14ac:dyDescent="0.2">
      <c r="A1" s="124" t="s">
        <v>44</v>
      </c>
      <c r="B1" s="124"/>
      <c r="C1" s="124"/>
      <c r="D1" s="124"/>
      <c r="E1" s="124"/>
      <c r="F1" s="124"/>
      <c r="G1" s="124"/>
      <c r="H1" s="35" t="s">
        <v>29</v>
      </c>
    </row>
    <row r="2" spans="1:22" ht="33.75" customHeight="1" thickBot="1" x14ac:dyDescent="0.25">
      <c r="A2" s="100" t="s">
        <v>30</v>
      </c>
      <c r="B2" s="9" t="s">
        <v>3</v>
      </c>
      <c r="C2" s="9" t="s">
        <v>4</v>
      </c>
      <c r="D2" s="9" t="s">
        <v>25</v>
      </c>
      <c r="E2" s="9" t="s">
        <v>31</v>
      </c>
      <c r="F2" s="9" t="s">
        <v>60</v>
      </c>
      <c r="G2" s="100" t="s">
        <v>32</v>
      </c>
      <c r="H2" s="35" t="s">
        <v>29</v>
      </c>
      <c r="K2" s="122" t="s">
        <v>56</v>
      </c>
      <c r="L2" s="122"/>
      <c r="M2" s="122"/>
      <c r="N2" s="122"/>
      <c r="O2" s="122"/>
      <c r="P2" s="122"/>
      <c r="Q2" s="122"/>
      <c r="R2" s="122"/>
      <c r="S2" s="122"/>
      <c r="T2" s="122"/>
      <c r="U2" s="122"/>
    </row>
    <row r="3" spans="1:22" ht="36" customHeight="1" x14ac:dyDescent="0.45">
      <c r="A3" s="39"/>
      <c r="B3" s="40">
        <f>'Control Entry'!N23</f>
        <v>44401.25</v>
      </c>
      <c r="C3" s="40">
        <f>'Control Entry'!O23</f>
        <v>44401.25</v>
      </c>
      <c r="D3" s="41"/>
      <c r="E3" s="42" t="str">
        <f>IF(ISBLANK('Control Entry'!F23),"",'Control Entry'!F23)</f>
        <v>Rocking Horse Pub sign</v>
      </c>
      <c r="F3" s="42" t="str">
        <f>IF(ISBLANK('Control Entry'!I23),"",'Control Entry'!I23)</f>
        <v>Bottom right electrical box</v>
      </c>
      <c r="G3" s="10"/>
      <c r="H3" s="35" t="s">
        <v>29</v>
      </c>
      <c r="K3" s="16"/>
      <c r="N3" s="131" t="s">
        <v>80</v>
      </c>
      <c r="O3" s="131"/>
      <c r="P3" s="131"/>
      <c r="Q3" s="131"/>
      <c r="R3" s="131"/>
      <c r="S3" s="131"/>
      <c r="T3" s="52"/>
      <c r="U3" s="52"/>
    </row>
    <row r="4" spans="1:22" ht="36" customHeight="1" x14ac:dyDescent="0.2">
      <c r="A4" s="48">
        <f>IF(ISBLANK('Control Entry'!D23),"",'Control Entry'!D23)</f>
        <v>0</v>
      </c>
      <c r="B4" s="49">
        <f>'Control Entry'!N23</f>
        <v>44401.25</v>
      </c>
      <c r="C4" s="49">
        <f>'Control Entry'!O23</f>
        <v>44401.25</v>
      </c>
      <c r="D4" s="50" t="str">
        <f>IF(ISBLANK('Control Entry'!E23),"",'Control Entry'!E23)</f>
        <v>NANOOSE</v>
      </c>
      <c r="E4" s="42" t="str">
        <f>IF(ISBLANK('Control Entry'!G23),"",'Control Entry'!G23)</f>
        <v>NW Bay Rd @ Sanders Rd</v>
      </c>
      <c r="F4" s="42" t="str">
        <f>IF(ISBLANK('Control Entry'!J23),"",'Control Entry'!J23)</f>
        <v>What is logo beside "ROYAL'?</v>
      </c>
      <c r="G4" s="10"/>
      <c r="H4" s="35" t="s">
        <v>29</v>
      </c>
      <c r="K4" s="16"/>
      <c r="M4" s="126" t="str">
        <f>IF(ISBLANK(brevet),"",brevet&amp;" km Randonnée")</f>
        <v>600 km Randonnée</v>
      </c>
      <c r="N4" s="126"/>
      <c r="O4" s="126"/>
      <c r="P4" s="126"/>
      <c r="Q4" s="126"/>
      <c r="R4" s="126"/>
      <c r="S4" s="126"/>
      <c r="T4" s="126"/>
      <c r="U4" s="53"/>
    </row>
    <row r="5" spans="1:22" ht="36" customHeight="1" thickBot="1" x14ac:dyDescent="0.25">
      <c r="A5" s="43"/>
      <c r="B5" s="44">
        <f>'Control Entry'!N23</f>
        <v>44401.25</v>
      </c>
      <c r="C5" s="44">
        <f>'Control Entry'!O23</f>
        <v>44401.25</v>
      </c>
      <c r="D5" s="45"/>
      <c r="E5" s="46" t="str">
        <f>IF(ISBLANK('Control Entry'!H23),"",'Control Entry'!H23)</f>
        <v>Post side towards forest</v>
      </c>
      <c r="F5" s="46" t="str">
        <f>IF(ISBLANK('Control Entry'!K23),"",'Control Entry'!K23)</f>
        <v/>
      </c>
      <c r="G5" s="11"/>
      <c r="H5" s="35" t="s">
        <v>29</v>
      </c>
      <c r="K5" s="16"/>
      <c r="M5" s="17"/>
      <c r="N5" s="129" t="s">
        <v>48</v>
      </c>
      <c r="O5" s="129"/>
      <c r="P5" s="81">
        <f>IF(ISBLANK(Brevet_Number),"",Brevet_Number)</f>
        <v>5097</v>
      </c>
      <c r="Q5" s="82"/>
      <c r="R5" s="121">
        <f>IF(ISBLANK('Control Entry'!$B5),"",'Control Entry'!$B5)</f>
        <v>44401</v>
      </c>
      <c r="S5" s="121"/>
      <c r="T5" s="121"/>
      <c r="U5" s="121"/>
      <c r="V5" s="54"/>
    </row>
    <row r="6" spans="1:22" ht="36" customHeight="1" x14ac:dyDescent="0.2">
      <c r="A6" s="39"/>
      <c r="B6" s="40">
        <f>'Control Entry'!N24</f>
        <v>44401.394444444442</v>
      </c>
      <c r="C6" s="40">
        <f>'Control Entry'!O24</f>
        <v>44401.577777777777</v>
      </c>
      <c r="D6" s="47"/>
      <c r="E6" s="42" t="str">
        <f>IF(ISBLANK('Control Entry'!F24),"",'Control Entry'!F24)</f>
        <v>Ferry Terminal</v>
      </c>
      <c r="F6" s="42" t="str">
        <f>IF(ISBLANK('Control Entry'!I24),"",'Control Entry'!I24)</f>
        <v>To right of entry lane</v>
      </c>
      <c r="G6" s="10"/>
      <c r="H6" s="35" t="s">
        <v>29</v>
      </c>
      <c r="K6" s="16"/>
      <c r="L6" s="134" t="str">
        <f>IF(ISBLANK(Brevet_Description),"",Brevet_Description)</f>
        <v>A Ferry Sails Through</v>
      </c>
      <c r="M6" s="134"/>
      <c r="N6" s="134"/>
      <c r="O6" s="134"/>
      <c r="P6" s="134"/>
      <c r="Q6" s="134"/>
      <c r="R6" s="134"/>
      <c r="S6" s="134"/>
      <c r="T6" s="134"/>
      <c r="U6" s="134"/>
    </row>
    <row r="7" spans="1:22" ht="36" customHeight="1" x14ac:dyDescent="0.2">
      <c r="A7" s="48">
        <f>IF(ISBLANK('Control Entry'!D24),"",'Control Entry'!D24)</f>
        <v>118</v>
      </c>
      <c r="B7" s="49">
        <f>'Control Entry'!N24</f>
        <v>44401.394444444442</v>
      </c>
      <c r="C7" s="49">
        <f>'Control Entry'!O24</f>
        <v>44401.577777777777</v>
      </c>
      <c r="D7" s="50" t="str">
        <f>IF(ISBLANK('Control Entry'!E24),"",'Control Entry'!E24)</f>
        <v>BRENTWOOD BAY</v>
      </c>
      <c r="E7" s="42" t="str">
        <f>IF(ISBLANK('Control Entry'!G24),"",'Control Entry'!G24)</f>
        <v>Verdier Ave</v>
      </c>
      <c r="F7" s="42" t="str">
        <f>IF(ISBLANK('Control Entry'!J24),"",'Control Entry'!J24)</f>
        <v>What is number at bottom?</v>
      </c>
      <c r="G7" s="10"/>
      <c r="H7" s="35" t="s">
        <v>29</v>
      </c>
    </row>
    <row r="8" spans="1:22" ht="36" customHeight="1" thickBot="1" x14ac:dyDescent="0.25">
      <c r="A8" s="43"/>
      <c r="B8" s="44">
        <f>'Control Entry'!N24</f>
        <v>44401.394444444442</v>
      </c>
      <c r="C8" s="44">
        <f>'Control Entry'!O24</f>
        <v>44401.577777777777</v>
      </c>
      <c r="D8" s="45"/>
      <c r="E8" s="46" t="str">
        <f>IF(ISBLANK('Control Entry'!H24),"",'Control Entry'!H24)</f>
        <v xml:space="preserve"> Large yellow concrete triangle</v>
      </c>
      <c r="F8" s="46" t="str">
        <f>IF(ISBLANK('Control Entry'!K24),"",'Control Entry'!K24)</f>
        <v/>
      </c>
      <c r="G8" s="11"/>
      <c r="H8" s="35" t="s">
        <v>29</v>
      </c>
      <c r="J8" s="17" t="s">
        <v>34</v>
      </c>
      <c r="L8" s="123"/>
      <c r="M8" s="123"/>
      <c r="N8" s="123"/>
      <c r="O8" s="123"/>
      <c r="P8" s="123"/>
      <c r="Q8" s="123"/>
      <c r="R8" s="36"/>
      <c r="S8" s="55" t="s">
        <v>47</v>
      </c>
      <c r="T8" s="135"/>
      <c r="U8" s="135"/>
    </row>
    <row r="9" spans="1:22" ht="36" customHeight="1" thickBot="1" x14ac:dyDescent="0.3">
      <c r="A9" s="39"/>
      <c r="B9" s="40">
        <f>'Control Entry'!N25</f>
        <v>44401.473611111112</v>
      </c>
      <c r="C9" s="40">
        <f>'Control Entry'!O25</f>
        <v>44401.756944444445</v>
      </c>
      <c r="D9" s="47"/>
      <c r="E9" s="42" t="str">
        <f>IF(ISBLANK('Control Entry'!F25),"",'Control Entry'!F25)</f>
        <v>Koksilah Forest Service Rd</v>
      </c>
      <c r="F9" s="42" t="str">
        <f>IF(ISBLANK('Control Entry'!I25),"",'Control Entry'!I25)</f>
        <v>Yellow/black diamond sign</v>
      </c>
      <c r="G9" s="10"/>
      <c r="H9" s="35" t="s">
        <v>29</v>
      </c>
      <c r="J9" s="17" t="s">
        <v>35</v>
      </c>
      <c r="K9" s="17"/>
      <c r="L9" s="65" t="s">
        <v>55</v>
      </c>
      <c r="M9" s="23"/>
      <c r="N9" s="23"/>
      <c r="O9" s="23"/>
      <c r="P9" s="23"/>
      <c r="Q9" s="23"/>
      <c r="R9" s="23"/>
      <c r="S9" s="23"/>
      <c r="T9" s="23"/>
      <c r="U9" s="21"/>
    </row>
    <row r="10" spans="1:22" ht="36" customHeight="1" thickBot="1" x14ac:dyDescent="0.3">
      <c r="A10" s="48">
        <f>IF(ISBLANK('Control Entry'!D25),"",'Control Entry'!D25)</f>
        <v>182.5</v>
      </c>
      <c r="B10" s="49">
        <f>'Control Entry'!N25</f>
        <v>44401.473611111112</v>
      </c>
      <c r="C10" s="49">
        <f>'Control Entry'!O25</f>
        <v>44401.756944444445</v>
      </c>
      <c r="D10" s="50" t="str">
        <f>IF(ISBLANK('Control Entry'!E25),"",'Control Entry'!E25)</f>
        <v>COBBLE HILL</v>
      </c>
      <c r="E10" s="42" t="str">
        <f>IF(ISBLANK('Control Entry'!G25),"",'Control Entry'!G25)</f>
        <v xml:space="preserve"> @ Doran Rd</v>
      </c>
      <c r="F10" s="42" t="str">
        <f>IF(ISBLANK('Control Entry'!J25),"",'Control Entry'!J25)</f>
        <v>__________________Vehilce Access</v>
      </c>
      <c r="G10" s="10"/>
      <c r="H10" s="35" t="s">
        <v>29</v>
      </c>
      <c r="J10" s="17"/>
      <c r="K10" s="17"/>
      <c r="L10" s="37"/>
      <c r="M10" s="23"/>
      <c r="N10" s="23"/>
      <c r="O10" s="23"/>
      <c r="P10" s="23"/>
      <c r="Q10" s="23"/>
      <c r="R10" s="23"/>
      <c r="S10" s="23"/>
      <c r="T10" s="23"/>
      <c r="U10" s="21"/>
    </row>
    <row r="11" spans="1:22" ht="36" customHeight="1" thickBot="1" x14ac:dyDescent="0.3">
      <c r="A11" s="43"/>
      <c r="B11" s="44">
        <f>'Control Entry'!N25</f>
        <v>44401.473611111112</v>
      </c>
      <c r="C11" s="44">
        <f>'Control Entry'!O25</f>
        <v>44401.756944444445</v>
      </c>
      <c r="D11" s="45"/>
      <c r="E11" s="46" t="str">
        <f>IF(ISBLANK('Control Entry'!H25),"",'Control Entry'!H25)</f>
        <v>Yellow Gate</v>
      </c>
      <c r="F11" s="46" t="str">
        <f>IF(ISBLANK('Control Entry'!K25),"",'Control Entry'!K25)</f>
        <v/>
      </c>
      <c r="G11" s="11"/>
      <c r="H11" s="35" t="s">
        <v>29</v>
      </c>
      <c r="J11" s="17" t="s">
        <v>36</v>
      </c>
      <c r="K11" s="17"/>
      <c r="L11" s="37"/>
      <c r="M11" s="23"/>
      <c r="N11" s="23"/>
      <c r="O11" s="24"/>
      <c r="P11" s="24" t="s">
        <v>37</v>
      </c>
      <c r="Q11" s="24"/>
      <c r="R11" s="24"/>
      <c r="S11" s="57"/>
      <c r="T11" s="37"/>
      <c r="U11" s="21"/>
    </row>
    <row r="12" spans="1:22" ht="36" customHeight="1" thickBot="1" x14ac:dyDescent="0.3">
      <c r="A12" s="39"/>
      <c r="B12" s="40">
        <f>'Control Entry'!N26</f>
        <v>44401.553472222222</v>
      </c>
      <c r="C12" s="40">
        <f>'Control Entry'!O26</f>
        <v>44401.929861111108</v>
      </c>
      <c r="D12" s="47"/>
      <c r="E12" s="42" t="str">
        <f>IF(ISBLANK('Control Entry'!F26),"",'Control Entry'!F26)</f>
        <v>Hemer Park Entrance Gate</v>
      </c>
      <c r="F12" s="42" t="str">
        <f>IF(ISBLANK('Control Entry'!I26),"",'Control Entry'!I26)</f>
        <v>Yellow/black diamond sign</v>
      </c>
      <c r="G12" s="10"/>
      <c r="H12" s="35" t="s">
        <v>29</v>
      </c>
      <c r="J12" s="17" t="s">
        <v>38</v>
      </c>
      <c r="K12" s="17"/>
      <c r="L12" s="37"/>
      <c r="M12" s="23"/>
      <c r="N12" s="23"/>
      <c r="O12" s="24"/>
      <c r="P12" s="24" t="s">
        <v>39</v>
      </c>
      <c r="Q12" s="24"/>
      <c r="R12" s="24"/>
      <c r="S12" s="57"/>
      <c r="T12" s="37"/>
      <c r="U12" s="21"/>
    </row>
    <row r="13" spans="1:22" ht="36" customHeight="1" thickBot="1" x14ac:dyDescent="0.3">
      <c r="A13" s="48">
        <f>IF(ISBLANK('Control Entry'!D26),"",'Control Entry'!D26)</f>
        <v>244.7</v>
      </c>
      <c r="B13" s="49">
        <f>'Control Entry'!N26</f>
        <v>44401.553472222222</v>
      </c>
      <c r="C13" s="49">
        <f>'Control Entry'!O26</f>
        <v>44401.929861111108</v>
      </c>
      <c r="D13" s="50" t="str">
        <f>IF(ISBLANK('Control Entry'!E26),"",'Control Entry'!E26)</f>
        <v>CEDAR</v>
      </c>
      <c r="E13" s="42" t="str">
        <f>IF(ISBLANK('Control Entry'!G26),"",'Control Entry'!G26)</f>
        <v>Service Rd</v>
      </c>
      <c r="F13" s="42" t="str">
        <f>IF(ISBLANK('Control Entry'!J26),"",'Control Entry'!J26)</f>
        <v>What is word in middle?</v>
      </c>
      <c r="G13" s="10"/>
      <c r="H13" s="35" t="s">
        <v>29</v>
      </c>
      <c r="J13" s="17" t="s">
        <v>40</v>
      </c>
      <c r="L13" s="79"/>
      <c r="M13" s="80"/>
      <c r="N13" s="80"/>
      <c r="O13" s="25"/>
      <c r="P13" s="24" t="s">
        <v>41</v>
      </c>
      <c r="Q13" s="24"/>
      <c r="R13" s="38"/>
      <c r="S13" s="26"/>
      <c r="T13" s="26"/>
      <c r="U13" s="22"/>
    </row>
    <row r="14" spans="1:22" ht="36" customHeight="1" thickBot="1" x14ac:dyDescent="0.25">
      <c r="A14" s="43"/>
      <c r="B14" s="44">
        <f>'Control Entry'!N26</f>
        <v>44401.553472222222</v>
      </c>
      <c r="C14" s="44">
        <f>'Control Entry'!O26</f>
        <v>44401.929861111108</v>
      </c>
      <c r="D14" s="45"/>
      <c r="E14" s="46" t="str">
        <f>IF(ISBLANK('Control Entry'!H26),"",'Control Entry'!H26)</f>
        <v>Yellow Gate</v>
      </c>
      <c r="F14" s="46" t="str">
        <f>IF(ISBLANK('Control Entry'!K26),"",'Control Entry'!K26)</f>
        <v/>
      </c>
      <c r="G14" s="11"/>
      <c r="H14" s="35" t="s">
        <v>29</v>
      </c>
    </row>
    <row r="15" spans="1:22" ht="36" customHeight="1" x14ac:dyDescent="0.2">
      <c r="A15" s="39"/>
      <c r="B15" s="40">
        <f>'Control Entry'!N27</f>
        <v>44401.620833333334</v>
      </c>
      <c r="C15" s="40">
        <f>'Control Entry'!O27</f>
        <v>44402.074305555558</v>
      </c>
      <c r="D15" s="47"/>
      <c r="E15" s="42" t="str">
        <f>IF(ISBLANK('Control Entry'!F27),"",'Control Entry'!F27)</f>
        <v>Beachcomber Regional Park</v>
      </c>
      <c r="F15" s="42" t="str">
        <f>IF(ISBLANK('Control Entry'!I27),"",'Control Entry'!I27)</f>
        <v>Left post street number?</v>
      </c>
      <c r="G15" s="10"/>
      <c r="H15" s="35" t="s">
        <v>29</v>
      </c>
      <c r="J15" s="17"/>
      <c r="L15" s="133" t="s">
        <v>59</v>
      </c>
      <c r="M15" s="133"/>
      <c r="N15" s="133"/>
      <c r="O15" s="133"/>
      <c r="P15" s="133"/>
      <c r="Q15" s="133"/>
      <c r="R15" s="133"/>
      <c r="S15" s="133"/>
      <c r="T15" s="133"/>
      <c r="U15" s="133"/>
    </row>
    <row r="16" spans="1:22" ht="36" customHeight="1" thickBot="1" x14ac:dyDescent="0.25">
      <c r="A16" s="48">
        <f>IF(ISBLANK('Control Entry'!D27),"",'Control Entry'!D27)</f>
        <v>296.7</v>
      </c>
      <c r="B16" s="49">
        <f>'Control Entry'!N27</f>
        <v>44401.620833333334</v>
      </c>
      <c r="C16" s="49">
        <f>'Control Entry'!O27</f>
        <v>44402.074305555558</v>
      </c>
      <c r="D16" s="50" t="str">
        <f>IF(ISBLANK('Control Entry'!E27),"",'Control Entry'!E27)</f>
        <v>NANOOSE</v>
      </c>
      <c r="E16" s="42" t="str">
        <f>IF(ISBLANK('Control Entry'!G27),"",'Control Entry'!G27)</f>
        <v>Marina Way</v>
      </c>
      <c r="F16" s="42" t="str">
        <f>IF(ISBLANK('Control Entry'!J27),"",'Control Entry'!J27)</f>
        <v/>
      </c>
      <c r="G16" s="10"/>
      <c r="H16" s="35" t="s">
        <v>29</v>
      </c>
      <c r="L16" s="74"/>
      <c r="M16" s="74"/>
      <c r="N16" s="74"/>
      <c r="O16" s="74"/>
      <c r="P16" s="74"/>
      <c r="Q16" s="75"/>
      <c r="R16" s="75"/>
      <c r="S16" s="75"/>
      <c r="T16" s="75"/>
      <c r="U16" s="75"/>
    </row>
    <row r="17" spans="1:22" ht="36" customHeight="1" thickBot="1" x14ac:dyDescent="0.25">
      <c r="A17" s="43"/>
      <c r="B17" s="44">
        <f>'Control Entry'!N27</f>
        <v>44401.620833333334</v>
      </c>
      <c r="C17" s="44">
        <f>'Control Entry'!O27</f>
        <v>44402.074305555558</v>
      </c>
      <c r="D17" s="45"/>
      <c r="E17" s="46" t="str">
        <f>IF(ISBLANK('Control Entry'!H27),"",'Control Entry'!H27)</f>
        <v>Park sign at parking area</v>
      </c>
      <c r="F17" s="46" t="str">
        <f>IF(ISBLANK('Control Entry'!K27),"",'Control Entry'!K27)</f>
        <v/>
      </c>
      <c r="G17" s="11"/>
      <c r="H17" s="35" t="s">
        <v>29</v>
      </c>
    </row>
    <row r="18" spans="1:22" ht="36" customHeight="1" x14ac:dyDescent="0.2">
      <c r="A18" s="39"/>
      <c r="B18" s="40">
        <f>'Control Entry'!N28</f>
        <v>44401.673611111109</v>
      </c>
      <c r="C18" s="40">
        <f>'Control Entry'!O28</f>
        <v>44402.186111111114</v>
      </c>
      <c r="D18" s="47"/>
      <c r="E18" s="42" t="str">
        <f>IF(ISBLANK('Control Entry'!F28),"",'Control Entry'!F28)</f>
        <v>Meadowood General Store</v>
      </c>
      <c r="F18" s="42" t="str">
        <f>IF(ISBLANK('Control Entry'!I28),"",'Control Entry'!I28)</f>
        <v>What is the large statue?</v>
      </c>
      <c r="G18" s="10"/>
      <c r="H18" s="35" t="s">
        <v>29</v>
      </c>
    </row>
    <row r="19" spans="1:22" ht="36" customHeight="1" x14ac:dyDescent="0.2">
      <c r="A19" s="48">
        <f>IF(ISBLANK('Control Entry'!D28),"",'Control Entry'!D28)</f>
        <v>336.9</v>
      </c>
      <c r="B19" s="49">
        <f>'Control Entry'!N28</f>
        <v>44401.673611111109</v>
      </c>
      <c r="C19" s="49">
        <f>'Control Entry'!O28</f>
        <v>44402.186111111114</v>
      </c>
      <c r="D19" s="50" t="str">
        <f>IF(ISBLANK('Control Entry'!E28),"",'Control Entry'!E28)</f>
        <v>QUALICUM</v>
      </c>
      <c r="E19" s="42" t="str">
        <f>IF(ISBLANK('Control Entry'!G28),"",'Control Entry'!G28)</f>
        <v>1221 Meadowood Rd</v>
      </c>
      <c r="F19" s="42" t="str">
        <f>IF(ISBLANK('Control Entry'!J28),"",'Control Entry'!J28)</f>
        <v/>
      </c>
      <c r="G19" s="10"/>
      <c r="H19" s="35" t="s">
        <v>29</v>
      </c>
    </row>
    <row r="20" spans="1:22" ht="36" customHeight="1" thickBot="1" x14ac:dyDescent="0.25">
      <c r="A20" s="43"/>
      <c r="B20" s="44">
        <f>'Control Entry'!N28</f>
        <v>44401.673611111109</v>
      </c>
      <c r="C20" s="44">
        <f>'Control Entry'!O28</f>
        <v>44402.186111111114</v>
      </c>
      <c r="D20" s="45"/>
      <c r="E20" s="46" t="str">
        <f>IF(ISBLANK('Control Entry'!H28),"",'Control Entry'!H28)</f>
        <v>Left (east) side of building</v>
      </c>
      <c r="F20" s="46" t="str">
        <f>IF(ISBLANK('Control Entry'!K28),"",'Control Entry'!K28)</f>
        <v/>
      </c>
      <c r="G20" s="11"/>
      <c r="H20" s="35" t="s">
        <v>29</v>
      </c>
      <c r="J20" s="73" t="s">
        <v>45</v>
      </c>
      <c r="K20" s="73"/>
      <c r="L20" s="76"/>
      <c r="M20" s="76"/>
      <c r="N20" s="76"/>
      <c r="P20" s="24" t="s">
        <v>0</v>
      </c>
      <c r="Q20" s="24"/>
      <c r="S20" s="132">
        <f>'Control Entry'!B8</f>
        <v>0.25</v>
      </c>
      <c r="T20" s="132"/>
      <c r="U20" s="132"/>
    </row>
    <row r="21" spans="1:22" ht="36" customHeight="1" x14ac:dyDescent="0.2">
      <c r="A21" s="39"/>
      <c r="B21" s="40">
        <f>'Control Entry'!N29</f>
        <v>44401.763194444444</v>
      </c>
      <c r="C21" s="40">
        <f>'Control Entry'!O29</f>
        <v>44402.376388888886</v>
      </c>
      <c r="D21" s="47"/>
      <c r="E21" s="42" t="str">
        <f>IF(ISBLANK('Control Entry'!F29),"",'Control Entry'!F29)</f>
        <v>Point Holmes Boat Launch</v>
      </c>
      <c r="F21" s="42" t="str">
        <f>IF(ISBLANK('Control Entry'!I29),"",'Control Entry'!I29)</f>
        <v>Standing on boat ramp</v>
      </c>
      <c r="G21" s="10"/>
      <c r="H21" s="35" t="s">
        <v>29</v>
      </c>
      <c r="J21" s="73"/>
      <c r="K21" s="73"/>
      <c r="L21" s="71"/>
      <c r="M21" s="71"/>
      <c r="N21" s="71"/>
      <c r="P21" s="24"/>
      <c r="Q21" s="24"/>
      <c r="R21" s="29"/>
      <c r="S21" s="77"/>
      <c r="T21" s="77"/>
      <c r="U21" s="77"/>
      <c r="V21" s="36"/>
    </row>
    <row r="22" spans="1:22" ht="36" customHeight="1" thickBot="1" x14ac:dyDescent="0.25">
      <c r="A22" s="48">
        <f>IF(ISBLANK('Control Entry'!D29),"",'Control Entry'!D29)</f>
        <v>405.4</v>
      </c>
      <c r="B22" s="49">
        <f>'Control Entry'!N29</f>
        <v>44401.763194444444</v>
      </c>
      <c r="C22" s="49">
        <f>'Control Entry'!O29</f>
        <v>44402.376388888886</v>
      </c>
      <c r="D22" s="50" t="str">
        <f>IF(ISBLANK('Control Entry'!E29),"",'Control Entry'!E29)</f>
        <v>COMOX</v>
      </c>
      <c r="E22" s="42" t="str">
        <f>IF(ISBLANK('Control Entry'!G29),"",'Control Entry'!G29)</f>
        <v>Lazo Rd</v>
      </c>
      <c r="F22" s="42" t="str">
        <f>IF(ISBLANK('Control Entry'!J29),"",'Control Entry'!J29)</f>
        <v>What is the upper right service club?</v>
      </c>
      <c r="G22" s="10"/>
      <c r="H22" s="35" t="s">
        <v>29</v>
      </c>
      <c r="J22" s="114" t="s">
        <v>46</v>
      </c>
      <c r="K22" s="114"/>
      <c r="L22" s="76"/>
      <c r="M22" s="76"/>
      <c r="N22" s="76"/>
      <c r="O22" s="25"/>
      <c r="P22" s="24" t="s">
        <v>1</v>
      </c>
      <c r="Q22" s="24"/>
      <c r="R22" s="25"/>
      <c r="S22" s="78"/>
      <c r="T22" s="78"/>
      <c r="U22" s="78"/>
    </row>
    <row r="23" spans="1:22" ht="36" customHeight="1" thickBot="1" x14ac:dyDescent="0.25">
      <c r="A23" s="43"/>
      <c r="B23" s="44">
        <f>'Control Entry'!N29</f>
        <v>44401.763194444444</v>
      </c>
      <c r="C23" s="44">
        <f>'Control Entry'!O29</f>
        <v>44402.376388888886</v>
      </c>
      <c r="D23" s="45"/>
      <c r="E23" s="46" t="str">
        <f>IF(ISBLANK('Control Entry'!H29),"",'Control Entry'!H29)</f>
        <v>Boat launch sign</v>
      </c>
      <c r="F23" s="46" t="str">
        <f>IF(ISBLANK('Control Entry'!K29),"",'Control Entry'!K29)</f>
        <v/>
      </c>
      <c r="G23" s="11"/>
      <c r="H23" s="35" t="s">
        <v>29</v>
      </c>
      <c r="J23" s="114"/>
      <c r="K23" s="114"/>
      <c r="L23" s="71"/>
      <c r="M23" s="71"/>
      <c r="N23" s="71"/>
      <c r="O23" s="29"/>
      <c r="P23" s="70"/>
      <c r="Q23" s="70"/>
      <c r="R23" s="29"/>
      <c r="S23" s="29"/>
      <c r="T23" s="29"/>
      <c r="U23" s="29"/>
      <c r="V23" s="36"/>
    </row>
    <row r="24" spans="1:22" ht="36" customHeight="1" thickBot="1" x14ac:dyDescent="0.25">
      <c r="A24" s="39"/>
      <c r="B24" s="40">
        <f>'Control Entry'!N30</f>
        <v>44401.842361111114</v>
      </c>
      <c r="C24" s="40">
        <f>'Control Entry'!O30</f>
        <v>44402.53402777778</v>
      </c>
      <c r="D24" s="47"/>
      <c r="E24" s="42" t="str">
        <f>IF(ISBLANK('Control Entry'!F30),"",'Control Entry'!F30)</f>
        <v>River City Storage</v>
      </c>
      <c r="F24" s="42" t="str">
        <f>IF(ISBLANK('Control Entry'!I30),"",'Control Entry'!I30)</f>
        <v>To right of door</v>
      </c>
      <c r="G24" s="10"/>
      <c r="H24" s="35" t="s">
        <v>29</v>
      </c>
      <c r="J24" s="18"/>
      <c r="K24" s="18"/>
      <c r="L24" s="18"/>
      <c r="M24" s="26"/>
      <c r="N24" s="26"/>
      <c r="O24" s="25"/>
      <c r="P24" s="24" t="s">
        <v>2</v>
      </c>
      <c r="Q24" s="24"/>
      <c r="R24" s="25"/>
      <c r="S24" s="26"/>
      <c r="T24" s="26"/>
      <c r="U24" s="26"/>
    </row>
    <row r="25" spans="1:22" ht="36" customHeight="1" x14ac:dyDescent="0.2">
      <c r="A25" s="48">
        <f>IF(ISBLANK('Control Entry'!D30),"",'Control Entry'!D30)</f>
        <v>462.3</v>
      </c>
      <c r="B25" s="49">
        <f>'Control Entry'!N30</f>
        <v>44401.842361111114</v>
      </c>
      <c r="C25" s="49">
        <f>'Control Entry'!O30</f>
        <v>44402.53402777778</v>
      </c>
      <c r="D25" s="50" t="str">
        <f>IF(ISBLANK('Control Entry'!E30),"",'Control Entry'!E30)</f>
        <v>CAMPBELL RIVER</v>
      </c>
      <c r="E25" s="42" t="str">
        <f>IF(ISBLANK('Control Entry'!G30),"",'Control Entry'!G30)</f>
        <v>2175 Campbell River Rd</v>
      </c>
      <c r="F25" s="42" t="str">
        <f>IF(ISBLANK('Control Entry'!J30),"",'Control Entry'!J30)</f>
        <v>What is price of firewood?</v>
      </c>
      <c r="G25" s="10"/>
      <c r="H25" s="35" t="s">
        <v>29</v>
      </c>
      <c r="J25" s="130" t="s">
        <v>17</v>
      </c>
      <c r="K25" s="130"/>
      <c r="L25" s="130"/>
      <c r="M25" s="130"/>
      <c r="N25" s="130"/>
      <c r="O25" s="63"/>
      <c r="P25" s="127"/>
      <c r="Q25" s="127"/>
      <c r="R25" s="63"/>
      <c r="S25" s="128"/>
      <c r="T25" s="128"/>
      <c r="U25" s="128"/>
      <c r="V25" s="128"/>
    </row>
    <row r="26" spans="1:22" ht="36" customHeight="1" thickBot="1" x14ac:dyDescent="0.25">
      <c r="A26" s="43"/>
      <c r="B26" s="44">
        <f>'Control Entry'!N30</f>
        <v>44401.842361111114</v>
      </c>
      <c r="C26" s="44">
        <f>'Control Entry'!O30</f>
        <v>44402.53402777778</v>
      </c>
      <c r="D26" s="45"/>
      <c r="E26" s="46" t="str">
        <f>IF(ISBLANK('Control Entry'!H30),"",'Control Entry'!H30)</f>
        <v>@ Redwood</v>
      </c>
      <c r="F26" s="46" t="str">
        <f>IF(ISBLANK('Control Entry'!K30),"",'Control Entry'!K30)</f>
        <v/>
      </c>
      <c r="G26" s="11"/>
      <c r="H26" s="35" t="s">
        <v>29</v>
      </c>
    </row>
    <row r="27" spans="1:22" ht="36" customHeight="1" x14ac:dyDescent="0.2">
      <c r="A27" s="39"/>
      <c r="B27" s="40">
        <f>'Control Entry'!N31</f>
        <v>44401.921527777777</v>
      </c>
      <c r="C27" s="40">
        <f>'Control Entry'!O31</f>
        <v>44402.693749999999</v>
      </c>
      <c r="D27" s="47"/>
      <c r="E27" s="42" t="str">
        <f>IF(ISBLANK('Control Entry'!F31),"",'Control Entry'!F31)</f>
        <v>Just after stop sign</v>
      </c>
      <c r="F27" s="42" t="str">
        <f>IF(ISBLANK('Control Entry'!I31),"",'Control Entry'!I31)</f>
        <v>How far to dog park?</v>
      </c>
      <c r="G27" s="10"/>
      <c r="H27" s="35" t="s">
        <v>29</v>
      </c>
      <c r="K27" s="126" t="s">
        <v>57</v>
      </c>
      <c r="L27" s="127"/>
      <c r="M27" s="62" t="s">
        <v>58</v>
      </c>
      <c r="N27" s="127" t="s">
        <v>50</v>
      </c>
      <c r="O27" s="127"/>
      <c r="P27" s="127" t="s">
        <v>51</v>
      </c>
      <c r="Q27" s="127"/>
      <c r="R27" s="63" t="s">
        <v>52</v>
      </c>
      <c r="S27" s="128" t="s">
        <v>53</v>
      </c>
      <c r="T27" s="128"/>
      <c r="U27" s="128" t="s">
        <v>54</v>
      </c>
      <c r="V27" s="128"/>
    </row>
    <row r="28" spans="1:22" ht="36" customHeight="1" x14ac:dyDescent="0.2">
      <c r="A28" s="48">
        <f>IF(ISBLANK('Control Entry'!D31),"",'Control Entry'!D31)</f>
        <v>519.70000000000005</v>
      </c>
      <c r="B28" s="49">
        <f>'Control Entry'!N31</f>
        <v>44401.921527777777</v>
      </c>
      <c r="C28" s="49">
        <f>'Control Entry'!O31</f>
        <v>44402.693749999999</v>
      </c>
      <c r="D28" s="50" t="str">
        <f>IF(ISBLANK('Control Entry'!E31),"",'Control Entry'!E31)</f>
        <v>CUMBERLAND</v>
      </c>
      <c r="E28" s="42" t="str">
        <f>IF(ISBLANK('Control Entry'!G31),"",'Control Entry'!G31)</f>
        <v>First St @ Dunsmuir Ave</v>
      </c>
      <c r="F28" s="42" t="str">
        <f>IF(ISBLANK('Control Entry'!J31),"",'Control Entry'!J31)</f>
        <v/>
      </c>
      <c r="G28" s="10"/>
      <c r="H28" s="35" t="s">
        <v>29</v>
      </c>
    </row>
    <row r="29" spans="1:22" ht="36" customHeight="1" thickBot="1" x14ac:dyDescent="0.25">
      <c r="A29" s="43"/>
      <c r="B29" s="44">
        <f>'Control Entry'!N31</f>
        <v>44401.921527777777</v>
      </c>
      <c r="C29" s="44">
        <f>'Control Entry'!O31</f>
        <v>44402.693749999999</v>
      </c>
      <c r="D29" s="45"/>
      <c r="E29" s="46" t="str">
        <f>IF(ISBLANK('Control Entry'!H31),"",'Control Entry'!H31)</f>
        <v>By ambulance station</v>
      </c>
      <c r="F29" s="46" t="str">
        <f>IF(ISBLANK('Control Entry'!K31),"",'Control Entry'!K31)</f>
        <v/>
      </c>
      <c r="G29" s="11"/>
      <c r="H29" s="35" t="s">
        <v>29</v>
      </c>
      <c r="M29" s="136" t="s">
        <v>42</v>
      </c>
      <c r="N29" s="136"/>
      <c r="O29" s="136"/>
      <c r="P29" s="136"/>
      <c r="Q29" s="136"/>
      <c r="R29" s="136"/>
      <c r="S29" s="136"/>
      <c r="T29" s="136"/>
      <c r="U29" s="68"/>
    </row>
    <row r="30" spans="1:22" ht="36" customHeight="1" x14ac:dyDescent="0.2">
      <c r="A30" s="39"/>
      <c r="B30" s="40">
        <f>'Control Entry'!N32</f>
        <v>44402.036111111112</v>
      </c>
      <c r="C30" s="40">
        <f>'Control Entry'!O32</f>
        <v>44402.916666666664</v>
      </c>
      <c r="D30" s="47"/>
      <c r="E30" s="42" t="str">
        <f>IF(ISBLANK('Control Entry'!F32),"",'Control Entry'!F32)</f>
        <v>Rocking Horse Pub sign</v>
      </c>
      <c r="F30" s="42" t="str">
        <f>IF(ISBLANK('Control Entry'!I32),"",'Control Entry'!I32)</f>
        <v>Self Sign</v>
      </c>
      <c r="G30" s="10"/>
      <c r="H30" s="35" t="s">
        <v>29</v>
      </c>
      <c r="M30" s="19"/>
      <c r="N30" s="27"/>
      <c r="O30" s="27"/>
      <c r="P30" s="28"/>
      <c r="Q30" s="27"/>
      <c r="R30" s="27"/>
      <c r="S30" s="27"/>
      <c r="T30" s="28"/>
      <c r="U30" s="29"/>
    </row>
    <row r="31" spans="1:22" ht="36" customHeight="1" x14ac:dyDescent="0.2">
      <c r="A31" s="48">
        <f>IF(ISBLANK('Control Entry'!D32),"",'Control Entry'!D32)</f>
        <v>601.9</v>
      </c>
      <c r="B31" s="49">
        <f>'Control Entry'!N32</f>
        <v>44402.036111111112</v>
      </c>
      <c r="C31" s="49">
        <f>'Control Entry'!O32</f>
        <v>44402.916666666664</v>
      </c>
      <c r="D31" s="50" t="str">
        <f>IF(ISBLANK('Control Entry'!E32),"",'Control Entry'!E32)</f>
        <v>NANOOSE</v>
      </c>
      <c r="E31" s="42" t="str">
        <f>IF(ISBLANK('Control Entry'!G32),"",'Control Entry'!G32)</f>
        <v>NW Bay Rd @ Sanders Rd</v>
      </c>
      <c r="F31" s="42" t="str">
        <f>IF(ISBLANK('Control Entry'!J32),"",'Control Entry'!J32)</f>
        <v/>
      </c>
      <c r="G31" s="10"/>
      <c r="H31" s="35" t="s">
        <v>29</v>
      </c>
      <c r="M31" s="20"/>
      <c r="N31" s="29"/>
      <c r="O31" s="29"/>
      <c r="P31" s="30"/>
      <c r="Q31" s="29"/>
      <c r="R31" s="29"/>
      <c r="S31" s="29"/>
      <c r="T31" s="30"/>
      <c r="U31" s="29"/>
    </row>
    <row r="32" spans="1:22" ht="36" customHeight="1" thickBot="1" x14ac:dyDescent="0.25">
      <c r="A32" s="43"/>
      <c r="B32" s="44">
        <f>'Control Entry'!N32</f>
        <v>44402.036111111112</v>
      </c>
      <c r="C32" s="44">
        <f>'Control Entry'!O32</f>
        <v>44402.916666666664</v>
      </c>
      <c r="D32" s="45"/>
      <c r="E32" s="46" t="str">
        <f>IF(ISBLANK('Control Entry'!H32),"",'Control Entry'!H32)</f>
        <v/>
      </c>
      <c r="F32" s="46" t="str">
        <f>IF(ISBLANK('Control Entry'!K32),"",'Control Entry'!K32)</f>
        <v/>
      </c>
      <c r="G32" s="11"/>
      <c r="H32" s="35" t="s">
        <v>29</v>
      </c>
      <c r="M32" s="66"/>
      <c r="N32" s="26"/>
      <c r="O32" s="26"/>
      <c r="P32" s="31"/>
      <c r="Q32" s="26"/>
      <c r="R32" s="26"/>
      <c r="S32" s="26"/>
      <c r="T32" s="31"/>
      <c r="U32" s="29"/>
    </row>
    <row r="33" spans="1:22" ht="36" customHeight="1" x14ac:dyDescent="0.2">
      <c r="A33" s="125" t="s">
        <v>43</v>
      </c>
      <c r="B33" s="125"/>
      <c r="C33" s="125"/>
      <c r="D33" s="125"/>
      <c r="E33" s="125"/>
      <c r="F33" s="125"/>
      <c r="G33" s="125"/>
      <c r="H33" s="51"/>
      <c r="I33" s="51"/>
      <c r="N33" s="137"/>
      <c r="O33" s="137"/>
      <c r="P33" s="137"/>
      <c r="Q33" s="137"/>
      <c r="R33" s="137"/>
      <c r="S33" s="137"/>
      <c r="T33" s="137"/>
      <c r="U33" s="137"/>
      <c r="V33" s="71"/>
    </row>
    <row r="34" spans="1:22" ht="36" customHeight="1" x14ac:dyDescent="0.2">
      <c r="A34"/>
      <c r="O34" s="59"/>
      <c r="P34" s="59"/>
      <c r="Q34" s="59"/>
      <c r="R34" s="58"/>
    </row>
    <row r="35" spans="1:22" ht="36" customHeight="1" x14ac:dyDescent="0.2">
      <c r="A35"/>
      <c r="N35" s="136"/>
      <c r="O35" s="136"/>
      <c r="P35" s="136"/>
      <c r="Q35" s="136"/>
      <c r="R35" s="136"/>
      <c r="S35" s="136"/>
      <c r="T35" s="136"/>
      <c r="U35" s="136"/>
    </row>
    <row r="36" spans="1:22" ht="36" customHeight="1" x14ac:dyDescent="0.15">
      <c r="A36"/>
      <c r="N36" s="36"/>
      <c r="O36" s="29"/>
      <c r="P36" s="29"/>
      <c r="Q36" s="29"/>
      <c r="R36" s="29"/>
      <c r="S36" s="29"/>
      <c r="T36" s="29"/>
      <c r="U36" s="29"/>
    </row>
    <row r="37" spans="1:22" ht="36" customHeight="1" x14ac:dyDescent="0.15">
      <c r="A37"/>
      <c r="N37" s="36"/>
      <c r="O37" s="29"/>
      <c r="P37" s="29"/>
      <c r="Q37" s="29"/>
      <c r="R37" s="29"/>
      <c r="S37" s="29"/>
      <c r="T37" s="29"/>
      <c r="U37" s="29"/>
    </row>
    <row r="38" spans="1:22" ht="36" customHeight="1" x14ac:dyDescent="0.2">
      <c r="A38"/>
      <c r="N38" s="69"/>
      <c r="O38" s="29"/>
      <c r="P38" s="29"/>
      <c r="Q38" s="29"/>
      <c r="R38" s="29"/>
      <c r="S38" s="29"/>
      <c r="T38" s="29"/>
      <c r="U38" s="29"/>
    </row>
    <row r="39" spans="1:22" ht="36" customHeight="1" x14ac:dyDescent="0.15">
      <c r="A39"/>
    </row>
    <row r="40" spans="1:22" ht="36" customHeight="1" x14ac:dyDescent="0.15">
      <c r="A40"/>
    </row>
  </sheetData>
  <mergeCells count="24">
    <mergeCell ref="A33:G33"/>
    <mergeCell ref="N33:U33"/>
    <mergeCell ref="N35:U35"/>
    <mergeCell ref="L8:Q8"/>
    <mergeCell ref="M29:T29"/>
    <mergeCell ref="L15:U15"/>
    <mergeCell ref="S20:U20"/>
    <mergeCell ref="J25:N25"/>
    <mergeCell ref="P25:Q25"/>
    <mergeCell ref="S25:T25"/>
    <mergeCell ref="U25:V25"/>
    <mergeCell ref="K27:L27"/>
    <mergeCell ref="N27:O27"/>
    <mergeCell ref="P27:Q27"/>
    <mergeCell ref="S27:T27"/>
    <mergeCell ref="U27:V27"/>
    <mergeCell ref="L6:U6"/>
    <mergeCell ref="T8:U8"/>
    <mergeCell ref="A1:G1"/>
    <mergeCell ref="K2:U2"/>
    <mergeCell ref="N3:S3"/>
    <mergeCell ref="M4:T4"/>
    <mergeCell ref="N5:O5"/>
    <mergeCell ref="R5:U5"/>
  </mergeCells>
  <phoneticPr fontId="16" type="noConversion"/>
  <printOptions horizontalCentered="1" verticalCentered="1"/>
  <pageMargins left="0.2" right="0.2" top="0.2" bottom="0.2" header="0.51" footer="0.51"/>
  <pageSetup scale="44" orientation="landscape" horizontalDpi="4294967292" verticalDpi="4294967292"/>
  <drawing r:id="rId1"/>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28</vt:i4>
      </vt:variant>
    </vt:vector>
  </HeadingPairs>
  <TitlesOfParts>
    <vt:vector size="31" baseType="lpstr">
      <vt:lpstr>Control Entry</vt:lpstr>
      <vt:lpstr>Control Card Brentwood Bay</vt:lpstr>
      <vt:lpstr>Control Card Nanoose</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'Control Card Brentwood Bay'!Print_Titles</vt:lpstr>
      <vt:lpstr>'Control Card Nanoose'!Print_Titles</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Stephen Hinde</cp:lastModifiedBy>
  <cp:lastPrinted>2021-06-12T06:01:46Z</cp:lastPrinted>
  <dcterms:created xsi:type="dcterms:W3CDTF">1997-11-12T04:43:39Z</dcterms:created>
  <dcterms:modified xsi:type="dcterms:W3CDTF">2021-07-14T07:11:15Z</dcterms:modified>
</cp:coreProperties>
</file>