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19"/>
  <workbookPr showInkAnnotation="0" autoCompressPictures="0"/>
  <xr:revisionPtr revIDLastSave="0" documentId="8_{26DA1DB2-10DC-4C2A-B0E2-60D7300CA961}" xr6:coauthVersionLast="48" xr6:coauthVersionMax="48" xr10:uidLastSave="{00000000-0000-0000-0000-000000000000}"/>
  <bookViews>
    <workbookView xWindow="0" yWindow="460" windowWidth="20320" windowHeight="15580" tabRatio="509" firstSheet="1" activeTab="1"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23" i="1" l="1"/>
  <c r="E7" i="3"/>
  <c r="E8" i="3"/>
  <c r="E5" i="3"/>
  <c r="F5" i="2"/>
  <c r="T8" i="3"/>
  <c r="L8" i="3"/>
  <c r="S3"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C1" i="1"/>
  <c r="M4" i="3"/>
  <c r="E4" i="3"/>
  <c r="E3" i="3"/>
  <c r="D31" i="3"/>
  <c r="D28" i="3"/>
  <c r="D25" i="3"/>
  <c r="D22" i="3"/>
  <c r="D19" i="3"/>
  <c r="D16" i="3"/>
  <c r="D13" i="3"/>
  <c r="D10" i="3"/>
  <c r="D7" i="3"/>
  <c r="D4" i="3"/>
  <c r="A31" i="3"/>
  <c r="A28" i="3"/>
  <c r="A25" i="3"/>
  <c r="A22" i="3"/>
  <c r="A19" i="3"/>
  <c r="A16" i="3"/>
  <c r="A13" i="3"/>
  <c r="A10" i="3"/>
  <c r="A7" i="3"/>
  <c r="A4" i="3"/>
  <c r="M19" i="1"/>
  <c r="L19" i="1"/>
  <c r="M18" i="1"/>
  <c r="L18" i="1"/>
  <c r="M17" i="1"/>
  <c r="L17" i="1"/>
  <c r="L16" i="1"/>
  <c r="M15" i="1"/>
  <c r="L15" i="1"/>
  <c r="M14" i="1"/>
  <c r="L14" i="1"/>
  <c r="M13" i="1"/>
  <c r="L13" i="1"/>
  <c r="M12" i="1"/>
  <c r="O12" i="1" s="1"/>
  <c r="L12" i="1"/>
  <c r="M11" i="1"/>
  <c r="L11" i="1"/>
  <c r="L6" i="3"/>
  <c r="R5" i="3"/>
  <c r="P5" i="3"/>
  <c r="L6"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23" i="1"/>
  <c r="C3" i="3"/>
  <c r="N31" i="1"/>
  <c r="B29" i="3"/>
  <c r="N29" i="1"/>
  <c r="B23" i="3"/>
  <c r="N27" i="1"/>
  <c r="B17" i="3"/>
  <c r="N25" i="1"/>
  <c r="B11" i="3"/>
  <c r="O32" i="1"/>
  <c r="C30" i="3"/>
  <c r="O30" i="1"/>
  <c r="C24" i="3"/>
  <c r="O28" i="1"/>
  <c r="C18" i="3"/>
  <c r="O26" i="1"/>
  <c r="C12" i="3"/>
  <c r="O24" i="1"/>
  <c r="C6" i="3"/>
  <c r="N32" i="1"/>
  <c r="B32" i="3"/>
  <c r="N28" i="1"/>
  <c r="B20" i="3"/>
  <c r="N24" i="1"/>
  <c r="B8" i="3"/>
  <c r="N26" i="1"/>
  <c r="B14" i="3"/>
  <c r="N23" i="1"/>
  <c r="B5" i="3"/>
  <c r="O31" i="1"/>
  <c r="C27" i="3"/>
  <c r="O29" i="1"/>
  <c r="C21" i="3"/>
  <c r="O27" i="1"/>
  <c r="C15" i="3"/>
  <c r="O25" i="1"/>
  <c r="C9" i="3"/>
  <c r="N30" i="1"/>
  <c r="B26" i="3"/>
  <c r="N19" i="1"/>
  <c r="B32" i="2"/>
  <c r="O19" i="1"/>
  <c r="N18" i="1"/>
  <c r="B27" i="2"/>
  <c r="O18" i="1"/>
  <c r="N17" i="1"/>
  <c r="B24" i="2"/>
  <c r="O17" i="1"/>
  <c r="N16" i="1"/>
  <c r="B22" i="2"/>
  <c r="N15" i="1"/>
  <c r="B20" i="2"/>
  <c r="O15" i="1"/>
  <c r="C20" i="2"/>
  <c r="N14" i="1"/>
  <c r="B16" i="2"/>
  <c r="O14" i="1"/>
  <c r="C15" i="2"/>
  <c r="O11" i="1"/>
  <c r="C8" i="2"/>
  <c r="N13" i="1"/>
  <c r="B14" i="2"/>
  <c r="N12" i="1"/>
  <c r="B11" i="2"/>
  <c r="O13" i="1"/>
  <c r="C14" i="2"/>
  <c r="C11" i="2"/>
  <c r="C9" i="2"/>
  <c r="B17" i="2"/>
  <c r="B28" i="2"/>
  <c r="N11" i="1"/>
  <c r="B6" i="2"/>
  <c r="C10" i="2"/>
  <c r="C26" i="2"/>
  <c r="B12" i="3"/>
  <c r="B27" i="3"/>
  <c r="B30" i="3"/>
  <c r="C32" i="3"/>
  <c r="C17" i="3"/>
  <c r="C14" i="3"/>
  <c r="C8" i="3"/>
  <c r="B13" i="3"/>
  <c r="B16" i="3"/>
  <c r="B28" i="3"/>
  <c r="B31" i="3"/>
  <c r="C31" i="3"/>
  <c r="C16" i="3"/>
  <c r="C10" i="3"/>
  <c r="C7" i="3"/>
  <c r="B4" i="2"/>
  <c r="B3" i="2"/>
  <c r="B5" i="2"/>
  <c r="M10" i="1"/>
  <c r="O10" i="1"/>
  <c r="M4" i="2"/>
  <c r="B2" i="1"/>
  <c r="M16" i="1" s="1"/>
  <c r="O16" i="1" s="1"/>
  <c r="C21" i="2" s="1"/>
  <c r="C19" i="3"/>
  <c r="C26" i="3"/>
  <c r="B21" i="3"/>
  <c r="C25" i="3"/>
  <c r="B22" i="3"/>
  <c r="C11" i="3"/>
  <c r="B15" i="3"/>
  <c r="B10" i="3"/>
  <c r="B9" i="3"/>
  <c r="C13" i="3"/>
  <c r="B26" i="2"/>
  <c r="B19" i="3"/>
  <c r="C20" i="3"/>
  <c r="B21" i="2"/>
  <c r="C29" i="3"/>
  <c r="C28" i="3"/>
  <c r="B25" i="3"/>
  <c r="B18" i="3"/>
  <c r="B29" i="2"/>
  <c r="C4" i="3"/>
  <c r="B4" i="3"/>
  <c r="C5" i="3"/>
  <c r="B3" i="3"/>
  <c r="B24" i="3"/>
  <c r="B31" i="2"/>
  <c r="B30" i="2"/>
  <c r="C22" i="3"/>
  <c r="B7" i="3"/>
  <c r="C23" i="3"/>
  <c r="B6" i="3"/>
  <c r="B25" i="2"/>
  <c r="B18" i="2"/>
  <c r="B19" i="2"/>
  <c r="B15" i="2"/>
  <c r="B10" i="2"/>
  <c r="B9" i="2"/>
  <c r="B23" i="2"/>
  <c r="C32" i="2"/>
  <c r="C30" i="2"/>
  <c r="C31" i="2"/>
  <c r="C27" i="2"/>
  <c r="C28" i="2"/>
  <c r="C29" i="2"/>
  <c r="C6" i="2"/>
  <c r="C24" i="2"/>
  <c r="C25" i="2"/>
  <c r="C23" i="2"/>
  <c r="C22" i="2"/>
  <c r="C18" i="2"/>
  <c r="C19" i="2"/>
  <c r="C7" i="2"/>
  <c r="B12" i="2"/>
  <c r="C16" i="2"/>
  <c r="C17" i="2"/>
  <c r="B7" i="2"/>
  <c r="B13" i="2"/>
  <c r="C12" i="2"/>
  <c r="C13" i="2"/>
  <c r="B8" i="2"/>
  <c r="C4" i="2"/>
  <c r="C3"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<sst xmlns="http://schemas.openxmlformats.org/spreadsheetml/2006/main" count="198" uniqueCount="102">
  <si>
    <t>Brevet Length:</t>
  </si>
  <si>
    <t>Instructions</t>
  </si>
  <si>
    <t>Fill nominal brevet length.  This is the ACP distance eg 200, 300, 1000</t>
  </si>
  <si>
    <t>Maximum Time:</t>
  </si>
  <si>
    <t>Maximum allowable time automatically calculated</t>
  </si>
  <si>
    <t>Brevet Description:</t>
  </si>
  <si>
    <t>Sunshine Coast 200</t>
  </si>
  <si>
    <t>Enter the brevet name eg 'Remembrance Day Brevet'</t>
  </si>
  <si>
    <t>Brevet Number:</t>
  </si>
  <si>
    <t>Enter the brevet number.  This is the BCR database number, and can be found on the event page in the database</t>
  </si>
  <si>
    <t>Schedule date:</t>
  </si>
  <si>
    <t>Enter the schedule date.  This is the official ACP listed date and can be found on the shcedule on the website</t>
  </si>
  <si>
    <t>Start Date:</t>
  </si>
  <si>
    <t>Enter the start date.  This will always be the same as the schedule date, unless a ride window has been enabled.</t>
  </si>
  <si>
    <t>Start Time:</t>
  </si>
  <si>
    <t>Control Card #1</t>
  </si>
  <si>
    <t>Control Card #1 Information Control Question (optional)</t>
  </si>
  <si>
    <t>Enter the start time.  This will always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</si>
  <si>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</si>
  <si>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</si>
  <si>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</si>
  <si>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</si>
  <si>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</si>
  <si>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</si>
  <si>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</si>
  <si>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</si>
  <si>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</si>
  <si>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</si>
  <si>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</si>
  <si>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</si>
  <si>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Fill in the control distance.  The opening and closing times will be automatically calculated based on the start time and the brevet distance.  If you need more than 10 controls, use card #2, otherwise leave that section blank.</t>
  </si>
  <si>
    <t>Control 1</t>
  </si>
  <si>
    <t>Langdale Ferry Terminal</t>
  </si>
  <si>
    <t>Short Term Parking Lot</t>
  </si>
  <si>
    <t>Fill in the Locale (city) for each control.  Establishment 1, 2, and 3 can be used to describe the control itself eg Locale Hope  Est.1 Dairy Queen Est.2 817 Water Ave Est. 3 (leaft blank)</t>
  </si>
  <si>
    <t>Control 2</t>
  </si>
  <si>
    <t>Halfmoon Bay</t>
  </si>
  <si>
    <t>Conner Park</t>
  </si>
  <si>
    <t>Washrooms/Picnic tables</t>
  </si>
  <si>
    <t>Defbrillator funded by SC Community ______</t>
  </si>
  <si>
    <t>When using information controls, you can put your question in the Signature/Answer section eg Sig/Ans.1 Sign on main door  Sig/Ans. 2  This week's special is?  Sig/Ans. 3 ________________</t>
  </si>
  <si>
    <t>Control 3</t>
  </si>
  <si>
    <t>Egmont</t>
  </si>
  <si>
    <t>Info Control</t>
  </si>
  <si>
    <t>BathGate Store</t>
  </si>
  <si>
    <t>Bathgate General Store and _____</t>
  </si>
  <si>
    <t>Control 4</t>
  </si>
  <si>
    <t>Garden Bay</t>
  </si>
  <si>
    <t>Paul's House</t>
  </si>
  <si>
    <t>Control 5</t>
  </si>
  <si>
    <t>Francis Peninsula</t>
  </si>
  <si>
    <t>4163 Francis Pen Rd.</t>
  </si>
  <si>
    <t># on Telephone Pole</t>
  </si>
  <si>
    <t>Note:  Control Card #1 will only show '#1' if a distance is entered into the first distance box for Control Card #2</t>
  </si>
  <si>
    <t>Control 6</t>
  </si>
  <si>
    <t>Robert's Creek</t>
  </si>
  <si>
    <t>1540 Henderson Road</t>
  </si>
  <si>
    <t>Name on driveway sign</t>
  </si>
  <si>
    <t>Control 7</t>
  </si>
  <si>
    <t>Gibsons</t>
  </si>
  <si>
    <t>Persephone Brewing</t>
  </si>
  <si>
    <t>Control 8</t>
  </si>
  <si>
    <t>Control 9</t>
  </si>
  <si>
    <t>Control 10</t>
  </si>
  <si>
    <t>Control Card #2</t>
  </si>
  <si>
    <t>Control Card #2 Information Control Question (optional)</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</si>
  <si>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</si>
  <si>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t>
  </si>
  <si>
    <t>DIST (km)</t>
  </si>
  <si>
    <t>Establishment</t>
  </si>
  <si>
    <t>Signature/Answer</t>
  </si>
  <si>
    <t>Time of Passage</t>
  </si>
  <si>
    <t>Founding member of LES RANDONNEURS MONDIAUX (1983)</t>
  </si>
  <si>
    <t>Control Card</t>
  </si>
  <si>
    <t xml:space="preserve">Brevet No. </t>
  </si>
  <si>
    <t>Name</t>
  </si>
  <si>
    <t>Member #</t>
  </si>
  <si>
    <t>Address</t>
  </si>
  <si>
    <t>(only add if change needed to database)</t>
  </si>
  <si>
    <t>City</t>
  </si>
  <si>
    <t>Province/State</t>
  </si>
  <si>
    <t>Country</t>
  </si>
  <si>
    <t>Postal Code</t>
  </si>
  <si>
    <t>Telephone</t>
  </si>
  <si>
    <t>email</t>
  </si>
  <si>
    <t>Ride Day Emergency Contact</t>
  </si>
  <si>
    <t>Start Date</t>
  </si>
  <si>
    <t>Start time</t>
  </si>
  <si>
    <t>Finish Date</t>
  </si>
  <si>
    <t>Finish time</t>
  </si>
  <si>
    <t>Elapsed time</t>
  </si>
  <si>
    <t>Rider's signature at completion</t>
  </si>
  <si>
    <t>Bicycle Type
Circle one</t>
  </si>
  <si>
    <t>-------&gt;</t>
  </si>
  <si>
    <t>Single</t>
  </si>
  <si>
    <t>Tandem</t>
  </si>
  <si>
    <t>Fixed</t>
  </si>
  <si>
    <t>Recumbent</t>
  </si>
  <si>
    <t>Velomobile</t>
  </si>
  <si>
    <t>Randonneur Committee Authorization</t>
  </si>
  <si>
    <t>Report results or abandonment through registration email link</t>
  </si>
  <si>
    <t>Complete ride details on Card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</si>
</sst>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26">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8" fillId="0" borderId="18" xfId="0" applyFont="1" applyBorder="1"/>
    <xf numFmtId="0" fontId="12" fillId="0" borderId="18" xfId="0" applyFont="1"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0" fillId="2" borderId="25" xfId="0" applyFill="1" applyBorder="1" applyAlignment="1">
      <alignment horizontal="right"/>
    </xf>
    <xf numFmtId="0" fontId="10" fillId="0" borderId="5" xfId="0" applyFont="1" applyBorder="1"/>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0" fontId="7" fillId="0" borderId="18" xfId="0" applyFont="1" applyBorder="1" applyAlignment="1">
      <alignment horizontal="center" wrapText="1"/>
    </xf>
    <xf numFmtId="169" fontId="7" fillId="0" borderId="18" xfId="0" applyNumberFormat="1" applyFont="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Alignment="1">
      <alignment horizontal="center" wrapText="1"/>
    </xf>
    <xf numFmtId="0" fontId="0" fillId="0" borderId="18" xfId="0" applyBorder="1" applyAlignment="1">
      <alignment horizontal="left"/>
    </xf>
    <xf numFmtId="169" fontId="12" fillId="0" borderId="18" xfId="0" applyNumberFormat="1" applyFont="1" applyBorder="1" applyAlignment="1">
      <alignment horizontal="center"/>
    </xf>
    <xf numFmtId="169" fontId="10" fillId="0" borderId="18" xfId="0" applyNumberFormat="1" applyFont="1" applyBorder="1" applyAlignment="1">
      <alignment horizontal="center"/>
    </xf>
    <xf numFmtId="0" fontId="10" fillId="0" borderId="0" xfId="0" applyFont="1" applyAlignment="1">
      <alignment horizontal="left" vertical="center"/>
    </xf>
    <xf numFmtId="169" fontId="10" fillId="0" borderId="0" xfId="0" applyNumberFormat="1" applyFont="1" applyAlignment="1">
      <alignment horizontal="left" vertical="center"/>
    </xf>
    <xf numFmtId="0" fontId="9" fillId="0" borderId="0" xfId="0" applyFont="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xf numFmtId="0" fontId="13" fillId="0" borderId="10" xfId="0" applyFont="1" applyBorder="1"/>
    <xf numFmtId="0" fontId="29"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0" fillId="0" borderId="13" xfId="0" applyBorder="1" applyProtection="1">
      <protection locked="0"/>
    </xf>
    <xf numFmtId="0" fontId="0" fillId="0" borderId="14" xfId="0" applyBorder="1" applyProtection="1">
      <protection locked="0"/>
    </xf>
    <xf numFmtId="49" fontId="0" fillId="0" borderId="14" xfId="0" applyNumberFormat="1" applyBorder="1" applyAlignment="1" applyProtection="1">
      <alignment horizontal="center"/>
      <protection locked="0"/>
    </xf>
    <xf numFmtId="49" fontId="0" fillId="0" borderId="4" xfId="0" applyNumberFormat="1" applyBorder="1" applyAlignment="1" applyProtection="1">
      <alignment horizontal="center"/>
      <protection locked="0"/>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top" wrapText="1"/>
    </xf>
    <xf numFmtId="0" fontId="10" fillId="0" borderId="18" xfId="0" applyFont="1" applyBorder="1" applyAlignment="1">
      <alignment horizontal="center"/>
    </xf>
    <xf numFmtId="0" fontId="10" fillId="0" borderId="0" xfId="0" applyFont="1" applyAlignment="1">
      <alignment horizontal="center"/>
    </xf>
    <xf numFmtId="0" fontId="0" fillId="0" borderId="18" xfId="0" applyBorder="1" applyAlignment="1">
      <alignment horizontal="center"/>
    </xf>
    <xf numFmtId="0" fontId="10" fillId="0" borderId="18" xfId="0" applyFont="1" applyBorder="1" applyAlignment="1"/>
  </cellXfs>
  <cellStyles count="342">
    <cellStyle name="Followed Hyperlink" xfId="160" builtinId="9" hidden="1"/>
    <cellStyle name="Followed Hyperlink" xfId="96" builtinId="9" hidden="1"/>
    <cellStyle name="Followed Hyperlink" xfId="118" builtinId="9" hidden="1"/>
    <cellStyle name="Followed Hyperlink" xfId="124" builtinId="9" hidden="1"/>
    <cellStyle name="Followed Hyperlink" xfId="88" builtinId="9" hidden="1"/>
    <cellStyle name="Followed Hyperlink" xfId="72" builtinId="9" hidden="1"/>
    <cellStyle name="Followed Hyperlink" xfId="80" builtinId="9" hidden="1"/>
    <cellStyle name="Followed Hyperlink" xfId="130" builtinId="9" hidden="1"/>
    <cellStyle name="Followed Hyperlink" xfId="110" builtinId="9" hidden="1"/>
    <cellStyle name="Followed Hyperlink" xfId="140" builtinId="9" hidden="1"/>
    <cellStyle name="Followed Hyperlink" xfId="172" builtinId="9" hidden="1"/>
    <cellStyle name="Followed Hyperlink" xfId="204" builtinId="9" hidden="1"/>
    <cellStyle name="Followed Hyperlink" xfId="236" builtinId="9" hidden="1"/>
    <cellStyle name="Followed Hyperlink" xfId="268" builtinId="9" hidden="1"/>
    <cellStyle name="Followed Hyperlink" xfId="325" builtinId="9" hidden="1"/>
    <cellStyle name="Followed Hyperlink" xfId="295" builtinId="9" hidden="1"/>
    <cellStyle name="Followed Hyperlink" xfId="253" builtinId="9" hidden="1"/>
    <cellStyle name="Followed Hyperlink" xfId="221" builtinId="9" hidden="1"/>
    <cellStyle name="Followed Hyperlink" xfId="189" builtinId="9" hidden="1"/>
    <cellStyle name="Followed Hyperlink" xfId="157" builtinId="9" hidden="1"/>
    <cellStyle name="Followed Hyperlink" xfId="125" builtinId="9" hidden="1"/>
    <cellStyle name="Followed Hyperlink" xfId="93" builtinId="9" hidden="1"/>
    <cellStyle name="Followed Hyperlink" xfId="34" builtinId="9" hidden="1"/>
    <cellStyle name="Followed Hyperlink" xfId="30" builtinId="9" hidden="1"/>
    <cellStyle name="Followed Hyperlink" xfId="14" builtinId="9" hidden="1"/>
    <cellStyle name="Followed Hyperlink" xfId="52" builtinId="9" hidden="1"/>
    <cellStyle name="Followed Hyperlink" xfId="79" builtinId="9" hidden="1"/>
    <cellStyle name="Followed Hyperlink" xfId="111" builtinId="9" hidden="1"/>
    <cellStyle name="Followed Hyperlink" xfId="143" builtinId="9" hidden="1"/>
    <cellStyle name="Followed Hyperlink" xfId="175" builtinId="9" hidden="1"/>
    <cellStyle name="Followed Hyperlink" xfId="207" builtinId="9" hidden="1"/>
    <cellStyle name="Followed Hyperlink" xfId="239" builtinId="9" hidden="1"/>
    <cellStyle name="Followed Hyperlink" xfId="271" builtinId="9" hidden="1"/>
    <cellStyle name="Followed Hyperlink" xfId="331" builtinId="9" hidden="1"/>
    <cellStyle name="Followed Hyperlink" xfId="289" builtinId="9" hidden="1"/>
    <cellStyle name="Followed Hyperlink" xfId="186" builtinId="9" hidden="1"/>
    <cellStyle name="Followed Hyperlink" xfId="206" builtinId="9" hidden="1"/>
    <cellStyle name="Followed Hyperlink" xfId="230" builtinId="9" hidden="1"/>
    <cellStyle name="Followed Hyperlink" xfId="250" builtinId="9" hidden="1"/>
    <cellStyle name="Followed Hyperlink" xfId="242" builtinId="9" hidden="1"/>
    <cellStyle name="Followed Hyperlink" xfId="178" builtinId="9" hidden="1"/>
    <cellStyle name="Followed Hyperlink" xfId="170" builtinId="9" hidden="1"/>
    <cellStyle name="Followed Hyperlink" xfId="150" builtinId="9" hidden="1"/>
    <cellStyle name="Followed Hyperlink" xfId="142" builtinId="9" hidden="1"/>
    <cellStyle name="Followed Hyperlink" xfId="174" builtinId="9" hidden="1"/>
    <cellStyle name="Followed Hyperlink" xfId="154" builtinId="9" hidden="1"/>
    <cellStyle name="Followed Hyperlink" xfId="226" builtinId="9" hidden="1"/>
    <cellStyle name="Followed Hyperlink" xfId="254" builtinId="9" hidden="1"/>
    <cellStyle name="Followed Hyperlink" xfId="234" builtinId="9" hidden="1"/>
    <cellStyle name="Followed Hyperlink" xfId="214" builtinId="9" hidden="1"/>
    <cellStyle name="Followed Hyperlink" xfId="190" builtinId="9" hidden="1"/>
    <cellStyle name="Followed Hyperlink" xfId="274" builtinId="9" hidden="1"/>
    <cellStyle name="Followed Hyperlink" xfId="337" builtinId="9" hidden="1"/>
    <cellStyle name="Followed Hyperlink" xfId="279" builtinId="9" hidden="1"/>
    <cellStyle name="Followed Hyperlink" xfId="247" builtinId="9" hidden="1"/>
    <cellStyle name="Followed Hyperlink" xfId="215" builtinId="9" hidden="1"/>
    <cellStyle name="Followed Hyperlink" xfId="183" builtinId="9" hidden="1"/>
    <cellStyle name="Followed Hyperlink" xfId="151" builtinId="9" hidden="1"/>
    <cellStyle name="Followed Hyperlink" xfId="119" builtinId="9" hidden="1"/>
    <cellStyle name="Followed Hyperlink" xfId="87" builtinId="9" hidden="1"/>
    <cellStyle name="Followed Hyperlink" xfId="42" builtinId="9" hidden="1"/>
    <cellStyle name="Followed Hyperlink" xfId="12" builtinId="9" hidden="1"/>
    <cellStyle name="Followed Hyperlink" xfId="16" builtinId="9" hidden="1"/>
    <cellStyle name="Followed Hyperlink" xfId="44" builtinId="9" hidden="1"/>
    <cellStyle name="Followed Hyperlink" xfId="85" builtinId="9" hidden="1"/>
    <cellStyle name="Followed Hyperlink" xfId="117" builtinId="9" hidden="1"/>
    <cellStyle name="Followed Hyperlink" xfId="149" builtinId="9" hidden="1"/>
    <cellStyle name="Followed Hyperlink" xfId="181" builtinId="9" hidden="1"/>
    <cellStyle name="Followed Hyperlink" xfId="213" builtinId="9" hidden="1"/>
    <cellStyle name="Followed Hyperlink" xfId="245" builtinId="9" hidden="1"/>
    <cellStyle name="Followed Hyperlink" xfId="277" builtinId="9" hidden="1"/>
    <cellStyle name="Followed Hyperlink" xfId="341" builtinId="9" hidden="1"/>
    <cellStyle name="Followed Hyperlink" xfId="276" builtinId="9" hidden="1"/>
    <cellStyle name="Followed Hyperlink" xfId="244" builtinId="9" hidden="1"/>
    <cellStyle name="Followed Hyperlink" xfId="212" builtinId="9" hidden="1"/>
    <cellStyle name="Followed Hyperlink" xfId="180" builtinId="9" hidden="1"/>
    <cellStyle name="Followed Hyperlink" xfId="148" builtinId="9" hidden="1"/>
    <cellStyle name="Followed Hyperlink" xfId="104" builtinId="9" hidden="1"/>
    <cellStyle name="Followed Hyperlink" xfId="126" builtinId="9" hidden="1"/>
    <cellStyle name="Followed Hyperlink" xfId="100" builtinId="9" hidden="1"/>
    <cellStyle name="Followed Hyperlink" xfId="76" builtinId="9" hidden="1"/>
    <cellStyle name="Followed Hyperlink" xfId="84" builtinId="9" hidden="1"/>
    <cellStyle name="Followed Hyperlink" xfId="108" builtinId="9" hidden="1"/>
    <cellStyle name="Followed Hyperlink" xfId="122" builtinId="9" hidden="1"/>
    <cellStyle name="Followed Hyperlink" xfId="102" builtinId="9" hidden="1"/>
    <cellStyle name="Followed Hyperlink" xfId="152" builtinId="9" hidden="1"/>
    <cellStyle name="Followed Hyperlink" xfId="184" builtinId="9" hidden="1"/>
    <cellStyle name="Followed Hyperlink" xfId="216" builtinId="9" hidden="1"/>
    <cellStyle name="Followed Hyperlink" xfId="248" builtinId="9" hidden="1"/>
    <cellStyle name="Followed Hyperlink" xfId="280" builtinId="9" hidden="1"/>
    <cellStyle name="Followed Hyperlink" xfId="335" builtinId="9" hidden="1"/>
    <cellStyle name="Followed Hyperlink" xfId="273" builtinId="9" hidden="1"/>
    <cellStyle name="Followed Hyperlink" xfId="241" builtinId="9" hidden="1"/>
    <cellStyle name="Followed Hyperlink" xfId="209" builtinId="9" hidden="1"/>
    <cellStyle name="Followed Hyperlink" xfId="177" builtinId="9" hidden="1"/>
    <cellStyle name="Followed Hyperlink" xfId="145" builtinId="9" hidden="1"/>
    <cellStyle name="Followed Hyperlink" xfId="113" builtinId="9" hidden="1"/>
    <cellStyle name="Followed Hyperlink" xfId="81" builtinId="9" hidden="1"/>
    <cellStyle name="Followed Hyperlink" xfId="50" builtinId="9" hidden="1"/>
    <cellStyle name="Followed Hyperlink" xfId="20" builtinId="9" hidden="1"/>
    <cellStyle name="Followed Hyperlink" xfId="22" builtinId="9" hidden="1"/>
    <cellStyle name="Followed Hyperlink" xfId="36" builtinId="9" hidden="1"/>
    <cellStyle name="Followed Hyperlink" xfId="91" builtinId="9" hidden="1"/>
    <cellStyle name="Followed Hyperlink" xfId="251" builtinId="9" hidden="1"/>
    <cellStyle name="Followed Hyperlink" xfId="227" builtinId="9" hidden="1"/>
    <cellStyle name="Followed Hyperlink" xfId="211" builtinId="9" hidden="1"/>
    <cellStyle name="Followed Hyperlink" xfId="187" builtinId="9" hidden="1"/>
    <cellStyle name="Followed Hyperlink" xfId="163" builtinId="9" hidden="1"/>
    <cellStyle name="Followed Hyperlink" xfId="147" builtinId="9" hidden="1"/>
    <cellStyle name="Followed Hyperlink" xfId="123" builtinId="9" hidden="1"/>
    <cellStyle name="Followed Hyperlink" xfId="99" builtinId="9" hidden="1"/>
    <cellStyle name="Followed Hyperlink" xfId="139" builtinId="9" hidden="1"/>
    <cellStyle name="Followed Hyperlink" xfId="203" builtinId="9" hidden="1"/>
    <cellStyle name="Followed Hyperlink" xfId="267" builtinId="9" hidden="1"/>
    <cellStyle name="Followed Hyperlink" xfId="339" builtinId="9" hidden="1"/>
    <cellStyle name="Followed Hyperlink" xfId="291" builtinId="9" hidden="1"/>
    <cellStyle name="Followed Hyperlink" xfId="323" builtinId="9" hidden="1"/>
    <cellStyle name="Followed Hyperlink" xfId="313" builtinId="9" hidden="1"/>
    <cellStyle name="Followed Hyperlink" xfId="270" builtinId="9" hidden="1"/>
    <cellStyle name="Followed Hyperlink" xfId="278" builtinId="9" hidden="1"/>
    <cellStyle name="Followed Hyperlink" xfId="297" builtinId="9" hidden="1"/>
    <cellStyle name="Followed Hyperlink" xfId="275" builtinId="9" hidden="1"/>
    <cellStyle name="Followed Hyperlink" xfId="307" builtinId="9" hidden="1"/>
    <cellStyle name="Followed Hyperlink" xfId="329" builtinId="9" hidden="1"/>
    <cellStyle name="Followed Hyperlink" xfId="235" builtinId="9" hidden="1"/>
    <cellStyle name="Followed Hyperlink" xfId="171" builtinId="9" hidden="1"/>
    <cellStyle name="Followed Hyperlink" xfId="107" builtinId="9" hidden="1"/>
    <cellStyle name="Followed Hyperlink" xfId="115" builtinId="9" hidden="1"/>
    <cellStyle name="Followed Hyperlink" xfId="131" builtinId="9" hidden="1"/>
    <cellStyle name="Followed Hyperlink" xfId="155" builtinId="9" hidden="1"/>
    <cellStyle name="Followed Hyperlink" xfId="179" builtinId="9" hidden="1"/>
    <cellStyle name="Followed Hyperlink" xfId="195" builtinId="9" hidden="1"/>
    <cellStyle name="Followed Hyperlink" xfId="219" builtinId="9" hidden="1"/>
    <cellStyle name="Followed Hyperlink" xfId="243" builtinId="9" hidden="1"/>
    <cellStyle name="Followed Hyperlink" xfId="259" builtinId="9" hidden="1"/>
    <cellStyle name="Followed Hyperlink" xfId="74" builtinId="9" hidden="1"/>
    <cellStyle name="Followed Hyperlink" xfId="58" builtinId="9" hidden="1"/>
    <cellStyle name="Followed Hyperlink" xfId="8" builtinId="9" hidden="1"/>
    <cellStyle name="Followed Hyperlink" xfId="46" builtinId="9" hidden="1"/>
    <cellStyle name="Followed Hyperlink" xfId="28" builtinId="9" hidden="1"/>
    <cellStyle name="Followed Hyperlink" xfId="97" builtinId="9" hidden="1"/>
    <cellStyle name="Followed Hyperlink" xfId="129" builtinId="9" hidden="1"/>
    <cellStyle name="Followed Hyperlink" xfId="161" builtinId="9" hidden="1"/>
    <cellStyle name="Followed Hyperlink" xfId="193" builtinId="9" hidden="1"/>
    <cellStyle name="Followed Hyperlink" xfId="225" builtinId="9" hidden="1"/>
    <cellStyle name="Followed Hyperlink" xfId="257" builtinId="9" hidden="1"/>
    <cellStyle name="Followed Hyperlink" xfId="303" builtinId="9" hidden="1"/>
    <cellStyle name="Followed Hyperlink" xfId="317" builtinId="9" hidden="1"/>
    <cellStyle name="Followed Hyperlink" xfId="264" builtinId="9" hidden="1"/>
    <cellStyle name="Followed Hyperlink" xfId="232" builtinId="9" hidden="1"/>
    <cellStyle name="Followed Hyperlink" xfId="200" builtinId="9" hidden="1"/>
    <cellStyle name="Followed Hyperlink" xfId="168" builtinId="9" hidden="1"/>
    <cellStyle name="Followed Hyperlink" xfId="136" builtinId="9" hidden="1"/>
    <cellStyle name="Followed Hyperlink" xfId="112" builtinId="9" hidden="1"/>
    <cellStyle name="Followed Hyperlink" xfId="134" builtinId="9" hidden="1"/>
    <cellStyle name="Followed Hyperlink" xfId="82" builtinId="9" hidden="1"/>
    <cellStyle name="Followed Hyperlink" xfId="68" builtinId="9" hidden="1"/>
    <cellStyle name="Followed Hyperlink" xfId="86" builtinId="9" hidden="1"/>
    <cellStyle name="Followed Hyperlink" xfId="132" builtinId="9" hidden="1"/>
    <cellStyle name="Followed Hyperlink" xfId="114" builtinId="9" hidden="1"/>
    <cellStyle name="Followed Hyperlink" xfId="94" builtinId="9" hidden="1"/>
    <cellStyle name="Followed Hyperlink" xfId="164" builtinId="9" hidden="1"/>
    <cellStyle name="Followed Hyperlink" xfId="196" builtinId="9" hidden="1"/>
    <cellStyle name="Followed Hyperlink" xfId="228" builtinId="9" hidden="1"/>
    <cellStyle name="Followed Hyperlink" xfId="260" builtinId="9" hidden="1"/>
    <cellStyle name="Followed Hyperlink" xfId="309" builtinId="9" hidden="1"/>
    <cellStyle name="Followed Hyperlink" xfId="311" builtinId="9" hidden="1"/>
    <cellStyle name="Followed Hyperlink" xfId="261" builtinId="9" hidden="1"/>
    <cellStyle name="Followed Hyperlink" xfId="229" builtinId="9" hidden="1"/>
    <cellStyle name="Followed Hyperlink" xfId="197" builtinId="9" hidden="1"/>
    <cellStyle name="Followed Hyperlink" xfId="165" builtinId="9" hidden="1"/>
    <cellStyle name="Followed Hyperlink" xfId="133" builtinId="9" hidden="1"/>
    <cellStyle name="Followed Hyperlink" xfId="101" builtinId="9" hidden="1"/>
    <cellStyle name="Followed Hyperlink" xfId="24" builtinId="9" hidden="1"/>
    <cellStyle name="Followed Hyperlink" xfId="62" builtinId="9" hidden="1"/>
    <cellStyle name="Followed Hyperlink" xfId="2" builtinId="9" hidden="1"/>
    <cellStyle name="Followed Hyperlink" xfId="64" builtinId="9" hidden="1"/>
    <cellStyle name="Followed Hyperlink" xfId="66" builtinId="9" hidden="1"/>
    <cellStyle name="Followed Hyperlink" xfId="103" builtinId="9" hidden="1"/>
    <cellStyle name="Followed Hyperlink" xfId="135" builtinId="9" hidden="1"/>
    <cellStyle name="Followed Hyperlink" xfId="167" builtinId="9" hidden="1"/>
    <cellStyle name="Followed Hyperlink" xfId="199" builtinId="9" hidden="1"/>
    <cellStyle name="Followed Hyperlink" xfId="231" builtinId="9" hidden="1"/>
    <cellStyle name="Followed Hyperlink" xfId="263" builtinId="9" hidden="1"/>
    <cellStyle name="Followed Hyperlink" xfId="315" builtinId="9" hidden="1"/>
    <cellStyle name="Followed Hyperlink" xfId="305" builtinId="9" hidden="1"/>
    <cellStyle name="Followed Hyperlink" xfId="182" builtinId="9" hidden="1"/>
    <cellStyle name="Followed Hyperlink" xfId="202" builtinId="9" hidden="1"/>
    <cellStyle name="Followed Hyperlink" xfId="222" builtinId="9" hidden="1"/>
    <cellStyle name="Followed Hyperlink" xfId="246" builtinId="9" hidden="1"/>
    <cellStyle name="Followed Hyperlink" xfId="258" builtinId="9" hidden="1"/>
    <cellStyle name="Followed Hyperlink" xfId="194" builtinId="9" hidden="1"/>
    <cellStyle name="Followed Hyperlink" xfId="166" builtinId="9" hidden="1"/>
    <cellStyle name="Followed Hyperlink" xfId="146" builtinId="9" hidden="1"/>
    <cellStyle name="Followed Hyperlink" xfId="138" builtinId="9" hidden="1"/>
    <cellStyle name="Followed Hyperlink" xfId="162" builtinId="9" hidden="1"/>
    <cellStyle name="Followed Hyperlink" xfId="158" builtinId="9" hidden="1"/>
    <cellStyle name="Followed Hyperlink" xfId="210" builtinId="9" hidden="1"/>
    <cellStyle name="Followed Hyperlink" xfId="262" builtinId="9" hidden="1"/>
    <cellStyle name="Followed Hyperlink" xfId="238" builtinId="9" hidden="1"/>
    <cellStyle name="Followed Hyperlink" xfId="218" builtinId="9" hidden="1"/>
    <cellStyle name="Followed Hyperlink" xfId="198" builtinId="9" hidden="1"/>
    <cellStyle name="Followed Hyperlink" xfId="266" builtinId="9" hidden="1"/>
    <cellStyle name="Followed Hyperlink" xfId="321" builtinId="9" hidden="1"/>
    <cellStyle name="Followed Hyperlink" xfId="299" builtinId="9" hidden="1"/>
    <cellStyle name="Followed Hyperlink" xfId="255" builtinId="9" hidden="1"/>
    <cellStyle name="Followed Hyperlink" xfId="223" builtinId="9" hidden="1"/>
    <cellStyle name="Followed Hyperlink" xfId="191" builtinId="9" hidden="1"/>
    <cellStyle name="Followed Hyperlink" xfId="159" builtinId="9" hidden="1"/>
    <cellStyle name="Followed Hyperlink" xfId="127" builtinId="9" hidden="1"/>
    <cellStyle name="Followed Hyperlink" xfId="95" builtinId="9" hidden="1"/>
    <cellStyle name="Followed Hyperlink" xfId="32" builtinId="9" hidden="1"/>
    <cellStyle name="Followed Hyperlink" xfId="38" builtinId="9" hidden="1"/>
    <cellStyle name="Followed Hyperlink" xfId="6" builtinId="9" hidden="1"/>
    <cellStyle name="Followed Hyperlink" xfId="56" builtinId="9" hidden="1"/>
    <cellStyle name="Followed Hyperlink" xfId="77" builtinId="9" hidden="1"/>
    <cellStyle name="Followed Hyperlink" xfId="109" builtinId="9" hidden="1"/>
    <cellStyle name="Followed Hyperlink" xfId="141" builtinId="9" hidden="1"/>
    <cellStyle name="Followed Hyperlink" xfId="173" builtinId="9" hidden="1"/>
    <cellStyle name="Followed Hyperlink" xfId="205" builtinId="9" hidden="1"/>
    <cellStyle name="Followed Hyperlink" xfId="237" builtinId="9" hidden="1"/>
    <cellStyle name="Followed Hyperlink" xfId="269" builtinId="9" hidden="1"/>
    <cellStyle name="Followed Hyperlink" xfId="327" builtinId="9" hidden="1"/>
    <cellStyle name="Followed Hyperlink" xfId="293" builtinId="9" hidden="1"/>
    <cellStyle name="Followed Hyperlink" xfId="252" builtinId="9" hidden="1"/>
    <cellStyle name="Followed Hyperlink" xfId="220" builtinId="9" hidden="1"/>
    <cellStyle name="Followed Hyperlink" xfId="188" builtinId="9" hidden="1"/>
    <cellStyle name="Followed Hyperlink" xfId="156" builtinId="9" hidden="1"/>
    <cellStyle name="Followed Hyperlink" xfId="98" builtinId="9" hidden="1"/>
    <cellStyle name="Followed Hyperlink" xfId="120" builtinId="9" hidden="1"/>
    <cellStyle name="Followed Hyperlink" xfId="116" builtinId="9" hidden="1"/>
    <cellStyle name="Followed Hyperlink" xfId="90" builtinId="9" hidden="1"/>
    <cellStyle name="Followed Hyperlink" xfId="78" builtinId="9" hidden="1"/>
    <cellStyle name="Followed Hyperlink" xfId="92" builtinId="9" hidden="1"/>
    <cellStyle name="Followed Hyperlink" xfId="128" builtinId="9" hidden="1"/>
    <cellStyle name="Followed Hyperlink" xfId="106" builtinId="9" hidden="1"/>
    <cellStyle name="Followed Hyperlink" xfId="144" builtinId="9" hidden="1"/>
    <cellStyle name="Followed Hyperlink" xfId="176" builtinId="9" hidden="1"/>
    <cellStyle name="Followed Hyperlink" xfId="105" builtinId="9" hidden="1"/>
    <cellStyle name="Followed Hyperlink" xfId="121" builtinId="9" hidden="1"/>
    <cellStyle name="Followed Hyperlink" xfId="137" builtinId="9" hidden="1"/>
    <cellStyle name="Followed Hyperlink" xfId="169" builtinId="9" hidden="1"/>
    <cellStyle name="Followed Hyperlink" xfId="185" builtinId="9" hidden="1"/>
    <cellStyle name="Followed Hyperlink" xfId="201" builtinId="9" hidden="1"/>
    <cellStyle name="Followed Hyperlink" xfId="233" builtinId="9" hidden="1"/>
    <cellStyle name="Followed Hyperlink" xfId="249" builtinId="9" hidden="1"/>
    <cellStyle name="Followed Hyperlink" xfId="265" builtinId="9" hidden="1"/>
    <cellStyle name="Followed Hyperlink" xfId="319" builtinId="9" hidden="1"/>
    <cellStyle name="Followed Hyperlink" xfId="333" builtinId="9" hidden="1"/>
    <cellStyle name="Followed Hyperlink" xfId="301" builtinId="9" hidden="1"/>
    <cellStyle name="Followed Hyperlink" xfId="256" builtinId="9" hidden="1"/>
    <cellStyle name="Followed Hyperlink" xfId="240" builtinId="9" hidden="1"/>
    <cellStyle name="Followed Hyperlink" xfId="224" builtinId="9" hidden="1"/>
    <cellStyle name="Followed Hyperlink" xfId="192" builtinId="9" hidden="1"/>
    <cellStyle name="Followed Hyperlink" xfId="208" builtinId="9" hidden="1"/>
    <cellStyle name="Followed Hyperlink" xfId="272" builtinId="9" hidden="1"/>
    <cellStyle name="Followed Hyperlink" xfId="281" builtinId="9" hidden="1"/>
    <cellStyle name="Followed Hyperlink" xfId="217" builtinId="9" hidden="1"/>
    <cellStyle name="Followed Hyperlink" xfId="153" builtinId="9" hidden="1"/>
    <cellStyle name="Followed Hyperlink" xfId="89" builtinId="9" hidden="1"/>
    <cellStyle name="Followed Hyperlink" xfId="18" builtinId="9" hidden="1"/>
    <cellStyle name="Followed Hyperlink" xfId="4" builtinId="9" hidden="1"/>
    <cellStyle name="Followed Hyperlink" xfId="60" builtinId="9" hidden="1"/>
    <cellStyle name="Followed Hyperlink" xfId="40" builtinId="9" hidden="1"/>
    <cellStyle name="Followed Hyperlink" xfId="70" builtinId="9" hidden="1"/>
    <cellStyle name="Followed Hyperlink" xfId="10" builtinId="9" hidden="1"/>
    <cellStyle name="Followed Hyperlink" xfId="48" builtinId="9" hidden="1"/>
    <cellStyle name="Followed Hyperlink" xfId="54" builtinId="9" hidden="1"/>
    <cellStyle name="Followed Hyperlink" xfId="26" builtinId="9" hidden="1"/>
    <cellStyle name="Followed Hyperlink" xfId="83" builtinId="9" hidden="1"/>
    <cellStyle name="Hyperlink" xfId="47" builtinId="8" hidden="1"/>
    <cellStyle name="Hyperlink" xfId="328" builtinId="8" hidden="1"/>
    <cellStyle name="Hyperlink" xfId="308" builtinId="8" hidden="1"/>
    <cellStyle name="Hyperlink" xfId="310" builtinId="8" hidden="1"/>
    <cellStyle name="Hyperlink" xfId="316" builtinId="8" hidden="1"/>
    <cellStyle name="Hyperlink" xfId="318" builtinId="8" hidden="1"/>
    <cellStyle name="Hyperlink" xfId="306" builtinId="8" hidden="1"/>
    <cellStyle name="Hyperlink" xfId="302" builtinId="8" hidden="1"/>
    <cellStyle name="Hyperlink" xfId="300" builtinId="8" hidden="1"/>
    <cellStyle name="Hyperlink" xfId="314" builtinId="8" hidden="1"/>
    <cellStyle name="Hyperlink" xfId="322" builtinId="8" hidden="1"/>
    <cellStyle name="Hyperlink" xfId="330" builtinId="8" hidden="1"/>
    <cellStyle name="Hyperlink" xfId="332" builtinId="8" hidden="1"/>
    <cellStyle name="Hyperlink" xfId="338" builtinId="8" hidden="1"/>
    <cellStyle name="Hyperlink" xfId="340" builtinId="8" hidden="1"/>
    <cellStyle name="Hyperlink" xfId="324" builtinId="8" hidden="1"/>
    <cellStyle name="Hyperlink" xfId="326" builtinId="8" hidden="1"/>
    <cellStyle name="Hyperlink" xfId="320" builtinId="8" hidden="1"/>
    <cellStyle name="Hyperlink" xfId="51" builtinId="8" hidden="1"/>
    <cellStyle name="Hyperlink" xfId="336" builtinId="8" hidden="1"/>
    <cellStyle name="Hyperlink" xfId="304" builtinId="8" hidden="1"/>
    <cellStyle name="Hyperlink" xfId="5" builtinId="8" hidden="1"/>
    <cellStyle name="Hyperlink" xfId="334" builtinId="8" hidden="1"/>
    <cellStyle name="Hyperlink" xfId="31" builtinId="8" hidden="1"/>
    <cellStyle name="Hyperlink" xfId="312" builtinId="8" hidden="1"/>
    <cellStyle name="Hyperlink" xfId="41" builtinId="8" hidden="1"/>
    <cellStyle name="Hyperlink" xfId="4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8" builtinId="8" hidden="1"/>
    <cellStyle name="Hyperlink" xfId="296" builtinId="8" hidden="1"/>
    <cellStyle name="Hyperlink" xfId="45" builtinId="8" hidden="1"/>
    <cellStyle name="Hyperlink" xfId="13" builtinId="8" hidden="1"/>
    <cellStyle name="Hyperlink" xfId="27" builtinId="8" hidden="1"/>
    <cellStyle name="Hyperlink" xfId="29" builtinId="8" hidden="1"/>
    <cellStyle name="Hyperlink" xfId="35" builtinId="8" hidden="1"/>
    <cellStyle name="Hyperlink" xfId="37" builtinId="8" hidden="1"/>
    <cellStyle name="Hyperlink" xfId="23" builtinId="8" hidden="1"/>
    <cellStyle name="Hyperlink" xfId="25" builtinId="8" hidden="1"/>
    <cellStyle name="Hyperlink" xfId="19" builtinId="8" hidden="1"/>
    <cellStyle name="Hyperlink" xfId="53" builtinId="8" hidden="1"/>
    <cellStyle name="Hyperlink" xfId="33" builtinId="8" hidden="1"/>
    <cellStyle name="Hyperlink" xfId="21" builtinId="8" hidden="1"/>
    <cellStyle name="Hyperlink" xfId="15" builtinId="8" hidden="1"/>
    <cellStyle name="Hyperlink" xfId="17" builtinId="8" hidden="1"/>
    <cellStyle name="Hyperlink" xfId="7" builtinId="8" hidden="1"/>
    <cellStyle name="Hyperlink" xfId="3" builtinId="8" hidden="1"/>
    <cellStyle name="Hyperlink" xfId="1" builtinId="8" hidden="1"/>
    <cellStyle name="Hyperlink" xfId="9" builtinId="8" hidden="1"/>
    <cellStyle name="Hyperlink" xfId="11" builtinId="8" hidden="1"/>
    <cellStyle name="Hyperlink" xfId="39" builtinId="8" hidden="1"/>
    <cellStyle name="Hyperlink" xfId="49"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zoomScale="135" zoomScaleNormal="135" zoomScalePageLayoutView="135" workbookViewId="0">
      <selection activeCell="A12" sqref="A12"/>
    </sheetView>
  </sheetViews>
  <sheetFormatPr defaultColWidth="8.85546875" defaultRowHeight="12"/>
  <cols>
    <col min="1" max="1" width="16.42578125" style="2" customWidth="1"/>
    <col min="2" max="2" width="12.28515625" bestFit="1" customWidth="1"/>
    <col min="3" max="3" width="0" style="3" hidden="1" customWidth="1"/>
    <col min="4" max="4" width="8.28515625" customWidth="1"/>
    <col min="5" max="5" width="17" bestFit="1" customWidth="1"/>
    <col min="6" max="6" width="18" bestFit="1" customWidth="1"/>
    <col min="7" max="7" width="22.140625" bestFit="1" customWidth="1"/>
    <col min="8" max="8" width="25.140625" bestFit="1" customWidth="1"/>
    <col min="9" max="11" width="31.140625" customWidth="1"/>
    <col min="12" max="12" width="17.28515625" hidden="1" customWidth="1"/>
    <col min="13" max="15" width="17.85546875" hidden="1" customWidth="1"/>
  </cols>
  <sheetData>
    <row r="1" spans="1:23" ht="17.100000000000001">
      <c r="A1" s="13" t="s">
        <v>0</v>
      </c>
      <c r="B1" s="80">
        <v>200</v>
      </c>
      <c r="C1">
        <f>IF(Brevet_Length&gt;=1200,Brevet_Length,IF(Brevet_Length&gt;=1000,1000,IF(Brevet_Length&gt;=600,600,IF(Brevet_Length&gt;=400,400,IF(Brevet_Length&gt;=300,300,IF(Brevet_Length&gt;=200,200,100))))))</f>
        <v>200</v>
      </c>
      <c r="J1" s="103" t="s">
        <v>1</v>
      </c>
      <c r="K1" s="103"/>
      <c r="Q1" s="83" t="s">
        <v>2</v>
      </c>
      <c r="R1" s="83"/>
      <c r="S1" s="83"/>
      <c r="T1" s="83"/>
      <c r="U1" s="83"/>
      <c r="V1" s="83"/>
      <c r="W1" s="83"/>
    </row>
    <row r="2" spans="1:23" ht="12.95" thickBot="1">
      <c r="A2" s="14" t="s">
        <v>3</v>
      </c>
      <c r="B2" s="15">
        <f>IF(brevet=1200,90,IF(brevet=1000,75,IF(brevet=600,40,IF(brevet=400,27,IF(brevet=300,20,IF(brevet=200,13.5,IF(brevet=100,7,0)))))))</f>
        <v>13.5</v>
      </c>
      <c r="Q2" t="s">
        <v>4</v>
      </c>
    </row>
    <row r="3" spans="1:23" ht="18" thickBot="1">
      <c r="A3" s="14" t="s">
        <v>5</v>
      </c>
      <c r="B3" s="91" t="s">
        <v>6</v>
      </c>
      <c r="C3" s="81"/>
      <c r="D3" s="81"/>
      <c r="E3" s="81"/>
      <c r="F3" s="81"/>
      <c r="G3" s="81"/>
      <c r="H3" s="82"/>
      <c r="I3" s="31"/>
      <c r="J3" s="31"/>
      <c r="K3" s="31"/>
      <c r="Q3" s="83" t="s">
        <v>7</v>
      </c>
    </row>
    <row r="4" spans="1:23" ht="15">
      <c r="A4" s="14" t="s">
        <v>8</v>
      </c>
      <c r="B4" s="90">
        <v>5143</v>
      </c>
      <c r="C4" s="28"/>
      <c r="F4" s="29"/>
      <c r="G4" s="29"/>
      <c r="H4" s="29"/>
      <c r="I4" s="29"/>
      <c r="J4" s="29"/>
      <c r="K4" s="29"/>
      <c r="Q4" s="83" t="s">
        <v>9</v>
      </c>
    </row>
    <row r="5" spans="1:23" ht="15">
      <c r="A5" s="54" t="s">
        <v>10</v>
      </c>
      <c r="B5" s="89">
        <v>44716</v>
      </c>
      <c r="Q5" s="83" t="s">
        <v>11</v>
      </c>
    </row>
    <row r="6" spans="1:23" ht="6" customHeight="1"/>
    <row r="7" spans="1:23" ht="15.95" thickBot="1">
      <c r="A7" s="51" t="s">
        <v>12</v>
      </c>
      <c r="B7" s="92">
        <v>44716</v>
      </c>
      <c r="Q7" s="83" t="s">
        <v>13</v>
      </c>
    </row>
    <row r="8" spans="1:23" ht="15.95" thickBot="1">
      <c r="A8" s="12" t="s">
        <v>14</v>
      </c>
      <c r="B8" s="93">
        <v>0.34375</v>
      </c>
      <c r="D8" s="104" t="s">
        <v>15</v>
      </c>
      <c r="E8" s="105"/>
      <c r="F8" s="105"/>
      <c r="G8" s="105"/>
      <c r="H8" s="105"/>
      <c r="I8" s="104" t="s">
        <v>16</v>
      </c>
      <c r="J8" s="105"/>
      <c r="K8" s="106"/>
      <c r="Q8" s="83" t="s">
        <v>17</v>
      </c>
    </row>
    <row r="9" spans="1:23" ht="12.75">
      <c r="D9" s="6" t="s">
        <v>18</v>
      </c>
      <c r="E9" s="7" t="s">
        <v>19</v>
      </c>
      <c r="F9" s="74" t="s">
        <v>20</v>
      </c>
      <c r="G9" s="74" t="s">
        <v>21</v>
      </c>
      <c r="H9" s="75" t="s">
        <v>22</v>
      </c>
      <c r="I9" s="7" t="s">
        <v>23</v>
      </c>
      <c r="J9" s="7" t="s">
        <v>24</v>
      </c>
      <c r="K9" s="8" t="s">
        <v>25</v>
      </c>
      <c r="L9" t="s">
        <v>26</v>
      </c>
      <c r="M9" t="s">
        <v>27</v>
      </c>
      <c r="N9" t="s">
        <v>28</v>
      </c>
      <c r="O9" t="s">
        <v>29</v>
      </c>
      <c r="Q9" s="83" t="s">
        <v>30</v>
      </c>
    </row>
    <row r="10" spans="1:23" ht="17.100000000000001" customHeight="1">
      <c r="C10" s="3" t="s">
        <v>31</v>
      </c>
      <c r="D10" s="99">
        <v>0</v>
      </c>
      <c r="E10" s="100" t="s">
        <v>32</v>
      </c>
      <c r="F10" s="101"/>
      <c r="G10" s="101" t="s">
        <v>33</v>
      </c>
      <c r="H10" s="102"/>
      <c r="I10" s="94"/>
      <c r="J10" s="94"/>
      <c r="K10" s="95"/>
      <c r="L10" s="4">
        <f>Start_date+Start_time</f>
        <v>44716.34375</v>
      </c>
      <c r="M10" s="4">
        <f>L10+"1:00"</f>
        <v>44716.385416666664</v>
      </c>
      <c r="N10" s="5">
        <f ca="1">IF(ISBLANK(Distance),"",Open Control_1)</f>
        <v>44716.34375</v>
      </c>
      <c r="O10" s="5">
        <f ca="1">IF(ISBLANK(Distance),"",Close Control_1)</f>
        <v>44716.385416666664</v>
      </c>
      <c r="Q10" s="83" t="s">
        <v>34</v>
      </c>
    </row>
    <row r="11" spans="1:23" ht="17.100000000000001" customHeight="1">
      <c r="C11" s="3" t="s">
        <v>35</v>
      </c>
      <c r="D11" s="99">
        <v>39.5</v>
      </c>
      <c r="E11" s="100" t="s">
        <v>36</v>
      </c>
      <c r="F11" s="101" t="s">
        <v>37</v>
      </c>
      <c r="G11" s="101" t="s">
        <v>38</v>
      </c>
      <c r="H11" s="102" t="s">
        <v>39</v>
      </c>
      <c r="I11" s="94"/>
      <c r="J11" s="94"/>
      <c r="K11" s="95"/>
      <c r="L11">
        <f>IF(ISBLANK(Distance),"",IF(Distance&gt;1000,(Distance-1000)/26+33.0847,(IF(Distance&gt;600,(Distance-600)/28+18.799,(IF(Distance&gt;400,(Distance-400)/30+12.1324,(IF(Distance&gt;200,(Distance-200)/32+5.8824,Distance/34))))))))</f>
        <v>1.161764705882353</v>
      </c>
      <c r="M11">
        <f>IF(ISBLANK(Distance),"",IF(Distance&gt;=brevet,IF(brevet&gt;1200,(brevet-1200)*75/1000+90,Max_time),IF(Distance&gt;1200,(Distance-1200)*75/1000+90,IF(Distance&gt;1000,(Distance-1000)/(1000/75)+75,IF(Distance&gt;600,(Distance-600)/(400/35)+40,Distance/15)))))</f>
        <v>2.6333333333333333</v>
      </c>
      <c r="N11" s="5">
        <f ca="1">IF(ISBLANK(Distance),"",Open_time Control_1+(INT(Open)&amp;":"&amp;IF(ROUND(((Open-INT(Open))*60),0)&lt;10,0,"")&amp;ROUND(((Open-INT(Open))*60),0)))</f>
        <v>44716.392361111109</v>
      </c>
      <c r="O11" s="5">
        <f ca="1">IF(ISBLANK(Distance),"",Open_time Control_1+(INT(Close)&amp;":"&amp;IF(ROUND(((Close-INT(Close))*60),0)&lt;10,0,"")&amp;ROUND(((Close-INT(Close))*60),0)))</f>
        <v>44716.453472222223</v>
      </c>
      <c r="Q11" s="83" t="s">
        <v>40</v>
      </c>
    </row>
    <row r="12" spans="1:23" ht="17.100000000000001" customHeight="1">
      <c r="C12" s="3" t="s">
        <v>41</v>
      </c>
      <c r="D12" s="99">
        <v>89.8</v>
      </c>
      <c r="E12" s="100" t="s">
        <v>42</v>
      </c>
      <c r="F12" s="101" t="s">
        <v>43</v>
      </c>
      <c r="G12" s="101" t="s">
        <v>44</v>
      </c>
      <c r="H12" s="102" t="s">
        <v>45</v>
      </c>
      <c r="I12" s="94"/>
      <c r="J12" s="94"/>
      <c r="K12" s="95"/>
      <c r="L12">
        <f>IF(ISBLANK(Distance),"",IF(Distance&gt;1000,(Distance-1000)/26+33.0847,(IF(Distance&gt;600,(Distance-600)/28+18.799,(IF(Distance&gt;400,(Distance-400)/30+12.1324,(IF(Distance&gt;200,(Distance-200)/32+5.8824,Distance/34))))))))</f>
        <v>2.6411764705882352</v>
      </c>
      <c r="M12">
        <f t="shared" ref="M12:M19" si="0">IF(ISBLANK(Distance),"",IF(Distance&gt;=brevet,IF(brevet&gt;1200,(brevet-1200)*75/1000+90,Max_time),IF(Distance&gt;1200,(Distance-1200)*75/1000+90,IF(Distance&gt;1000,(Distance-1000)/(1000/75)+75,IF(Distance&gt;600,(Distance-600)/(400/35)+40,Distance/15)))))</f>
        <v>5.9866666666666664</v>
      </c>
      <c r="N12" s="5">
        <f ca="1">IF(ISBLANK(Distance),"",Open_time Control_1+(INT(Open)&amp;":"&amp;IF(ROUND(((Open-INT(Open))*60),0)&lt;10,0,"")&amp;ROUND(((Open-INT(Open))*60),0)))</f>
        <v>44716.453472222223</v>
      </c>
      <c r="O12" s="5">
        <f ca="1">IF(ISBLANK(Distance),"",Open_time Control_1+(INT(Close)&amp;":"&amp;IF(ROUND(((Close-INT(Close))*60),0)&lt;10,0,"")&amp;ROUND(((Close-INT(Close))*60),0)))</f>
        <v>44716.593055555553</v>
      </c>
    </row>
    <row r="13" spans="1:23" ht="17.100000000000001" customHeight="1">
      <c r="C13" s="3" t="s">
        <v>46</v>
      </c>
      <c r="D13" s="99">
        <v>117.5</v>
      </c>
      <c r="E13" s="100" t="s">
        <v>47</v>
      </c>
      <c r="F13" s="101"/>
      <c r="G13" s="101" t="s">
        <v>48</v>
      </c>
      <c r="H13" s="102"/>
      <c r="I13" s="94"/>
      <c r="J13" s="94"/>
      <c r="K13" s="95"/>
      <c r="L13">
        <f t="shared" ref="L13:L19" si="1">IF(ISBLANK(Distance),"",IF(Distance&gt;1000,(Distance-1000)/26+33.0847,(IF(Distance&gt;600,(Distance-600)/28+18.799,(IF(Distance&gt;400,(Distance-400)/30+12.1324,(IF(Distance&gt;200,(Distance-200)/32+5.8824,Distance/34))))))))</f>
        <v>3.4558823529411766</v>
      </c>
      <c r="M13">
        <f t="shared" si="0"/>
        <v>7.833333333333333</v>
      </c>
      <c r="N13" s="5">
        <f ca="1">IF(ISBLANK(Distance),"",Open_time Control_1+(INT(Open)&amp;":"&amp;IF(ROUND(((Open-INT(Open))*60),0)&lt;10,0,"")&amp;ROUND(((Open-INT(Open))*60),0)))</f>
        <v>44716.487500000003</v>
      </c>
      <c r="O13" s="5">
        <f ca="1">IF(ISBLANK(Distance),"",Open_time Control_1+(INT(Close)&amp;":"&amp;IF(ROUND(((Close-INT(Close))*60),0)&lt;10,0,"")&amp;ROUND(((Close-INT(Close))*60),0)))</f>
        <v>44716.670138888891</v>
      </c>
    </row>
    <row r="14" spans="1:23" ht="17.100000000000001" customHeight="1">
      <c r="C14" s="3" t="s">
        <v>49</v>
      </c>
      <c r="D14" s="99">
        <v>136</v>
      </c>
      <c r="E14" s="100" t="s">
        <v>50</v>
      </c>
      <c r="F14" s="101" t="s">
        <v>43</v>
      </c>
      <c r="G14" s="101" t="s">
        <v>51</v>
      </c>
      <c r="H14" s="102" t="s">
        <v>52</v>
      </c>
      <c r="I14" s="94"/>
      <c r="J14" s="94"/>
      <c r="K14" s="95"/>
      <c r="L14">
        <f t="shared" si="1"/>
        <v>4</v>
      </c>
      <c r="M14">
        <f t="shared" si="0"/>
        <v>9.0666666666666664</v>
      </c>
      <c r="N14" s="5">
        <f ca="1">IF(ISBLANK(Distance),"",Open_time Control_1+(INT(Open)&amp;":"&amp;IF(ROUND(((Open-INT(Open))*60),0)&lt;10,0,"")&amp;ROUND(((Open-INT(Open))*60),0)))</f>
        <v>44716.510416666664</v>
      </c>
      <c r="O14" s="5">
        <f ca="1">IF(ISBLANK(Distance),"",Open_time Control_1+(INT(Close)&amp;":"&amp;IF(ROUND(((Close-INT(Close))*60),0)&lt;10,0,"")&amp;ROUND(((Close-INT(Close))*60),0)))</f>
        <v>44716.72152777778</v>
      </c>
      <c r="Q14" t="s">
        <v>53</v>
      </c>
    </row>
    <row r="15" spans="1:23" ht="17.100000000000001" customHeight="1">
      <c r="C15" s="3" t="s">
        <v>54</v>
      </c>
      <c r="D15" s="99">
        <v>184.8</v>
      </c>
      <c r="E15" s="100" t="s">
        <v>55</v>
      </c>
      <c r="F15" s="101" t="s">
        <v>43</v>
      </c>
      <c r="G15" s="101" t="s">
        <v>56</v>
      </c>
      <c r="H15" s="102" t="s">
        <v>57</v>
      </c>
      <c r="I15" s="94"/>
      <c r="J15" s="94"/>
      <c r="K15" s="95"/>
      <c r="L15">
        <f t="shared" si="1"/>
        <v>5.4352941176470591</v>
      </c>
      <c r="M15">
        <f t="shared" si="0"/>
        <v>12.32</v>
      </c>
      <c r="N15" s="5">
        <f ca="1">IF(ISBLANK(Distance),"",Open_time Control_1+(INT(Open)&amp;":"&amp;IF(ROUND(((Open-INT(Open))*60),0)&lt;10,0,"")&amp;ROUND(((Open-INT(Open))*60),0)))</f>
        <v>44716.570138888892</v>
      </c>
      <c r="O15" s="5">
        <f ca="1">IF(ISBLANK(Distance),"",Open_time Control_1+(INT(Close)&amp;":"&amp;IF(ROUND(((Close-INT(Close))*60),0)&lt;10,0,"")&amp;ROUND(((Close-INT(Close))*60),0)))</f>
        <v>44716.856944444444</v>
      </c>
    </row>
    <row r="16" spans="1:23" ht="17.100000000000001" customHeight="1">
      <c r="C16" s="3" t="s">
        <v>58</v>
      </c>
      <c r="D16" s="99">
        <v>200.3</v>
      </c>
      <c r="E16" s="100" t="s">
        <v>59</v>
      </c>
      <c r="F16" s="101"/>
      <c r="G16" s="101" t="s">
        <v>60</v>
      </c>
      <c r="H16" s="102"/>
      <c r="I16" s="94"/>
      <c r="J16" s="94"/>
      <c r="K16" s="95"/>
      <c r="L16">
        <f t="shared" si="1"/>
        <v>5.891775</v>
      </c>
      <c r="M16">
        <f t="shared" si="0"/>
        <v>13.5</v>
      </c>
      <c r="N16" s="5">
        <f ca="1">IF(ISBLANK(Distance),"",Open_time Control_1+(INT(Open)&amp;":"&amp;IF(ROUND(((Open-INT(Open))*60),0)&lt;10,0,"")&amp;ROUND(((Open-INT(Open))*60),0)))</f>
        <v>44716.589583333334</v>
      </c>
      <c r="O16" s="5">
        <f ca="1">IF(ISBLANK(Distance),"",Open_time Control_1+(INT(Close)&amp;":"&amp;IF(ROUND(((Close-INT(Close))*60),0)&lt;10,0,"")&amp;ROUND(((Close-INT(Close))*60),0)))</f>
        <v>44716.90625</v>
      </c>
    </row>
    <row r="17" spans="3:15" ht="17.100000000000001" customHeight="1">
      <c r="C17" s="3" t="s">
        <v>61</v>
      </c>
      <c r="D17" s="30"/>
      <c r="E17" s="85"/>
      <c r="F17" s="86"/>
      <c r="G17" s="86"/>
      <c r="H17" s="87"/>
      <c r="I17" s="94"/>
      <c r="J17" s="94"/>
      <c r="K17" s="95"/>
      <c r="L17" t="str">
        <f t="shared" si="1"/>
        <v/>
      </c>
      <c r="M17" t="str">
        <f t="shared" si="0"/>
        <v/>
      </c>
      <c r="N17" s="5" t="str">
        <f>IF(ISBLANK(Distance),"",Open_time Control_1+(INT(Open)&amp;":"&amp;IF(ROUND(((Open-INT(Open))*60),0)&lt;10,0,"")&amp;ROUND(((Open-INT(Open))*60),0)))</f>
        <v/>
      </c>
      <c r="O17" s="5" t="str">
        <f>IF(ISBLANK(Distance),"",Open_time Control_1+(INT(Close)&amp;":"&amp;IF(ROUND(((Close-INT(Close))*60),0)&lt;10,0,"")&amp;ROUND(((Close-INT(Close))*60),0)))</f>
        <v/>
      </c>
    </row>
    <row r="18" spans="3:15" ht="17.100000000000001" customHeight="1">
      <c r="C18" s="3" t="s">
        <v>62</v>
      </c>
      <c r="D18" s="30"/>
      <c r="E18" s="85"/>
      <c r="F18" s="86"/>
      <c r="G18" s="86"/>
      <c r="H18" s="87"/>
      <c r="I18" s="94"/>
      <c r="J18" s="94"/>
      <c r="K18" s="95"/>
      <c r="L18" t="str">
        <f t="shared" si="1"/>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3:15" ht="17.100000000000001" customHeight="1">
      <c r="C19" s="3" t="s">
        <v>63</v>
      </c>
      <c r="D19" s="58"/>
      <c r="E19" s="96"/>
      <c r="F19" s="97"/>
      <c r="G19" s="97"/>
      <c r="H19" s="98"/>
      <c r="I19" s="97"/>
      <c r="J19" s="97"/>
      <c r="K19" s="98"/>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3:15" ht="6.95" customHeight="1" thickBot="1">
      <c r="D20" s="76"/>
      <c r="E20" s="77"/>
      <c r="F20" s="78"/>
      <c r="G20" s="78"/>
      <c r="H20" s="78"/>
      <c r="I20" s="78"/>
      <c r="J20" s="78"/>
      <c r="K20" s="79"/>
      <c r="N20" s="5"/>
      <c r="O20" s="5"/>
    </row>
    <row r="21" spans="3:15" ht="12.95" thickBot="1">
      <c r="D21" s="104" t="s">
        <v>64</v>
      </c>
      <c r="E21" s="105"/>
      <c r="F21" s="105"/>
      <c r="G21" s="105"/>
      <c r="H21" s="105"/>
      <c r="I21" s="104" t="s">
        <v>65</v>
      </c>
      <c r="J21" s="105"/>
      <c r="K21" s="106"/>
    </row>
    <row r="22" spans="3:15" ht="12.95" thickBot="1">
      <c r="D22" s="6" t="s">
        <v>18</v>
      </c>
      <c r="E22" s="7" t="s">
        <v>19</v>
      </c>
      <c r="F22" s="74" t="s">
        <v>20</v>
      </c>
      <c r="G22" s="74" t="s">
        <v>21</v>
      </c>
      <c r="H22" s="75" t="s">
        <v>22</v>
      </c>
      <c r="I22" s="7" t="s">
        <v>23</v>
      </c>
      <c r="J22" s="7" t="s">
        <v>24</v>
      </c>
      <c r="K22" s="8" t="s">
        <v>25</v>
      </c>
      <c r="L22" t="s">
        <v>26</v>
      </c>
      <c r="M22" t="s">
        <v>27</v>
      </c>
      <c r="N22" t="s">
        <v>28</v>
      </c>
      <c r="O22" t="s">
        <v>29</v>
      </c>
    </row>
    <row r="23" spans="3:15" ht="15">
      <c r="D23" s="30"/>
      <c r="E23" s="85"/>
      <c r="F23" s="86"/>
      <c r="G23" s="86"/>
      <c r="H23" s="87"/>
      <c r="I23" s="94"/>
      <c r="J23" s="94"/>
      <c r="K23" s="95"/>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100000000000001" customHeight="1">
      <c r="D24" s="30"/>
      <c r="E24" s="85"/>
      <c r="F24" s="86"/>
      <c r="G24" s="86"/>
      <c r="H24" s="87"/>
      <c r="I24" s="94"/>
      <c r="J24" s="94"/>
      <c r="K24" s="95"/>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100000000000001" customHeight="1">
      <c r="D25" s="30"/>
      <c r="E25" s="85"/>
      <c r="F25" s="86"/>
      <c r="G25" s="86"/>
      <c r="H25" s="87"/>
      <c r="I25" s="94"/>
      <c r="J25" s="94"/>
      <c r="K25" s="95"/>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100000000000001" customHeight="1">
      <c r="D26" s="30"/>
      <c r="E26" s="85"/>
      <c r="F26" s="86"/>
      <c r="G26" s="86"/>
      <c r="H26" s="87"/>
      <c r="I26" s="94"/>
      <c r="J26" s="94"/>
      <c r="K26" s="95"/>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100000000000001" customHeight="1">
      <c r="D27" s="30"/>
      <c r="E27" s="85"/>
      <c r="F27" s="86"/>
      <c r="G27" s="86"/>
      <c r="H27" s="87"/>
      <c r="I27" s="94"/>
      <c r="J27" s="94"/>
      <c r="K27" s="95"/>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100000000000001" customHeight="1">
      <c r="D28" s="30"/>
      <c r="E28" s="85"/>
      <c r="F28" s="86"/>
      <c r="G28" s="86"/>
      <c r="H28" s="87"/>
      <c r="I28" s="94"/>
      <c r="J28" s="94"/>
      <c r="K28" s="95"/>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100000000000001" customHeight="1">
      <c r="D29" s="30"/>
      <c r="E29" s="85"/>
      <c r="F29" s="86"/>
      <c r="G29" s="86"/>
      <c r="H29" s="87"/>
      <c r="I29" s="94"/>
      <c r="J29" s="94"/>
      <c r="K29" s="95"/>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100000000000001" customHeight="1">
      <c r="D30" s="30"/>
      <c r="E30" s="85"/>
      <c r="F30" s="86"/>
      <c r="G30" s="86"/>
      <c r="H30" s="87"/>
      <c r="I30" s="94"/>
      <c r="J30" s="94"/>
      <c r="K30" s="95"/>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100000000000001" customHeight="1">
      <c r="D31" s="30"/>
      <c r="E31" s="85"/>
      <c r="F31" s="86"/>
      <c r="G31" s="86"/>
      <c r="H31" s="87"/>
      <c r="I31" s="94"/>
      <c r="J31" s="94"/>
      <c r="K31" s="95"/>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100000000000001" customHeight="1" thickBot="1">
      <c r="D32" s="58"/>
      <c r="E32" s="96"/>
      <c r="F32" s="97"/>
      <c r="G32" s="97"/>
      <c r="H32" s="98"/>
      <c r="I32" s="97"/>
      <c r="J32" s="97"/>
      <c r="K32" s="98"/>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topLeftCell="A6" zoomScale="92" zoomScaleNormal="92" zoomScalePageLayoutView="92" workbookViewId="0">
      <selection activeCell="B1" sqref="A1:G1048576"/>
    </sheetView>
  </sheetViews>
  <sheetFormatPr defaultColWidth="8.85546875" defaultRowHeight="12"/>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2" max="12" width="19.5703125" bestFit="1" customWidth="1"/>
    <col min="18" max="19" width="8.85546875" customWidth="1"/>
  </cols>
  <sheetData>
    <row r="1" spans="1:22" ht="18.95" thickBot="1">
      <c r="A1" s="110" t="s">
        <v>66</v>
      </c>
      <c r="B1" s="110"/>
      <c r="C1" s="110"/>
      <c r="D1" s="110"/>
      <c r="E1" s="110"/>
      <c r="F1" s="110"/>
      <c r="G1" s="110"/>
      <c r="H1" s="31" t="s">
        <v>67</v>
      </c>
    </row>
    <row r="2" spans="1:22" ht="33.75" customHeight="1" thickBot="1">
      <c r="A2" s="84" t="s">
        <v>68</v>
      </c>
      <c r="B2" s="9" t="s">
        <v>26</v>
      </c>
      <c r="C2" s="9" t="s">
        <v>27</v>
      </c>
      <c r="D2" s="9" t="s">
        <v>19</v>
      </c>
      <c r="E2" s="9" t="s">
        <v>69</v>
      </c>
      <c r="F2" s="9" t="s">
        <v>70</v>
      </c>
      <c r="G2" s="84" t="s">
        <v>71</v>
      </c>
      <c r="H2" s="31" t="s">
        <v>67</v>
      </c>
      <c r="K2" s="108" t="s">
        <v>72</v>
      </c>
      <c r="L2" s="108"/>
      <c r="M2" s="108"/>
      <c r="N2" s="108"/>
      <c r="O2" s="108"/>
      <c r="P2" s="108"/>
      <c r="Q2" s="108"/>
      <c r="R2" s="108"/>
      <c r="S2" s="108"/>
      <c r="T2" s="108"/>
      <c r="U2" s="108"/>
    </row>
    <row r="3" spans="1:22" ht="36" customHeight="1">
      <c r="A3" s="34"/>
      <c r="B3" s="35">
        <f ca="1">Control_1 Open_time</f>
        <v>44716.34375</v>
      </c>
      <c r="C3" s="35">
        <f ca="1">Control_1 Close_time</f>
        <v>44716.385416666664</v>
      </c>
      <c r="D3" s="36"/>
      <c r="E3" s="37" t="str">
        <f ca="1">IF(ISBLANK(Control_1 Establishment_1),"",Control_1 Establishment_1)</f>
        <v/>
      </c>
      <c r="F3" s="37" t="str">
        <f>IF(ISBLANK('Control Entry'!I10),"",'Control Entry'!I10)</f>
        <v/>
      </c>
      <c r="G3" s="10"/>
      <c r="H3" s="31" t="s">
        <v>67</v>
      </c>
      <c r="K3" s="16"/>
      <c r="O3" s="116" t="s">
        <v>73</v>
      </c>
      <c r="P3" s="116"/>
      <c r="Q3" s="116"/>
      <c r="R3" s="116"/>
      <c r="S3" s="73" t="str">
        <f>IF(ISBLANK('Control Entry'!D23),"","#1")</f>
        <v/>
      </c>
      <c r="U3" s="47"/>
    </row>
    <row r="4" spans="1:22" ht="36" customHeight="1">
      <c r="A4" s="43">
        <f ca="1">IF(ISBLANK(Distance Control_1),"",Control_1 Distance)</f>
        <v>0</v>
      </c>
      <c r="B4" s="44">
        <f ca="1">Control_1 Open_time</f>
        <v>44716.34375</v>
      </c>
      <c r="C4" s="44">
        <f ca="1">Control_1 Close_time</f>
        <v>44716.385416666664</v>
      </c>
      <c r="D4" s="45" t="str">
        <f ca="1">IF(ISBLANK(Locale Control_1),"",Locale Control_1)</f>
        <v>Langdale Ferry Terminal</v>
      </c>
      <c r="E4" s="37" t="str">
        <f ca="1">IF(ISBLANK(Control_1 Establishment_2),"",Control_1 Establishment_2)</f>
        <v>Short Term Parking Lot</v>
      </c>
      <c r="F4" s="37" t="str">
        <f>IF(ISBLANK('Control Entry'!J10),"",'Control Entry'!J10)</f>
        <v/>
      </c>
      <c r="G4" s="10"/>
      <c r="H4" s="31" t="s">
        <v>67</v>
      </c>
      <c r="K4" s="16"/>
      <c r="M4" s="112" t="str">
        <f>IF(ISBLANK(brevet),"",brevet&amp;" km Randonnée")</f>
        <v>200 km Randonnée</v>
      </c>
      <c r="N4" s="112"/>
      <c r="O4" s="112"/>
      <c r="P4" s="112"/>
      <c r="Q4" s="112"/>
      <c r="R4" s="112"/>
      <c r="S4" s="112"/>
      <c r="T4" s="112"/>
      <c r="U4" s="48"/>
    </row>
    <row r="5" spans="1:22" ht="36" customHeight="1" thickBot="1">
      <c r="A5" s="38"/>
      <c r="B5" s="39">
        <f ca="1">Control_1 Open_time</f>
        <v>44716.34375</v>
      </c>
      <c r="C5" s="39">
        <f ca="1">Control_1 Close_time</f>
        <v>44716.385416666664</v>
      </c>
      <c r="D5" s="40"/>
      <c r="E5" s="41" t="str">
        <f ca="1">IF(ISBLANK(Control_1 Establishment_3),"",Control_1 Establishment_3)</f>
        <v/>
      </c>
      <c r="F5" s="88" t="str">
        <f>IF(ISBLANK('Control Entry'!K10),"",'Control Entry'!K10)</f>
        <v/>
      </c>
      <c r="G5" s="11"/>
      <c r="H5" s="31" t="s">
        <v>67</v>
      </c>
      <c r="K5" s="16"/>
      <c r="M5" s="17"/>
      <c r="N5" s="114" t="s">
        <v>74</v>
      </c>
      <c r="O5" s="114"/>
      <c r="P5" s="71">
        <f>IF(ISBLANK(Brevet_Number),"",Brevet_Number)</f>
        <v>5143</v>
      </c>
      <c r="Q5" s="72"/>
      <c r="R5" s="107">
        <f>IF(ISBLANK('Control Entry'!$B5),"",'Control Entry'!$B5)</f>
        <v>44716</v>
      </c>
      <c r="S5" s="107"/>
      <c r="T5" s="107"/>
      <c r="U5" s="107"/>
      <c r="V5" s="49"/>
    </row>
    <row r="6" spans="1:22" ht="36" customHeight="1">
      <c r="A6" s="34"/>
      <c r="B6" s="35">
        <f ca="1">Control_2 Open_time</f>
        <v>44716.392361111109</v>
      </c>
      <c r="C6" s="35">
        <f ca="1">Control_2 Close_time</f>
        <v>44716.453472222223</v>
      </c>
      <c r="D6" s="42"/>
      <c r="E6" s="37" t="str">
        <f ca="1">IF(ISBLANK(Control_2 Establishment_1),"",Control_2 Establishment_1)</f>
        <v>Conner Park</v>
      </c>
      <c r="F6" s="37" t="str">
        <f>IF(ISBLANK('Control Entry'!I11),"",'Control Entry'!I11)</f>
        <v/>
      </c>
      <c r="G6" s="10"/>
      <c r="H6" s="31" t="s">
        <v>67</v>
      </c>
      <c r="K6" s="16"/>
      <c r="L6" s="119" t="str">
        <f>IF(ISBLANK(Brevet_Description),"",Brevet_Description)</f>
        <v>Sunshine Coast 200</v>
      </c>
      <c r="M6" s="119"/>
      <c r="N6" s="119"/>
      <c r="O6" s="119"/>
      <c r="P6" s="119"/>
      <c r="Q6" s="119"/>
      <c r="R6" s="119"/>
      <c r="S6" s="119"/>
      <c r="T6" s="119"/>
      <c r="U6" s="119"/>
    </row>
    <row r="7" spans="1:22" ht="36" customHeight="1">
      <c r="A7" s="43">
        <f ca="1">IF(ISBLANK(Distance Control_2),"",Control_2 Distance)</f>
        <v>39.5</v>
      </c>
      <c r="B7" s="44">
        <f ca="1">Control_2 Open_time</f>
        <v>44716.392361111109</v>
      </c>
      <c r="C7" s="44">
        <f ca="1">Control_2 Close_time</f>
        <v>44716.453472222223</v>
      </c>
      <c r="D7" s="45" t="str">
        <f ca="1">IF(ISBLANK(Locale Control_2),"",Locale Control_2)</f>
        <v>Halfmoon Bay</v>
      </c>
      <c r="E7" s="37" t="str">
        <f ca="1">IF(ISBLANK(Control_2 Establishment_2),"",Control_2 Establishment_2)</f>
        <v>Washrooms/Picnic tables</v>
      </c>
      <c r="F7" s="37" t="str">
        <f>IF(ISBLANK('Control Entry'!J11),"",'Control Entry'!J11)</f>
        <v/>
      </c>
      <c r="G7" s="10"/>
      <c r="H7" s="31" t="s">
        <v>67</v>
      </c>
    </row>
    <row r="8" spans="1:22" ht="36" customHeight="1" thickBot="1">
      <c r="A8" s="38"/>
      <c r="B8" s="39">
        <f ca="1">Control_2 Open_time</f>
        <v>44716.392361111109</v>
      </c>
      <c r="C8" s="39">
        <f ca="1">Control_2 Close_time</f>
        <v>44716.453472222223</v>
      </c>
      <c r="D8" s="40"/>
      <c r="E8" s="41" t="str">
        <f ca="1">IF(ISBLANK(Control_2 Establishment_3),"",Control_2 Establishment_3)</f>
        <v>Defbrillator funded by SC Community ______</v>
      </c>
      <c r="F8" s="41" t="str">
        <f>IF(ISBLANK('Control Entry'!K11),"",'Control Entry'!K11)</f>
        <v/>
      </c>
      <c r="G8" s="11"/>
      <c r="H8" s="31" t="s">
        <v>67</v>
      </c>
      <c r="J8" s="17" t="s">
        <v>75</v>
      </c>
      <c r="L8" s="109"/>
      <c r="M8" s="109"/>
      <c r="N8" s="109"/>
      <c r="O8" s="109"/>
      <c r="P8" s="109"/>
      <c r="Q8" s="109"/>
      <c r="S8" s="50" t="s">
        <v>76</v>
      </c>
      <c r="T8" s="125"/>
      <c r="U8" s="125"/>
    </row>
    <row r="9" spans="1:22" ht="36" customHeight="1" thickBot="1">
      <c r="A9" s="34"/>
      <c r="B9" s="35">
        <f ca="1">Control_3 Open_time</f>
        <v>44716.453472222223</v>
      </c>
      <c r="C9" s="35">
        <f ca="1">Control_3 Close_time</f>
        <v>44716.593055555553</v>
      </c>
      <c r="D9" s="42"/>
      <c r="E9" s="37" t="str">
        <f ca="1">IF(ISBLANK(Control_3 Establishment_1),"",Control_3 Establishment_1)</f>
        <v>Info Control</v>
      </c>
      <c r="F9" s="37" t="str">
        <f>IF(ISBLANK('Control Entry'!I12),"",'Control Entry'!I12)</f>
        <v/>
      </c>
      <c r="G9" s="10"/>
      <c r="H9" s="31" t="s">
        <v>67</v>
      </c>
      <c r="J9" s="17" t="s">
        <v>77</v>
      </c>
      <c r="K9" s="17"/>
      <c r="L9" s="59" t="s">
        <v>78</v>
      </c>
      <c r="M9" s="23"/>
      <c r="N9" s="23"/>
      <c r="O9" s="23"/>
      <c r="P9" s="23"/>
      <c r="Q9" s="23"/>
      <c r="R9" s="23"/>
      <c r="S9" s="23"/>
      <c r="T9" s="23"/>
      <c r="U9" s="21"/>
    </row>
    <row r="10" spans="1:22" ht="36" customHeight="1" thickBot="1">
      <c r="A10" s="43">
        <f ca="1">IF(ISBLANK(Distance Control_3),"",Control_3 Distance)</f>
        <v>89.8</v>
      </c>
      <c r="B10" s="44">
        <f ca="1">Control_3 Open_time</f>
        <v>44716.453472222223</v>
      </c>
      <c r="C10" s="44">
        <f ca="1">Control_3 Close_time</f>
        <v>44716.593055555553</v>
      </c>
      <c r="D10" s="45" t="str">
        <f ca="1">IF(ISBLANK(Locale Control_3),"",Locale Control_3)</f>
        <v>Egmont</v>
      </c>
      <c r="E10" s="37" t="str">
        <f ca="1">IF(ISBLANK(Control_3 Establishment_2),"",Control_3 Establishment_2)</f>
        <v>BathGate Store</v>
      </c>
      <c r="F10" s="37" t="str">
        <f>IF(ISBLANK('Control Entry'!J12),"",'Control Entry'!J12)</f>
        <v/>
      </c>
      <c r="G10" s="10"/>
      <c r="H10" s="31" t="s">
        <v>67</v>
      </c>
      <c r="J10" s="17"/>
      <c r="K10" s="17"/>
      <c r="L10" s="32"/>
      <c r="M10" s="23"/>
      <c r="N10" s="23"/>
      <c r="O10" s="23"/>
      <c r="P10" s="23"/>
      <c r="Q10" s="23"/>
      <c r="R10" s="23"/>
      <c r="S10" s="23"/>
      <c r="T10" s="23"/>
      <c r="U10" s="21"/>
    </row>
    <row r="11" spans="1:22" ht="36" customHeight="1" thickBot="1">
      <c r="A11" s="38"/>
      <c r="B11" s="39">
        <f ca="1">Control_3 Open_time</f>
        <v>44716.453472222223</v>
      </c>
      <c r="C11" s="39">
        <f ca="1">Control_3 Close_time</f>
        <v>44716.593055555553</v>
      </c>
      <c r="D11" s="40"/>
      <c r="E11" s="41" t="str">
        <f ca="1">IF(ISBLANK(Control_3 Establishment_3),"",Control_3 Establishment_3)</f>
        <v>Bathgate General Store and _____</v>
      </c>
      <c r="F11" s="41" t="str">
        <f>IF(ISBLANK('Control Entry'!K12),"",'Control Entry'!K12)</f>
        <v/>
      </c>
      <c r="G11" s="11"/>
      <c r="H11" s="31" t="s">
        <v>67</v>
      </c>
      <c r="J11" s="17" t="s">
        <v>79</v>
      </c>
      <c r="K11" s="17"/>
      <c r="L11" s="32"/>
      <c r="M11" s="23"/>
      <c r="N11" s="23"/>
      <c r="O11" s="17"/>
      <c r="P11" s="17" t="s">
        <v>80</v>
      </c>
      <c r="Q11" s="17"/>
      <c r="R11" s="17"/>
      <c r="S11" s="52"/>
      <c r="T11" s="32"/>
      <c r="U11" s="21"/>
    </row>
    <row r="12" spans="1:22" ht="36" customHeight="1" thickBot="1">
      <c r="A12" s="34"/>
      <c r="B12" s="35">
        <f ca="1">Control_4 Open_time</f>
        <v>44716.487500000003</v>
      </c>
      <c r="C12" s="35">
        <f ca="1">Control_4 Close_time</f>
        <v>44716.670138888891</v>
      </c>
      <c r="D12" s="42"/>
      <c r="E12" s="37" t="str">
        <f ca="1">IF(ISBLANK(Control_4 Establishment_1),"",Control_4 Establishment_1)</f>
        <v/>
      </c>
      <c r="F12" s="37" t="str">
        <f>IF(ISBLANK('Control Entry'!I13),"",'Control Entry'!I13)</f>
        <v/>
      </c>
      <c r="G12" s="10"/>
      <c r="H12" s="31" t="s">
        <v>67</v>
      </c>
      <c r="J12" s="17" t="s">
        <v>81</v>
      </c>
      <c r="K12" s="17"/>
      <c r="L12" s="32"/>
      <c r="M12" s="23"/>
      <c r="N12" s="23"/>
      <c r="O12" s="17"/>
      <c r="P12" s="17" t="s">
        <v>82</v>
      </c>
      <c r="Q12" s="17"/>
      <c r="R12" s="17"/>
      <c r="S12" s="52"/>
      <c r="T12" s="32"/>
      <c r="U12" s="21"/>
    </row>
    <row r="13" spans="1:22" ht="36" customHeight="1" thickBot="1">
      <c r="A13" s="43">
        <f ca="1">IF(ISBLANK(Distance Control_4),"",Control_4 Distance)</f>
        <v>117.5</v>
      </c>
      <c r="B13" s="44">
        <f ca="1">Control_4 Open_time</f>
        <v>44716.487500000003</v>
      </c>
      <c r="C13" s="44">
        <f ca="1">Control_4 Close_time</f>
        <v>44716.670138888891</v>
      </c>
      <c r="D13" s="45" t="str">
        <f ca="1">IF(ISBLANK(Locale Control_4),"",Locale Control_4)</f>
        <v>Garden Bay</v>
      </c>
      <c r="E13" s="37" t="str">
        <f ca="1">IF(ISBLANK(Control_4 Establishment_2),"",Control_4 Establishment_2)</f>
        <v>Paul's House</v>
      </c>
      <c r="F13" s="37" t="str">
        <f>IF(ISBLANK('Control Entry'!J13),"",'Control Entry'!J13)</f>
        <v/>
      </c>
      <c r="G13" s="10"/>
      <c r="H13" s="31" t="s">
        <v>67</v>
      </c>
      <c r="J13" s="17" t="s">
        <v>83</v>
      </c>
      <c r="L13" s="69"/>
      <c r="M13" s="70"/>
      <c r="N13" s="70"/>
      <c r="P13" s="17" t="s">
        <v>84</v>
      </c>
      <c r="Q13" s="17"/>
      <c r="R13" s="33"/>
      <c r="S13" s="18"/>
      <c r="T13" s="18"/>
      <c r="U13" s="22"/>
    </row>
    <row r="14" spans="1:22" ht="36" customHeight="1" thickBot="1">
      <c r="A14" s="38"/>
      <c r="B14" s="39">
        <f ca="1">Control_4 Open_time</f>
        <v>44716.487500000003</v>
      </c>
      <c r="C14" s="39">
        <f ca="1">Control_4 Close_time</f>
        <v>44716.670138888891</v>
      </c>
      <c r="D14" s="40"/>
      <c r="E14" s="41" t="str">
        <f ca="1">IF(ISBLANK(Control_4 Establishment_3),"",Control_4 Establishment_3)</f>
        <v/>
      </c>
      <c r="F14" s="88" t="str">
        <f>IF(ISBLANK('Control Entry'!K13),"",'Control Entry'!K13)</f>
        <v/>
      </c>
      <c r="G14" s="11"/>
      <c r="H14" s="31" t="s">
        <v>67</v>
      </c>
    </row>
    <row r="15" spans="1:22" ht="36" customHeight="1">
      <c r="A15" s="34"/>
      <c r="B15" s="35">
        <f ca="1">Control_5 Open_time</f>
        <v>44716.510416666664</v>
      </c>
      <c r="C15" s="35">
        <f ca="1">Control_5 Close_time</f>
        <v>44716.72152777778</v>
      </c>
      <c r="D15" s="42"/>
      <c r="E15" s="37" t="str">
        <f ca="1">IF(ISBLANK(Control_5 Establishment_1),"",Control_5 Establishment_1)</f>
        <v>Info Control</v>
      </c>
      <c r="F15" s="37" t="str">
        <f>IF(ISBLANK('Control Entry'!I14),"",'Control Entry'!I14)</f>
        <v/>
      </c>
      <c r="G15" s="10"/>
      <c r="H15" s="31" t="s">
        <v>67</v>
      </c>
      <c r="J15" s="17"/>
      <c r="L15" s="118" t="s">
        <v>85</v>
      </c>
      <c r="M15" s="118"/>
      <c r="N15" s="118"/>
      <c r="O15" s="118"/>
      <c r="P15" s="118"/>
      <c r="Q15" s="118"/>
      <c r="R15" s="118"/>
      <c r="S15" s="118"/>
      <c r="T15" s="118"/>
      <c r="U15" s="118"/>
    </row>
    <row r="16" spans="1:22" ht="36" customHeight="1" thickBot="1">
      <c r="A16" s="43">
        <f ca="1">IF(ISBLANK(Distance Control_5),"",Control_5 Distance)</f>
        <v>136</v>
      </c>
      <c r="B16" s="44">
        <f ca="1">Control_5 Open_time</f>
        <v>44716.510416666664</v>
      </c>
      <c r="C16" s="44">
        <f ca="1">Control_5 Close_time</f>
        <v>44716.72152777778</v>
      </c>
      <c r="D16" s="45" t="str">
        <f ca="1">IF(ISBLANK(Locale Control_5),"",Locale Control_5)</f>
        <v>Francis Peninsula</v>
      </c>
      <c r="E16" s="37" t="str">
        <f ca="1">IF(ISBLANK(Control_5 Establishment_2),"",Control_5 Establishment_2)</f>
        <v>4163 Francis Pen Rd.</v>
      </c>
      <c r="F16" s="37" t="str">
        <f>IF(ISBLANK('Control Entry'!J14),"",'Control Entry'!J14)</f>
        <v/>
      </c>
      <c r="G16" s="10"/>
      <c r="H16" s="31" t="s">
        <v>67</v>
      </c>
      <c r="L16" s="64"/>
      <c r="M16" s="64"/>
      <c r="N16" s="64"/>
      <c r="O16" s="64"/>
      <c r="P16" s="64"/>
      <c r="Q16" s="65"/>
      <c r="R16" s="65"/>
      <c r="S16" s="65"/>
      <c r="T16" s="65"/>
      <c r="U16" s="65"/>
    </row>
    <row r="17" spans="1:22" ht="36" customHeight="1" thickBot="1">
      <c r="A17" s="38"/>
      <c r="B17" s="39">
        <f ca="1">Control_5 Open_time</f>
        <v>44716.510416666664</v>
      </c>
      <c r="C17" s="39">
        <f ca="1">Control_5 Close_time</f>
        <v>44716.72152777778</v>
      </c>
      <c r="D17" s="40"/>
      <c r="E17" s="41" t="str">
        <f ca="1">IF(ISBLANK(Control_5 Establishment_3),"",Control_5 Establishment_3)</f>
        <v># on Telephone Pole</v>
      </c>
      <c r="F17" s="41" t="str">
        <f>IF(ISBLANK('Control Entry'!K14),"",'Control Entry'!K14)</f>
        <v/>
      </c>
      <c r="G17" s="11"/>
      <c r="H17" s="31" t="s">
        <v>67</v>
      </c>
    </row>
    <row r="18" spans="1:22" ht="36" customHeight="1">
      <c r="A18" s="34"/>
      <c r="B18" s="35">
        <f ca="1">Control_6 Open_time</f>
        <v>44716.570138888892</v>
      </c>
      <c r="C18" s="35">
        <f ca="1">Control_6 Close_time</f>
        <v>44716.856944444444</v>
      </c>
      <c r="D18" s="42"/>
      <c r="E18" s="37" t="str">
        <f ca="1">IF(ISBLANK(Control_6 Establishment_1),"",Control_6 Establishment_1)</f>
        <v>Info Control</v>
      </c>
      <c r="F18" s="37" t="str">
        <f>IF(ISBLANK('Control Entry'!I15),"",'Control Entry'!I15)</f>
        <v/>
      </c>
      <c r="G18" s="10"/>
      <c r="H18" s="31" t="s">
        <v>67</v>
      </c>
    </row>
    <row r="19" spans="1:22" ht="36" customHeight="1">
      <c r="A19" s="43">
        <f ca="1">IF(ISBLANK(Distance Control_6),"",Control_6 Distance)</f>
        <v>184.8</v>
      </c>
      <c r="B19" s="44">
        <f ca="1">Control_6 Open_time</f>
        <v>44716.570138888892</v>
      </c>
      <c r="C19" s="44">
        <f ca="1">Control_6 Close_time</f>
        <v>44716.856944444444</v>
      </c>
      <c r="D19" s="45" t="str">
        <f ca="1">IF(ISBLANK(Locale Control_6),"",Locale Control_6)</f>
        <v>Robert's Creek</v>
      </c>
      <c r="E19" s="37" t="str">
        <f ca="1">IF(ISBLANK(Control_6 Establishment_2),"",Control_6 Establishment_2)</f>
        <v>1540 Henderson Road</v>
      </c>
      <c r="F19" s="37" t="str">
        <f>IF(ISBLANK('Control Entry'!J15),"",'Control Entry'!J15)</f>
        <v/>
      </c>
      <c r="G19" s="10"/>
      <c r="H19" s="31" t="s">
        <v>67</v>
      </c>
    </row>
    <row r="20" spans="1:22" ht="36" customHeight="1">
      <c r="A20" s="38"/>
      <c r="B20" s="39">
        <f ca="1">Control_6 Open_time</f>
        <v>44716.570138888892</v>
      </c>
      <c r="C20" s="39">
        <f ca="1">Control_6 Close_time</f>
        <v>44716.856944444444</v>
      </c>
      <c r="D20" s="40"/>
      <c r="E20" s="41" t="str">
        <f ca="1">IF(ISBLANK(Control_6 Establishment_3),"",Control_6 Establishment_3)</f>
        <v>Name on driveway sign</v>
      </c>
      <c r="F20" s="41" t="str">
        <f>IF(ISBLANK('Control Entry'!K15),"",'Control Entry'!K15)</f>
        <v/>
      </c>
      <c r="G20" s="11"/>
      <c r="H20" s="31" t="s">
        <v>67</v>
      </c>
      <c r="J20" s="63" t="s">
        <v>86</v>
      </c>
      <c r="K20" s="63"/>
      <c r="L20" s="66">
        <v>44716</v>
      </c>
      <c r="M20" s="66"/>
      <c r="N20" s="66"/>
      <c r="P20" s="17" t="s">
        <v>87</v>
      </c>
      <c r="Q20" s="17"/>
      <c r="S20" s="117">
        <v>0.34375</v>
      </c>
      <c r="T20" s="117"/>
      <c r="U20" s="117"/>
    </row>
    <row r="21" spans="1:22" ht="36" customHeight="1">
      <c r="A21" s="34"/>
      <c r="B21" s="35">
        <f ca="1">Control_7 Open_time</f>
        <v>44716.589583333334</v>
      </c>
      <c r="C21" s="35">
        <f ca="1">Control_7 Close_time</f>
        <v>44716.90625</v>
      </c>
      <c r="D21" s="42"/>
      <c r="E21" s="37" t="str">
        <f ca="1">IF(ISBLANK(Control_7 Establishment_1),"",Control_7 Establishment_1)</f>
        <v/>
      </c>
      <c r="F21" s="37" t="str">
        <f>IF(ISBLANK('Control Entry'!I16),"",'Control Entry'!I16)</f>
        <v/>
      </c>
      <c r="G21" s="10"/>
      <c r="H21" s="31" t="s">
        <v>67</v>
      </c>
      <c r="J21" s="63"/>
      <c r="K21" s="63"/>
      <c r="L21" s="55"/>
      <c r="M21" s="55"/>
      <c r="N21" s="55"/>
      <c r="P21" s="17"/>
      <c r="Q21" s="17"/>
      <c r="S21" s="67"/>
      <c r="T21" s="67"/>
      <c r="U21" s="67"/>
    </row>
    <row r="22" spans="1:22" ht="36" customHeight="1" thickBot="1">
      <c r="A22" s="43">
        <f ca="1">IF(ISBLANK(Distance Control_7),"",Control_7 Distance)</f>
        <v>200.3</v>
      </c>
      <c r="B22" s="44">
        <f ca="1">Control_7 Open_time</f>
        <v>44716.589583333334</v>
      </c>
      <c r="C22" s="44">
        <f ca="1">Control_7 Close_time</f>
        <v>44716.90625</v>
      </c>
      <c r="D22" s="45" t="str">
        <f ca="1">IF(ISBLANK(Locale Control_7),"",Locale Control_7)</f>
        <v>Gibsons</v>
      </c>
      <c r="E22" s="37" t="str">
        <f ca="1">IF(ISBLANK(Control_7 Establishment_2),"",Control_7 Establishment_2)</f>
        <v>Persephone Brewing</v>
      </c>
      <c r="F22" s="37" t="str">
        <f>IF(ISBLANK('Control Entry'!J16),"",'Control Entry'!J16)</f>
        <v/>
      </c>
      <c r="G22" s="10"/>
      <c r="H22" s="31" t="s">
        <v>67</v>
      </c>
      <c r="J22" s="63" t="s">
        <v>88</v>
      </c>
      <c r="K22" s="63"/>
      <c r="L22" s="66"/>
      <c r="M22" s="66"/>
      <c r="N22" s="66"/>
      <c r="P22" s="17" t="s">
        <v>89</v>
      </c>
      <c r="Q22" s="17"/>
      <c r="S22" s="68"/>
      <c r="T22" s="68"/>
      <c r="U22" s="68"/>
    </row>
    <row r="23" spans="1:22" ht="36" customHeight="1" thickBot="1">
      <c r="A23" s="38"/>
      <c r="B23" s="39">
        <f ca="1">Control_7 Open_time</f>
        <v>44716.589583333334</v>
      </c>
      <c r="C23" s="39">
        <f ca="1">Control_7 Close_time</f>
        <v>44716.90625</v>
      </c>
      <c r="D23" s="40"/>
      <c r="E23" s="41" t="str">
        <f ca="1">IF(ISBLANK(Control_7 Establishment_3),"",Control_7 Establishment_3)</f>
        <v/>
      </c>
      <c r="F23" s="41" t="str">
        <f>IF(ISBLANK('Control Entry'!K16),"",'Control Entry'!K16)</f>
        <v/>
      </c>
      <c r="G23" s="11"/>
      <c r="H23" s="31" t="s">
        <v>67</v>
      </c>
      <c r="J23" s="63"/>
      <c r="K23" s="63"/>
      <c r="L23" s="55"/>
      <c r="M23" s="55"/>
      <c r="N23" s="55"/>
      <c r="P23" s="17"/>
      <c r="Q23" s="17"/>
    </row>
    <row r="24" spans="1:22" ht="36" customHeight="1" thickBot="1">
      <c r="A24" s="34"/>
      <c r="B24" s="35" t="str">
        <f ca="1">Control_8 Open_time</f>
        <v/>
      </c>
      <c r="C24" s="35" t="str">
        <f ca="1">Control_8 Close_time</f>
        <v/>
      </c>
      <c r="D24" s="42"/>
      <c r="E24" s="37" t="str">
        <f ca="1">IF(ISBLANK(Control_8 Establishment_1),"",Control_8 Establishment_1)</f>
        <v/>
      </c>
      <c r="F24" s="37" t="str">
        <f>IF(ISBLANK('Control Entry'!I17),"",'Control Entry'!I17)</f>
        <v/>
      </c>
      <c r="G24" s="10"/>
      <c r="H24" s="31" t="s">
        <v>67</v>
      </c>
      <c r="J24" s="18"/>
      <c r="K24" s="18"/>
      <c r="L24" s="18"/>
      <c r="M24" s="18"/>
      <c r="N24" s="18"/>
      <c r="P24" s="17" t="s">
        <v>90</v>
      </c>
      <c r="Q24" s="17"/>
      <c r="S24" s="18"/>
      <c r="T24" s="18"/>
      <c r="U24" s="18"/>
    </row>
    <row r="25" spans="1:22" ht="36" customHeight="1">
      <c r="A25" s="43" t="str">
        <f ca="1">IF(ISBLANK(Distance Control_8),"",Control_8 Distance)</f>
        <v/>
      </c>
      <c r="B25" s="44" t="str">
        <f ca="1">Control_8 Open_time</f>
        <v/>
      </c>
      <c r="C25" s="44" t="str">
        <f ca="1">Control_8 Close_time</f>
        <v/>
      </c>
      <c r="D25" s="45" t="str">
        <f ca="1">IF(ISBLANK(Locale Control_8),"",Locale Control_8)</f>
        <v/>
      </c>
      <c r="E25" s="61" t="str">
        <f ca="1">IF(ISBLANK(Control_8 Establishment_2),"",Control_8 Establishment_2)</f>
        <v/>
      </c>
      <c r="F25" s="37" t="str">
        <f>IF(ISBLANK('Control Entry'!J17),"",'Control Entry'!J17)</f>
        <v/>
      </c>
      <c r="G25" s="10"/>
      <c r="H25" s="31" t="s">
        <v>67</v>
      </c>
      <c r="J25" s="115" t="s">
        <v>91</v>
      </c>
      <c r="K25" s="115"/>
      <c r="L25" s="115"/>
      <c r="M25" s="115"/>
      <c r="N25" s="115"/>
      <c r="O25" s="57"/>
      <c r="P25" s="113"/>
      <c r="Q25" s="113"/>
      <c r="R25" s="57"/>
      <c r="S25" s="114"/>
      <c r="T25" s="114"/>
      <c r="U25" s="114"/>
      <c r="V25" s="114"/>
    </row>
    <row r="26" spans="1:22" ht="36" customHeight="1" thickBot="1">
      <c r="A26" s="38"/>
      <c r="B26" s="39" t="str">
        <f ca="1">Control_8 Open_time</f>
        <v/>
      </c>
      <c r="C26" s="39" t="str">
        <f ca="1">Control_8 Close_time</f>
        <v/>
      </c>
      <c r="D26" s="40"/>
      <c r="E26" s="41" t="str">
        <f ca="1">IF(ISBLANK(Control_8 Establishment_3),"",Control_8 Establishment_3)</f>
        <v/>
      </c>
      <c r="F26" s="41" t="str">
        <f>IF(ISBLANK('Control Entry'!K17),"",'Control Entry'!K17)</f>
        <v/>
      </c>
      <c r="G26" s="11"/>
      <c r="H26" s="31" t="s">
        <v>67</v>
      </c>
    </row>
    <row r="27" spans="1:22" ht="36" customHeight="1">
      <c r="A27" s="34"/>
      <c r="B27" s="35" t="str">
        <f ca="1">Control_9 Open_time</f>
        <v/>
      </c>
      <c r="C27" s="35" t="str">
        <f ca="1">Control_9 Close_time</f>
        <v/>
      </c>
      <c r="D27" s="42"/>
      <c r="E27" s="37" t="str">
        <f ca="1">IF(ISBLANK(Control_9 Establishment_1),"",Control_9 Establishment_1)</f>
        <v/>
      </c>
      <c r="F27" s="37" t="str">
        <f>IF(ISBLANK('Control Entry'!I18),"",'Control Entry'!I18)</f>
        <v/>
      </c>
      <c r="G27" s="10"/>
      <c r="H27" s="31" t="s">
        <v>67</v>
      </c>
      <c r="K27" s="112" t="s">
        <v>92</v>
      </c>
      <c r="L27" s="113"/>
      <c r="M27" s="56" t="s">
        <v>93</v>
      </c>
      <c r="N27" s="113" t="s">
        <v>94</v>
      </c>
      <c r="O27" s="113"/>
      <c r="P27" s="113" t="s">
        <v>95</v>
      </c>
      <c r="Q27" s="113"/>
      <c r="R27" s="57" t="s">
        <v>96</v>
      </c>
      <c r="S27" s="114" t="s">
        <v>97</v>
      </c>
      <c r="T27" s="114"/>
      <c r="U27" s="114" t="s">
        <v>98</v>
      </c>
      <c r="V27" s="114"/>
    </row>
    <row r="28" spans="1:22" ht="36" customHeight="1">
      <c r="A28" s="43" t="str">
        <f ca="1">IF(ISBLANK(Distance Control_9),"",Control_9 Distance)</f>
        <v/>
      </c>
      <c r="B28" s="44" t="str">
        <f ca="1">Control_9 Open_time</f>
        <v/>
      </c>
      <c r="C28" s="44" t="str">
        <f ca="1">Control_9 Close_time</f>
        <v/>
      </c>
      <c r="D28" s="45" t="str">
        <f ca="1">IF(ISBLANK(Locale Control_9),"",Locale Control_9)</f>
        <v/>
      </c>
      <c r="E28" s="37" t="str">
        <f ca="1">IF(ISBLANK(Control_9 Establishment_2),"",Control_9 Establishment_2)</f>
        <v/>
      </c>
      <c r="F28" s="37" t="str">
        <f>IF(ISBLANK('Control Entry'!J18),"",'Control Entry'!J18)</f>
        <v/>
      </c>
      <c r="G28" s="10"/>
      <c r="H28" s="31" t="s">
        <v>67</v>
      </c>
    </row>
    <row r="29" spans="1:22" ht="36" customHeight="1" thickBot="1">
      <c r="A29" s="38"/>
      <c r="B29" s="39" t="str">
        <f ca="1">Control_9 Open_time</f>
        <v/>
      </c>
      <c r="C29" s="39" t="str">
        <f ca="1">Control_9 Close_time</f>
        <v/>
      </c>
      <c r="D29" s="40"/>
      <c r="E29" s="41" t="str">
        <f ca="1">IF(ISBLANK(Control_9 Establishment_3),"",Control_9 Establishment_3)</f>
        <v/>
      </c>
      <c r="F29" s="41" t="str">
        <f>IF(ISBLANK('Control Entry'!K18),"",'Control Entry'!K18)</f>
        <v/>
      </c>
      <c r="G29" s="11"/>
      <c r="H29" s="31" t="s">
        <v>67</v>
      </c>
      <c r="M29" s="120" t="s">
        <v>99</v>
      </c>
      <c r="N29" s="120"/>
      <c r="O29" s="120"/>
      <c r="P29" s="120"/>
      <c r="Q29" s="120"/>
      <c r="R29" s="120"/>
      <c r="S29" s="120"/>
      <c r="T29" s="120"/>
      <c r="U29" s="62"/>
    </row>
    <row r="30" spans="1:22" ht="36" customHeight="1">
      <c r="A30" s="34"/>
      <c r="B30" s="35" t="str">
        <f ca="1">Control_10 Open_time</f>
        <v/>
      </c>
      <c r="C30" s="35" t="str">
        <f ca="1">Control_10 Close_time</f>
        <v/>
      </c>
      <c r="D30" s="42"/>
      <c r="E30" s="37" t="str">
        <f ca="1">IF(ISBLANK(Control_10 Establishment_1),"",Control_10 Establishment_1)</f>
        <v/>
      </c>
      <c r="F30" s="37" t="str">
        <f>IF(ISBLANK('Control Entry'!I19),"",'Control Entry'!I19)</f>
        <v/>
      </c>
      <c r="G30" s="10"/>
      <c r="H30" s="31" t="s">
        <v>67</v>
      </c>
      <c r="M30" s="19"/>
      <c r="N30" s="24"/>
      <c r="O30" s="24"/>
      <c r="P30" s="25"/>
      <c r="Q30" s="24"/>
      <c r="R30" s="24"/>
      <c r="S30" s="24"/>
      <c r="T30" s="25"/>
    </row>
    <row r="31" spans="1:22" ht="36" customHeight="1">
      <c r="A31" s="43" t="str">
        <f ca="1">IF(ISBLANK(Distance Control_10),"",Control_10 Distance)</f>
        <v/>
      </c>
      <c r="B31" s="44" t="str">
        <f ca="1">Control_10 Open_time</f>
        <v/>
      </c>
      <c r="C31" s="44" t="str">
        <f ca="1">Control_10 Close_time</f>
        <v/>
      </c>
      <c r="D31" s="45" t="str">
        <f ca="1">IF(ISBLANK(Locale Control_10),"",Locale Control_10)</f>
        <v/>
      </c>
      <c r="E31" s="37" t="str">
        <f ca="1">IF(ISBLANK(Control_10 Establishment_2),"",Control_10 Establishment_2)</f>
        <v/>
      </c>
      <c r="F31" s="37" t="str">
        <f>IF(ISBLANK('Control Entry'!J19),"",'Control Entry'!J19)</f>
        <v/>
      </c>
      <c r="G31" s="10"/>
      <c r="H31" s="31" t="s">
        <v>67</v>
      </c>
      <c r="M31" s="20"/>
      <c r="P31" s="26"/>
      <c r="T31" s="26"/>
    </row>
    <row r="32" spans="1:22" ht="36" customHeight="1" thickBot="1">
      <c r="A32" s="38"/>
      <c r="B32" s="39" t="str">
        <f ca="1">Control_10 Open_time</f>
        <v/>
      </c>
      <c r="C32" s="39" t="str">
        <f ca="1">Control_10 Close_time</f>
        <v/>
      </c>
      <c r="D32" s="40"/>
      <c r="E32" s="41" t="str">
        <f ca="1">IF(ISBLANK(Control_10 Establishment_3),"",Control_10 Establishment_3)</f>
        <v/>
      </c>
      <c r="F32" s="41" t="str">
        <f>IF(ISBLANK('Control Entry'!K19),"",'Control Entry'!K19)</f>
        <v/>
      </c>
      <c r="G32" s="11"/>
      <c r="H32" s="31" t="s">
        <v>67</v>
      </c>
      <c r="M32" s="60"/>
      <c r="N32" s="18"/>
      <c r="O32" s="18"/>
      <c r="P32" s="27"/>
      <c r="Q32" s="18"/>
      <c r="R32" s="18"/>
      <c r="S32" s="18"/>
      <c r="T32" s="27"/>
    </row>
    <row r="33" spans="1:22" ht="36" customHeight="1">
      <c r="A33" s="111" t="s">
        <v>100</v>
      </c>
      <c r="B33" s="111"/>
      <c r="C33" s="111"/>
      <c r="D33" s="111"/>
      <c r="E33" s="111"/>
      <c r="F33" s="111"/>
      <c r="G33" s="111"/>
      <c r="H33" s="46"/>
      <c r="I33" s="46"/>
      <c r="N33" s="121"/>
      <c r="O33" s="121"/>
      <c r="P33" s="121"/>
      <c r="Q33" s="121"/>
      <c r="R33" s="121"/>
      <c r="S33" s="121"/>
      <c r="T33" s="121"/>
      <c r="U33" s="121"/>
      <c r="V33" s="55"/>
    </row>
    <row r="34" spans="1:22" ht="36" customHeight="1">
      <c r="A34"/>
      <c r="O34" s="17"/>
      <c r="P34" s="17"/>
      <c r="Q34" s="17"/>
      <c r="R34" s="53"/>
    </row>
    <row r="35" spans="1:22" ht="36" customHeight="1">
      <c r="A35"/>
      <c r="N35" s="120"/>
      <c r="O35" s="120"/>
      <c r="P35" s="120"/>
      <c r="Q35" s="120"/>
      <c r="R35" s="120"/>
      <c r="S35" s="120"/>
      <c r="T35" s="120"/>
      <c r="U35" s="120"/>
    </row>
    <row r="36" spans="1:22" ht="36" customHeight="1">
      <c r="A36"/>
    </row>
    <row r="37" spans="1:22" ht="36" customHeight="1">
      <c r="A37"/>
    </row>
    <row r="38" spans="1:22" ht="36" customHeight="1">
      <c r="A38"/>
      <c r="N38" s="17"/>
    </row>
    <row r="39" spans="1:22" ht="36" customHeight="1">
      <c r="A39"/>
    </row>
    <row r="40" spans="1:22" ht="36" customHeight="1">
      <c r="A40"/>
    </row>
  </sheetData>
  <mergeCells count="24">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s>
  <phoneticPr fontId="16" type="noConversion"/>
  <printOptions horizont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defaultColWidth="8.85546875" defaultRowHeight="12"/>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18.95" thickBot="1">
      <c r="A1" s="110" t="s">
        <v>66</v>
      </c>
      <c r="B1" s="110"/>
      <c r="C1" s="110"/>
      <c r="D1" s="110"/>
      <c r="E1" s="110"/>
      <c r="F1" s="110"/>
      <c r="G1" s="110"/>
      <c r="H1" s="31" t="s">
        <v>67</v>
      </c>
    </row>
    <row r="2" spans="1:22" ht="33.75" customHeight="1" thickBot="1">
      <c r="A2" s="84" t="s">
        <v>68</v>
      </c>
      <c r="B2" s="9" t="s">
        <v>26</v>
      </c>
      <c r="C2" s="9" t="s">
        <v>27</v>
      </c>
      <c r="D2" s="9" t="s">
        <v>19</v>
      </c>
      <c r="E2" s="9" t="s">
        <v>69</v>
      </c>
      <c r="F2" s="9" t="s">
        <v>70</v>
      </c>
      <c r="G2" s="84" t="s">
        <v>71</v>
      </c>
      <c r="H2" s="31" t="s">
        <v>67</v>
      </c>
      <c r="K2" s="108" t="s">
        <v>72</v>
      </c>
      <c r="L2" s="108"/>
      <c r="M2" s="108"/>
      <c r="N2" s="108"/>
      <c r="O2" s="108"/>
      <c r="P2" s="108"/>
      <c r="Q2" s="108"/>
      <c r="R2" s="108"/>
      <c r="S2" s="108"/>
      <c r="T2" s="108"/>
      <c r="U2" s="108"/>
    </row>
    <row r="3" spans="1:22" ht="36" customHeight="1">
      <c r="A3" s="34"/>
      <c r="B3" s="35" t="str">
        <f>'Control Entry'!N23</f>
        <v/>
      </c>
      <c r="C3" s="35" t="str">
        <f>'Control Entry'!O23</f>
        <v/>
      </c>
      <c r="D3" s="36"/>
      <c r="E3" s="37" t="str">
        <f>IF(ISBLANK('Control Entry'!F23),"",'Control Entry'!F23)</f>
        <v/>
      </c>
      <c r="F3" s="37" t="str">
        <f>IF(ISBLANK('Control Entry'!I23),"",'Control Entry'!I23)</f>
        <v/>
      </c>
      <c r="G3" s="10"/>
      <c r="H3" s="31" t="s">
        <v>67</v>
      </c>
      <c r="K3" s="16"/>
      <c r="N3" s="116" t="s">
        <v>64</v>
      </c>
      <c r="O3" s="116"/>
      <c r="P3" s="116"/>
      <c r="Q3" s="116"/>
      <c r="R3" s="116"/>
      <c r="S3" s="116"/>
      <c r="T3" s="47"/>
      <c r="U3" s="47"/>
    </row>
    <row r="4" spans="1:22" ht="36" customHeight="1">
      <c r="A4" s="43" t="str">
        <f>IF(ISBLANK('Control Entry'!D23),"",'Control Entry'!D23)</f>
        <v/>
      </c>
      <c r="B4" s="44" t="str">
        <f>'Control Entry'!N23</f>
        <v/>
      </c>
      <c r="C4" s="44" t="str">
        <f>'Control Entry'!O23</f>
        <v/>
      </c>
      <c r="D4" s="45" t="str">
        <f>IF(ISBLANK('Control Entry'!E23),"",'Control Entry'!E23)</f>
        <v/>
      </c>
      <c r="E4" s="37" t="str">
        <f>IF(ISBLANK('Control Entry'!G23),"",'Control Entry'!G23)</f>
        <v/>
      </c>
      <c r="F4" s="37" t="str">
        <f>IF(ISBLANK('Control Entry'!J23),"",'Control Entry'!J23)</f>
        <v/>
      </c>
      <c r="G4" s="10"/>
      <c r="H4" s="31" t="s">
        <v>67</v>
      </c>
      <c r="K4" s="16"/>
      <c r="M4" s="112" t="str">
        <f>IF(ISBLANK(brevet),"",brevet&amp;" km Randonnée")</f>
        <v>200 km Randonnée</v>
      </c>
      <c r="N4" s="112"/>
      <c r="O4" s="112"/>
      <c r="P4" s="112"/>
      <c r="Q4" s="112"/>
      <c r="R4" s="112"/>
      <c r="S4" s="112"/>
      <c r="T4" s="112"/>
      <c r="U4" s="48"/>
    </row>
    <row r="5" spans="1:22" ht="36" customHeight="1" thickBot="1">
      <c r="A5" s="38"/>
      <c r="B5" s="39" t="str">
        <f>'Control Entry'!N23</f>
        <v/>
      </c>
      <c r="C5" s="39" t="str">
        <f>'Control Entry'!O23</f>
        <v/>
      </c>
      <c r="D5" s="40"/>
      <c r="E5" s="41" t="str">
        <f>IF(ISBLANK('Control Entry'!H23),"",'Control Entry'!H23)</f>
        <v/>
      </c>
      <c r="F5" s="41" t="str">
        <f>IF(ISBLANK('Control Entry'!K23),"",'Control Entry'!K23)</f>
        <v/>
      </c>
      <c r="G5" s="11"/>
      <c r="H5" s="31" t="s">
        <v>67</v>
      </c>
      <c r="K5" s="16"/>
      <c r="M5" s="17"/>
      <c r="N5" s="114" t="s">
        <v>74</v>
      </c>
      <c r="O5" s="114"/>
      <c r="P5" s="71">
        <f>IF(ISBLANK(Brevet_Number),"",Brevet_Number)</f>
        <v>5143</v>
      </c>
      <c r="Q5" s="72"/>
      <c r="R5" s="107">
        <f>IF(ISBLANK('Control Entry'!$B5),"",'Control Entry'!$B5)</f>
        <v>44716</v>
      </c>
      <c r="S5" s="107"/>
      <c r="T5" s="107"/>
      <c r="U5" s="107"/>
      <c r="V5" s="49"/>
    </row>
    <row r="6" spans="1:22" ht="36" customHeight="1">
      <c r="A6" s="34"/>
      <c r="B6" s="35" t="str">
        <f>'Control Entry'!N24</f>
        <v/>
      </c>
      <c r="C6" s="35" t="str">
        <f>'Control Entry'!O24</f>
        <v/>
      </c>
      <c r="D6" s="42"/>
      <c r="E6" s="37" t="str">
        <f>IF(ISBLANK('Control Entry'!F24),"",'Control Entry'!F24)</f>
        <v/>
      </c>
      <c r="F6" s="37" t="str">
        <f>IF(ISBLANK('Control Entry'!I24),"",'Control Entry'!I24)</f>
        <v/>
      </c>
      <c r="G6" s="10"/>
      <c r="H6" s="31" t="s">
        <v>67</v>
      </c>
      <c r="K6" s="16"/>
      <c r="L6" s="119" t="str">
        <f>IF(ISBLANK(Brevet_Description),"",Brevet_Description)</f>
        <v>Sunshine Coast 200</v>
      </c>
      <c r="M6" s="119"/>
      <c r="N6" s="119"/>
      <c r="O6" s="119"/>
      <c r="P6" s="119"/>
      <c r="Q6" s="119"/>
      <c r="R6" s="119"/>
      <c r="S6" s="119"/>
      <c r="T6" s="119"/>
      <c r="U6" s="119"/>
    </row>
    <row r="7" spans="1:22" ht="36" customHeight="1">
      <c r="A7" s="43" t="str">
        <f>IF(ISBLANK('Control Entry'!D24),"",'Control Entry'!D24)</f>
        <v/>
      </c>
      <c r="B7" s="44" t="str">
        <f>'Control Entry'!N24</f>
        <v/>
      </c>
      <c r="C7" s="44" t="str">
        <f>'Control Entry'!O24</f>
        <v/>
      </c>
      <c r="D7" s="45" t="str">
        <f>IF(ISBLANK('Control Entry'!E24),"",'Control Entry'!E24)</f>
        <v/>
      </c>
      <c r="E7" s="37" t="str">
        <f>IF(ISBLANK('Control Entry'!G24),"",'Control Entry'!G24)</f>
        <v/>
      </c>
      <c r="F7" s="37" t="str">
        <f>IF(ISBLANK('Control Entry'!J24),"",'Control Entry'!J24)</f>
        <v/>
      </c>
      <c r="G7" s="10"/>
      <c r="H7" s="31" t="s">
        <v>67</v>
      </c>
    </row>
    <row r="8" spans="1:22" ht="36" customHeight="1" thickBot="1">
      <c r="A8" s="38"/>
      <c r="B8" s="39" t="str">
        <f>'Control Entry'!N24</f>
        <v/>
      </c>
      <c r="C8" s="39" t="str">
        <f>'Control Entry'!O24</f>
        <v/>
      </c>
      <c r="D8" s="40"/>
      <c r="E8" s="41" t="str">
        <f>IF(ISBLANK('Control Entry'!H24),"",'Control Entry'!H24)</f>
        <v/>
      </c>
      <c r="F8" s="41" t="str">
        <f>IF(ISBLANK('Control Entry'!K24),"",'Control Entry'!K24)</f>
        <v/>
      </c>
      <c r="G8" s="11"/>
      <c r="H8" s="31" t="s">
        <v>67</v>
      </c>
      <c r="J8" s="17" t="s">
        <v>75</v>
      </c>
      <c r="L8" s="109" t="str">
        <f>IF(ISBLANK('Control Card #1'!L8:Q8),"",'Control Card #1'!L8:Q8)</f>
        <v/>
      </c>
      <c r="M8" s="109"/>
      <c r="N8" s="109"/>
      <c r="O8" s="109"/>
      <c r="P8" s="109"/>
      <c r="Q8" s="109"/>
      <c r="S8" s="50" t="s">
        <v>76</v>
      </c>
      <c r="T8" s="122" t="str">
        <f>IF(ISBLANK('Control Card #1'!T8:U8),"",'Control Card #1'!T8:U8)</f>
        <v/>
      </c>
      <c r="U8" s="122"/>
    </row>
    <row r="9" spans="1:22" ht="36" customHeight="1">
      <c r="A9" s="34"/>
      <c r="B9" s="35" t="str">
        <f>'Control Entry'!N25</f>
        <v/>
      </c>
      <c r="C9" s="35" t="str">
        <f>'Control Entry'!O25</f>
        <v/>
      </c>
      <c r="D9" s="42"/>
      <c r="E9" s="37" t="str">
        <f>IF(ISBLANK('Control Entry'!F25),"",'Control Entry'!F25)</f>
        <v/>
      </c>
      <c r="F9" s="37" t="str">
        <f>IF(ISBLANK('Control Entry'!I25),"",'Control Entry'!I25)</f>
        <v/>
      </c>
      <c r="G9" s="10"/>
      <c r="H9" s="31" t="s">
        <v>67</v>
      </c>
    </row>
    <row r="10" spans="1:22" ht="36" customHeight="1">
      <c r="A10" s="43" t="str">
        <f>IF(ISBLANK('Control Entry'!D25),"",'Control Entry'!D25)</f>
        <v/>
      </c>
      <c r="B10" s="44" t="str">
        <f>'Control Entry'!N25</f>
        <v/>
      </c>
      <c r="C10" s="44" t="str">
        <f>'Control Entry'!O25</f>
        <v/>
      </c>
      <c r="D10" s="45" t="str">
        <f>IF(ISBLANK('Control Entry'!E25),"",'Control Entry'!E25)</f>
        <v/>
      </c>
      <c r="E10" s="37" t="str">
        <f>IF(ISBLANK('Control Entry'!G25),"",'Control Entry'!G25)</f>
        <v/>
      </c>
      <c r="F10" s="37" t="str">
        <f>IF(ISBLANK('Control Entry'!J25),"",'Control Entry'!J25)</f>
        <v/>
      </c>
      <c r="G10" s="10"/>
      <c r="H10" s="31" t="s">
        <v>67</v>
      </c>
    </row>
    <row r="11" spans="1:22" ht="36" customHeight="1" thickBot="1">
      <c r="A11" s="38"/>
      <c r="B11" s="39" t="str">
        <f>'Control Entry'!N25</f>
        <v/>
      </c>
      <c r="C11" s="39" t="str">
        <f>'Control Entry'!O25</f>
        <v/>
      </c>
      <c r="D11" s="40"/>
      <c r="E11" s="41" t="str">
        <f>IF(ISBLANK('Control Entry'!H25),"",'Control Entry'!H25)</f>
        <v/>
      </c>
      <c r="F11" s="41" t="str">
        <f>IF(ISBLANK('Control Entry'!K25),"",'Control Entry'!K25)</f>
        <v/>
      </c>
      <c r="G11" s="11"/>
      <c r="H11" s="31" t="s">
        <v>67</v>
      </c>
    </row>
    <row r="12" spans="1:22" ht="36" customHeight="1">
      <c r="A12" s="34"/>
      <c r="B12" s="35" t="str">
        <f>'Control Entry'!N26</f>
        <v/>
      </c>
      <c r="C12" s="35" t="str">
        <f>'Control Entry'!O26</f>
        <v/>
      </c>
      <c r="D12" s="42"/>
      <c r="E12" s="37" t="str">
        <f>IF(ISBLANK('Control Entry'!F26),"",'Control Entry'!F26)</f>
        <v/>
      </c>
      <c r="F12" s="37" t="str">
        <f>IF(ISBLANK('Control Entry'!I26),"",'Control Entry'!I26)</f>
        <v/>
      </c>
      <c r="G12" s="10"/>
      <c r="H12" s="31" t="s">
        <v>67</v>
      </c>
    </row>
    <row r="13" spans="1:22" ht="36" customHeight="1">
      <c r="A13" s="43" t="str">
        <f>IF(ISBLANK('Control Entry'!D26),"",'Control Entry'!D26)</f>
        <v/>
      </c>
      <c r="B13" s="44" t="str">
        <f>'Control Entry'!N26</f>
        <v/>
      </c>
      <c r="C13" s="44" t="str">
        <f>'Control Entry'!O26</f>
        <v/>
      </c>
      <c r="D13" s="45" t="str">
        <f>IF(ISBLANK('Control Entry'!E26),"",'Control Entry'!E26)</f>
        <v/>
      </c>
      <c r="E13" s="37" t="str">
        <f>IF(ISBLANK('Control Entry'!G26),"",'Control Entry'!G26)</f>
        <v/>
      </c>
      <c r="F13" s="37" t="str">
        <f>IF(ISBLANK('Control Entry'!J26),"",'Control Entry'!J26)</f>
        <v/>
      </c>
      <c r="G13" s="10"/>
      <c r="H13" s="31" t="s">
        <v>67</v>
      </c>
    </row>
    <row r="14" spans="1:22" ht="36" customHeight="1" thickBot="1">
      <c r="A14" s="38"/>
      <c r="B14" s="39" t="str">
        <f>'Control Entry'!N26</f>
        <v/>
      </c>
      <c r="C14" s="39" t="str">
        <f>'Control Entry'!O26</f>
        <v/>
      </c>
      <c r="D14" s="40"/>
      <c r="E14" s="41" t="str">
        <f>IF(ISBLANK('Control Entry'!H26),"",'Control Entry'!H26)</f>
        <v/>
      </c>
      <c r="F14" s="41" t="str">
        <f>IF(ISBLANK('Control Entry'!K26),"",'Control Entry'!K26)</f>
        <v/>
      </c>
      <c r="G14" s="11"/>
      <c r="H14" s="31" t="s">
        <v>67</v>
      </c>
    </row>
    <row r="15" spans="1:22" ht="36" customHeight="1">
      <c r="A15" s="34"/>
      <c r="B15" s="35" t="str">
        <f>'Control Entry'!N27</f>
        <v/>
      </c>
      <c r="C15" s="35" t="str">
        <f>'Control Entry'!O27</f>
        <v/>
      </c>
      <c r="D15" s="42"/>
      <c r="E15" s="37" t="str">
        <f>IF(ISBLANK('Control Entry'!F27),"",'Control Entry'!F27)</f>
        <v/>
      </c>
      <c r="F15" s="37" t="str">
        <f>IF(ISBLANK('Control Entry'!I27),"",'Control Entry'!I27)</f>
        <v/>
      </c>
      <c r="G15" s="10"/>
      <c r="H15" s="31" t="s">
        <v>67</v>
      </c>
    </row>
    <row r="16" spans="1:22" ht="36" customHeight="1">
      <c r="A16" s="43" t="str">
        <f>IF(ISBLANK('Control Entry'!D27),"",'Control Entry'!D27)</f>
        <v/>
      </c>
      <c r="B16" s="44" t="str">
        <f>'Control Entry'!N27</f>
        <v/>
      </c>
      <c r="C16" s="44" t="str">
        <f>'Control Entry'!O27</f>
        <v/>
      </c>
      <c r="D16" s="45" t="str">
        <f>IF(ISBLANK('Control Entry'!E27),"",'Control Entry'!E27)</f>
        <v/>
      </c>
      <c r="E16" s="37" t="str">
        <f>IF(ISBLANK('Control Entry'!G27),"",'Control Entry'!G27)</f>
        <v/>
      </c>
      <c r="F16" s="37" t="str">
        <f>IF(ISBLANK('Control Entry'!J27),"",'Control Entry'!J27)</f>
        <v/>
      </c>
      <c r="G16" s="10"/>
      <c r="H16" s="31" t="s">
        <v>67</v>
      </c>
    </row>
    <row r="17" spans="1:21" ht="36" customHeight="1" thickBot="1">
      <c r="A17" s="38"/>
      <c r="B17" s="39" t="str">
        <f>'Control Entry'!N27</f>
        <v/>
      </c>
      <c r="C17" s="39" t="str">
        <f>'Control Entry'!O27</f>
        <v/>
      </c>
      <c r="D17" s="40"/>
      <c r="E17" s="41" t="str">
        <f>IF(ISBLANK('Control Entry'!H27),"",'Control Entry'!H27)</f>
        <v/>
      </c>
      <c r="F17" s="41" t="str">
        <f>IF(ISBLANK('Control Entry'!K27),"",'Control Entry'!K27)</f>
        <v/>
      </c>
      <c r="G17" s="11"/>
      <c r="H17" s="31" t="s">
        <v>67</v>
      </c>
    </row>
    <row r="18" spans="1:21" ht="36" customHeight="1" thickBot="1">
      <c r="A18" s="34"/>
      <c r="B18" s="35" t="str">
        <f>'Control Entry'!N28</f>
        <v/>
      </c>
      <c r="C18" s="35" t="str">
        <f>'Control Entry'!O28</f>
        <v/>
      </c>
      <c r="D18" s="42"/>
      <c r="E18" s="37" t="str">
        <f>IF(ISBLANK('Control Entry'!F28),"",'Control Entry'!F28)</f>
        <v/>
      </c>
      <c r="F18" s="37" t="str">
        <f>IF(ISBLANK('Control Entry'!I28),"",'Control Entry'!I28)</f>
        <v/>
      </c>
      <c r="G18" s="10"/>
      <c r="H18" s="31" t="s">
        <v>67</v>
      </c>
      <c r="N18" s="124"/>
      <c r="O18" s="124"/>
      <c r="P18" s="124"/>
      <c r="Q18" s="124"/>
      <c r="R18" s="124"/>
      <c r="S18" s="124"/>
    </row>
    <row r="19" spans="1:21" ht="36" customHeight="1">
      <c r="A19" s="43" t="str">
        <f>IF(ISBLANK('Control Entry'!D28),"",'Control Entry'!D28)</f>
        <v/>
      </c>
      <c r="B19" s="44" t="str">
        <f>'Control Entry'!N28</f>
        <v/>
      </c>
      <c r="C19" s="44" t="str">
        <f>'Control Entry'!O28</f>
        <v/>
      </c>
      <c r="D19" s="45" t="str">
        <f>IF(ISBLANK('Control Entry'!E28),"",'Control Entry'!E28)</f>
        <v/>
      </c>
      <c r="E19" s="37" t="str">
        <f>IF(ISBLANK('Control Entry'!G28),"",'Control Entry'!G28)</f>
        <v/>
      </c>
      <c r="F19" s="37" t="str">
        <f>IF(ISBLANK('Control Entry'!J28),"",'Control Entry'!J28)</f>
        <v/>
      </c>
      <c r="G19" s="10"/>
      <c r="H19" s="31" t="s">
        <v>67</v>
      </c>
      <c r="N19" s="115" t="s">
        <v>91</v>
      </c>
      <c r="O19" s="115"/>
      <c r="P19" s="115"/>
      <c r="Q19" s="115"/>
      <c r="R19" s="115"/>
      <c r="S19" s="115"/>
    </row>
    <row r="20" spans="1:21" ht="36" customHeight="1" thickBot="1">
      <c r="A20" s="38"/>
      <c r="B20" s="39" t="str">
        <f>'Control Entry'!N28</f>
        <v/>
      </c>
      <c r="C20" s="39" t="str">
        <f>'Control Entry'!O28</f>
        <v/>
      </c>
      <c r="D20" s="40"/>
      <c r="E20" s="41" t="str">
        <f>IF(ISBLANK('Control Entry'!H28),"",'Control Entry'!H28)</f>
        <v/>
      </c>
      <c r="F20" s="41" t="str">
        <f>IF(ISBLANK('Control Entry'!K28),"",'Control Entry'!K28)</f>
        <v/>
      </c>
      <c r="G20" s="11"/>
      <c r="H20" s="31" t="s">
        <v>67</v>
      </c>
    </row>
    <row r="21" spans="1:21" ht="36" customHeight="1">
      <c r="A21" s="34"/>
      <c r="B21" s="35" t="str">
        <f>'Control Entry'!N29</f>
        <v/>
      </c>
      <c r="C21" s="35" t="str">
        <f>'Control Entry'!O29</f>
        <v/>
      </c>
      <c r="D21" s="42"/>
      <c r="E21" s="37" t="str">
        <f>IF(ISBLANK('Control Entry'!F29),"",'Control Entry'!F29)</f>
        <v/>
      </c>
      <c r="F21" s="37" t="str">
        <f>IF(ISBLANK('Control Entry'!I29),"",'Control Entry'!I29)</f>
        <v/>
      </c>
      <c r="G21" s="10"/>
      <c r="H21" s="31" t="s">
        <v>67</v>
      </c>
      <c r="L21" s="123" t="s">
        <v>101</v>
      </c>
      <c r="M21" s="123"/>
      <c r="N21" s="123"/>
      <c r="O21" s="123"/>
      <c r="P21" s="123"/>
      <c r="Q21" s="123"/>
      <c r="R21" s="123"/>
      <c r="S21" s="123"/>
      <c r="T21" s="123"/>
      <c r="U21" s="123"/>
    </row>
    <row r="22" spans="1:21" ht="36" customHeight="1">
      <c r="A22" s="43" t="str">
        <f>IF(ISBLANK('Control Entry'!D29),"",'Control Entry'!D29)</f>
        <v/>
      </c>
      <c r="B22" s="44" t="str">
        <f>'Control Entry'!N29</f>
        <v/>
      </c>
      <c r="C22" s="44" t="str">
        <f>'Control Entry'!O29</f>
        <v/>
      </c>
      <c r="D22" s="45" t="str">
        <f>IF(ISBLANK('Control Entry'!E29),"",'Control Entry'!E29)</f>
        <v/>
      </c>
      <c r="E22" s="37" t="str">
        <f>IF(ISBLANK('Control Entry'!G29),"",'Control Entry'!G29)</f>
        <v/>
      </c>
      <c r="F22" s="37" t="str">
        <f>IF(ISBLANK('Control Entry'!J29),"",'Control Entry'!J29)</f>
        <v/>
      </c>
      <c r="G22" s="10"/>
      <c r="H22" s="31" t="s">
        <v>67</v>
      </c>
    </row>
    <row r="23" spans="1:21" ht="36" customHeight="1" thickBot="1">
      <c r="A23" s="38"/>
      <c r="B23" s="39" t="str">
        <f>'Control Entry'!N29</f>
        <v/>
      </c>
      <c r="C23" s="39" t="str">
        <f>'Control Entry'!O29</f>
        <v/>
      </c>
      <c r="D23" s="40"/>
      <c r="E23" s="41" t="str">
        <f>IF(ISBLANK('Control Entry'!H29),"",'Control Entry'!H29)</f>
        <v/>
      </c>
      <c r="F23" s="41" t="str">
        <f>IF(ISBLANK('Control Entry'!K29),"",'Control Entry'!K29)</f>
        <v/>
      </c>
      <c r="G23" s="11"/>
      <c r="H23" s="31" t="s">
        <v>67</v>
      </c>
    </row>
    <row r="24" spans="1:21" ht="36" customHeight="1">
      <c r="A24" s="34"/>
      <c r="B24" s="35" t="str">
        <f>'Control Entry'!N30</f>
        <v/>
      </c>
      <c r="C24" s="35" t="str">
        <f>'Control Entry'!O30</f>
        <v/>
      </c>
      <c r="D24" s="42"/>
      <c r="E24" s="37" t="str">
        <f>IF(ISBLANK('Control Entry'!F30),"",'Control Entry'!F30)</f>
        <v/>
      </c>
      <c r="F24" s="37" t="str">
        <f>IF(ISBLANK('Control Entry'!I30),"",'Control Entry'!I30)</f>
        <v/>
      </c>
      <c r="G24" s="10"/>
      <c r="H24" s="31" t="s">
        <v>67</v>
      </c>
    </row>
    <row r="25" spans="1:21" ht="36" customHeight="1">
      <c r="A25" s="43" t="str">
        <f>IF(ISBLANK('Control Entry'!D30),"",'Control Entry'!D30)</f>
        <v/>
      </c>
      <c r="B25" s="44" t="str">
        <f>'Control Entry'!N30</f>
        <v/>
      </c>
      <c r="C25" s="44" t="str">
        <f>'Control Entry'!O30</f>
        <v/>
      </c>
      <c r="D25" s="45" t="str">
        <f>IF(ISBLANK('Control Entry'!E30),"",'Control Entry'!E30)</f>
        <v/>
      </c>
      <c r="E25" s="37" t="str">
        <f>IF(ISBLANK('Control Entry'!G30),"",'Control Entry'!G30)</f>
        <v/>
      </c>
      <c r="F25" s="37" t="str">
        <f>IF(ISBLANK('Control Entry'!J30),"",'Control Entry'!J30)</f>
        <v/>
      </c>
      <c r="G25" s="10"/>
      <c r="H25" s="31" t="s">
        <v>67</v>
      </c>
    </row>
    <row r="26" spans="1:21" ht="36" customHeight="1" thickBot="1">
      <c r="A26" s="38"/>
      <c r="B26" s="39" t="str">
        <f>'Control Entry'!N30</f>
        <v/>
      </c>
      <c r="C26" s="39" t="str">
        <f>'Control Entry'!O30</f>
        <v/>
      </c>
      <c r="D26" s="40"/>
      <c r="E26" s="41" t="str">
        <f>IF(ISBLANK('Control Entry'!H30),"",'Control Entry'!H30)</f>
        <v/>
      </c>
      <c r="F26" s="41" t="str">
        <f>IF(ISBLANK('Control Entry'!K30),"",'Control Entry'!K30)</f>
        <v/>
      </c>
      <c r="G26" s="11"/>
      <c r="H26" s="31" t="s">
        <v>67</v>
      </c>
    </row>
    <row r="27" spans="1:21" ht="36" customHeight="1">
      <c r="A27" s="34"/>
      <c r="B27" s="35" t="str">
        <f>'Control Entry'!N31</f>
        <v/>
      </c>
      <c r="C27" s="35" t="str">
        <f>'Control Entry'!O31</f>
        <v/>
      </c>
      <c r="D27" s="42"/>
      <c r="E27" s="37" t="str">
        <f>IF(ISBLANK('Control Entry'!F31),"",'Control Entry'!F31)</f>
        <v/>
      </c>
      <c r="F27" s="37" t="str">
        <f>IF(ISBLANK('Control Entry'!I31),"",'Control Entry'!I31)</f>
        <v/>
      </c>
      <c r="G27" s="10"/>
      <c r="H27" s="31" t="s">
        <v>67</v>
      </c>
    </row>
    <row r="28" spans="1:21" ht="36" customHeight="1">
      <c r="A28" s="43" t="str">
        <f>IF(ISBLANK('Control Entry'!D31),"",'Control Entry'!D31)</f>
        <v/>
      </c>
      <c r="B28" s="44" t="str">
        <f>'Control Entry'!N31</f>
        <v/>
      </c>
      <c r="C28" s="44" t="str">
        <f>'Control Entry'!O31</f>
        <v/>
      </c>
      <c r="D28" s="45" t="str">
        <f>IF(ISBLANK('Control Entry'!E31),"",'Control Entry'!E31)</f>
        <v/>
      </c>
      <c r="E28" s="37" t="str">
        <f>IF(ISBLANK('Control Entry'!G31),"",'Control Entry'!G31)</f>
        <v/>
      </c>
      <c r="F28" s="37" t="str">
        <f>IF(ISBLANK('Control Entry'!J31),"",'Control Entry'!J31)</f>
        <v/>
      </c>
      <c r="G28" s="10"/>
      <c r="H28" s="31" t="s">
        <v>67</v>
      </c>
    </row>
    <row r="29" spans="1:21" ht="36" customHeight="1" thickBot="1">
      <c r="A29" s="38"/>
      <c r="B29" s="39" t="str">
        <f>'Control Entry'!N31</f>
        <v/>
      </c>
      <c r="C29" s="39" t="str">
        <f>'Control Entry'!O31</f>
        <v/>
      </c>
      <c r="D29" s="40"/>
      <c r="E29" s="41" t="str">
        <f>IF(ISBLANK('Control Entry'!H31),"",'Control Entry'!H31)</f>
        <v/>
      </c>
      <c r="F29" s="41" t="str">
        <f>IF(ISBLANK('Control Entry'!K31),"",'Control Entry'!K31)</f>
        <v/>
      </c>
      <c r="G29" s="11"/>
      <c r="H29" s="31" t="s">
        <v>67</v>
      </c>
      <c r="M29" s="120" t="s">
        <v>99</v>
      </c>
      <c r="N29" s="120"/>
      <c r="O29" s="120"/>
      <c r="P29" s="120"/>
      <c r="Q29" s="120"/>
      <c r="R29" s="120"/>
      <c r="S29" s="120"/>
      <c r="T29" s="120"/>
      <c r="U29" s="62"/>
    </row>
    <row r="30" spans="1:21" ht="36" customHeight="1">
      <c r="A30" s="34"/>
      <c r="B30" s="35" t="str">
        <f>'Control Entry'!N32</f>
        <v/>
      </c>
      <c r="C30" s="35" t="str">
        <f>'Control Entry'!O32</f>
        <v/>
      </c>
      <c r="D30" s="42"/>
      <c r="E30" s="37" t="str">
        <f>IF(ISBLANK('Control Entry'!F32),"",'Control Entry'!F32)</f>
        <v/>
      </c>
      <c r="F30" s="37" t="str">
        <f>IF(ISBLANK('Control Entry'!I32),"",'Control Entry'!I32)</f>
        <v/>
      </c>
      <c r="G30" s="10"/>
      <c r="H30" s="31" t="s">
        <v>67</v>
      </c>
      <c r="M30" s="19"/>
      <c r="N30" s="24"/>
      <c r="O30" s="24"/>
      <c r="P30" s="25"/>
      <c r="Q30" s="24"/>
      <c r="R30" s="24"/>
      <c r="S30" s="24"/>
      <c r="T30" s="25"/>
    </row>
    <row r="31" spans="1:21" ht="36" customHeight="1">
      <c r="A31" s="43" t="str">
        <f>IF(ISBLANK('Control Entry'!D32),"",'Control Entry'!D32)</f>
        <v/>
      </c>
      <c r="B31" s="44" t="str">
        <f>'Control Entry'!N32</f>
        <v/>
      </c>
      <c r="C31" s="44" t="str">
        <f>'Control Entry'!O32</f>
        <v/>
      </c>
      <c r="D31" s="45" t="str">
        <f>IF(ISBLANK('Control Entry'!E32),"",'Control Entry'!E32)</f>
        <v/>
      </c>
      <c r="E31" s="37" t="str">
        <f>IF(ISBLANK('Control Entry'!G32),"",'Control Entry'!G32)</f>
        <v/>
      </c>
      <c r="F31" s="37" t="str">
        <f>IF(ISBLANK('Control Entry'!J32),"",'Control Entry'!J32)</f>
        <v/>
      </c>
      <c r="G31" s="10"/>
      <c r="H31" s="31" t="s">
        <v>67</v>
      </c>
      <c r="M31" s="20"/>
      <c r="P31" s="26"/>
      <c r="T31" s="26"/>
    </row>
    <row r="32" spans="1:21" ht="36" customHeight="1" thickBot="1">
      <c r="A32" s="38"/>
      <c r="B32" s="39" t="str">
        <f>'Control Entry'!N32</f>
        <v/>
      </c>
      <c r="C32" s="39" t="str">
        <f>'Control Entry'!O32</f>
        <v/>
      </c>
      <c r="D32" s="40"/>
      <c r="E32" s="41" t="str">
        <f>IF(ISBLANK('Control Entry'!H32),"",'Control Entry'!H32)</f>
        <v/>
      </c>
      <c r="F32" s="41" t="str">
        <f>IF(ISBLANK('Control Entry'!K32),"",'Control Entry'!K32)</f>
        <v/>
      </c>
      <c r="G32" s="11"/>
      <c r="H32" s="31" t="s">
        <v>67</v>
      </c>
      <c r="M32" s="60"/>
      <c r="N32" s="18"/>
      <c r="O32" s="18"/>
      <c r="P32" s="27"/>
      <c r="Q32" s="18"/>
      <c r="R32" s="18"/>
      <c r="S32" s="18"/>
      <c r="T32" s="27"/>
    </row>
    <row r="33" spans="1:22" ht="36" customHeight="1">
      <c r="A33" s="111" t="s">
        <v>100</v>
      </c>
      <c r="B33" s="111"/>
      <c r="C33" s="111"/>
      <c r="D33" s="111"/>
      <c r="E33" s="111"/>
      <c r="F33" s="111"/>
      <c r="G33" s="111"/>
      <c r="H33" s="46"/>
      <c r="I33" s="46"/>
      <c r="N33" s="121"/>
      <c r="O33" s="121"/>
      <c r="P33" s="121"/>
      <c r="Q33" s="121"/>
      <c r="R33" s="121"/>
      <c r="S33" s="121"/>
      <c r="T33" s="121"/>
      <c r="U33" s="121"/>
      <c r="V33" s="55"/>
    </row>
    <row r="34" spans="1:22" ht="36" customHeight="1">
      <c r="A34"/>
      <c r="O34" s="17"/>
      <c r="P34" s="17"/>
      <c r="Q34" s="17"/>
      <c r="R34" s="53"/>
    </row>
    <row r="35" spans="1:22" ht="36" customHeight="1">
      <c r="A35"/>
      <c r="N35" s="120"/>
      <c r="O35" s="120"/>
      <c r="P35" s="120"/>
      <c r="Q35" s="120"/>
      <c r="R35" s="120"/>
      <c r="S35" s="120"/>
      <c r="T35" s="120"/>
      <c r="U35" s="120"/>
    </row>
    <row r="36" spans="1:22" ht="36" customHeight="1">
      <c r="A36"/>
    </row>
    <row r="37" spans="1:22" ht="36" customHeight="1">
      <c r="A37"/>
    </row>
    <row r="38" spans="1:22" ht="36" customHeight="1">
      <c r="A38"/>
      <c r="N38" s="17"/>
    </row>
    <row r="39" spans="1:22" ht="36" customHeight="1">
      <c r="A39"/>
    </row>
    <row r="40" spans="1:22" ht="36" customHeight="1">
      <c r="A40"/>
    </row>
  </sheetData>
  <mergeCells count="16">
    <mergeCell ref="A33:G33"/>
    <mergeCell ref="N33:U33"/>
    <mergeCell ref="N35:U35"/>
    <mergeCell ref="L21:U21"/>
    <mergeCell ref="L8:Q8"/>
    <mergeCell ref="M29:T29"/>
    <mergeCell ref="N18:S18"/>
    <mergeCell ref="N19:S19"/>
    <mergeCell ref="L6:U6"/>
    <mergeCell ref="T8:U8"/>
    <mergeCell ref="A1:G1"/>
    <mergeCell ref="K2:U2"/>
    <mergeCell ref="N3:S3"/>
    <mergeCell ref="M4:T4"/>
    <mergeCell ref="N5:O5"/>
    <mergeCell ref="R5:U5"/>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
  <cp:revision/>
  <dcterms:created xsi:type="dcterms:W3CDTF">1997-11-12T04:43:39Z</dcterms:created>
  <dcterms:modified xsi:type="dcterms:W3CDTF">2022-05-22T17:24:03Z</dcterms:modified>
  <cp:category/>
  <cp:contentStatus/>
</cp:coreProperties>
</file>