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autoCompressPictures="0"/>
  <mc:AlternateContent xmlns:mc="http://schemas.openxmlformats.org/markup-compatibility/2006">
    <mc:Choice Requires="x15">
      <x15ac:absPath xmlns:x15ac="http://schemas.microsoft.com/office/spreadsheetml/2010/11/ac" url="/Users/stephencarol/Documents/BCR/2021/"/>
    </mc:Choice>
  </mc:AlternateContent>
  <xr:revisionPtr revIDLastSave="0" documentId="13_ncr:1_{0619C480-7F4B-DD4A-8D2B-A00736C9DE87}" xr6:coauthVersionLast="36" xr6:coauthVersionMax="36" xr10:uidLastSave="{00000000-0000-0000-0000-000000000000}"/>
  <bookViews>
    <workbookView xWindow="0" yWindow="460" windowWidth="25400" windowHeight="15540" tabRatio="509" xr2:uid="{00000000-000D-0000-FFFF-FFFF00000000}"/>
  </bookViews>
  <sheets>
    <sheet name="Control Entry" sheetId="1" r:id="rId1"/>
    <sheet name="Control Card Saanichton" sheetId="2" r:id="rId2"/>
    <sheet name="Control Card View Royal" sheetId="3" r:id="rId3"/>
  </sheets>
  <definedNames>
    <definedName name="Address_1" localSheetId="2">#REF!</definedName>
    <definedName name="Address_1">#REF!</definedName>
    <definedName name="Address_2" localSheetId="2">#REF!</definedName>
    <definedName name="Address_2">#REF!</definedName>
    <definedName name="brevet">'Control Entry'!$C$1</definedName>
    <definedName name="Brevet_Description">'Control Entry'!$B$3</definedName>
    <definedName name="Brevet_Length">'Control Entry'!$B$1</definedName>
    <definedName name="Brevet_Number">'Control Entry'!$B$4</definedName>
    <definedName name="City" localSheetId="2">#REF!</definedName>
    <definedName name="City">#REF!</definedName>
    <definedName name="Close">'Control Entry'!$M$10:$M$19</definedName>
    <definedName name="Close_time">'Control Entry'!$O$10:$O$19</definedName>
    <definedName name="Control_1">'Control Entry'!$D$10:$O$10</definedName>
    <definedName name="Control_10">'Control Entry'!$D$19:$O$19</definedName>
    <definedName name="Control_11" localSheetId="2">'Control Entry'!#REF!</definedName>
    <definedName name="Control_11">'Control Entry'!#REF!</definedName>
    <definedName name="Control_12" localSheetId="2">'Control Entry'!#REF!</definedName>
    <definedName name="Control_12">'Control Entry'!#REF!</definedName>
    <definedName name="Control_13" localSheetId="2">'Control Entry'!#REF!</definedName>
    <definedName name="Control_13">'Control Entry'!#REF!</definedName>
    <definedName name="Control_14" localSheetId="2">'Control Entry'!#REF!</definedName>
    <definedName name="Control_14">'Control Entry'!#REF!</definedName>
    <definedName name="Control_15" localSheetId="2">'Control Entry'!#REF!</definedName>
    <definedName name="Control_15">'Control Entry'!#REF!</definedName>
    <definedName name="Control_16" localSheetId="2">'Control Entry'!#REF!</definedName>
    <definedName name="Control_16">'Control Entry'!#REF!</definedName>
    <definedName name="Control_17" localSheetId="2">'Control Entry'!#REF!</definedName>
    <definedName name="Control_17">'Control Entry'!#REF!</definedName>
    <definedName name="Control_18" localSheetId="2">'Control Entry'!#REF!</definedName>
    <definedName name="Control_18">'Control Entry'!#REF!</definedName>
    <definedName name="Control_19" localSheetId="2">'Control Entry'!#REF!</definedName>
    <definedName name="Control_19">'Control Entry'!#REF!</definedName>
    <definedName name="Control_2">'Control Entry'!$D$11:$O$11</definedName>
    <definedName name="Control_20" localSheetId="2">'Control Entry'!#REF!</definedName>
    <definedName name="Control_20">'Control Entry'!#REF!</definedName>
    <definedName name="Control_3">'Control Entry'!$D$12:$O$12</definedName>
    <definedName name="Control_4">'Control Entry'!$D$13:$O$13</definedName>
    <definedName name="Control_5">'Control Entry'!$D$14:$O$14</definedName>
    <definedName name="Control_6">'Control Entry'!$D$15:$O$15</definedName>
    <definedName name="Control_7">'Control Entry'!$D$16:$O$16</definedName>
    <definedName name="Control_8">'Control Entry'!$D$17:$O$17</definedName>
    <definedName name="Control_9">'Control Entry'!$D$18:$O$18</definedName>
    <definedName name="Country" localSheetId="2">#REF!</definedName>
    <definedName name="Country">#REF!</definedName>
    <definedName name="Distance">'Control Entry'!$D$10:$D$19</definedName>
    <definedName name="email" localSheetId="2">#REF!</definedName>
    <definedName name="email">#REF!</definedName>
    <definedName name="Establishment_1">'Control Entry'!$F$10:$F$19</definedName>
    <definedName name="Establishment_2">'Control Entry'!$G$10:$G$19</definedName>
    <definedName name="Establishment_3">'Control Entry'!$H$10:$H$19</definedName>
    <definedName name="Fax" localSheetId="2">#REF!</definedName>
    <definedName name="Fax">#REF!</definedName>
    <definedName name="First_Name" localSheetId="2">#REF!</definedName>
    <definedName name="First_Name">#REF!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#REF!</definedName>
    <definedName name="Locale">'Control Entry'!$E$10:$E$19</definedName>
    <definedName name="Max_time">'Control Entry'!$B$2</definedName>
    <definedName name="Open">'Control Entry'!$L$10:$L$19</definedName>
    <definedName name="Open_time">'Control Entry'!$N$10:$N$19</definedName>
    <definedName name="Postal_Code" localSheetId="2">#REF!</definedName>
    <definedName name="Postal_Code">#REF!</definedName>
    <definedName name="_xlnm.Print_Titles" localSheetId="1">'Control Card Saanichton'!$1:$2</definedName>
    <definedName name="_xlnm.Print_Titles" localSheetId="2">'Control Card View Royal'!$1:$2</definedName>
    <definedName name="Province_State" localSheetId="2">#REF!</definedName>
    <definedName name="Province_State">#REF!</definedName>
    <definedName name="Start_date">'Control Entry'!$B$7</definedName>
    <definedName name="Start_time">'Control Entry'!$B$8</definedName>
    <definedName name="surname" localSheetId="2">#REF!</definedName>
    <definedName name="surname">#REF!</definedName>
    <definedName name="Work_telephone" localSheetId="2">#REF!</definedName>
    <definedName name="Work_telephone">#REF!</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B12" i="1" l="1"/>
  <c r="B13" i="1"/>
  <c r="B14" i="1"/>
  <c r="B11" i="1"/>
  <c r="M23" i="1" l="1"/>
  <c r="B16" i="1" l="1"/>
  <c r="B17" i="1"/>
  <c r="B18" i="1"/>
  <c r="B15" i="1"/>
  <c r="E8" i="3" l="1"/>
  <c r="E7" i="3"/>
  <c r="E5" i="3"/>
  <c r="S20" i="3" l="1"/>
  <c r="F5" i="2"/>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0" i="1"/>
  <c r="N10" i="1" s="1"/>
  <c r="L32" i="1"/>
  <c r="L31" i="1"/>
  <c r="L30" i="1"/>
  <c r="L29" i="1"/>
  <c r="L28" i="1"/>
  <c r="L27" i="1"/>
  <c r="L26" i="1"/>
  <c r="L25" i="1"/>
  <c r="L24" i="1"/>
  <c r="L23"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1" i="1"/>
  <c r="M25" i="1" s="1"/>
  <c r="E4" i="3"/>
  <c r="E3" i="3"/>
  <c r="D31" i="3"/>
  <c r="D28" i="3"/>
  <c r="D25" i="3"/>
  <c r="D22" i="3"/>
  <c r="D19" i="3"/>
  <c r="D16" i="3"/>
  <c r="D13" i="3"/>
  <c r="D10" i="3"/>
  <c r="D7" i="3"/>
  <c r="D4" i="3"/>
  <c r="A31" i="3"/>
  <c r="A28" i="3"/>
  <c r="A25" i="3"/>
  <c r="A22" i="3"/>
  <c r="A19" i="3"/>
  <c r="A16" i="3"/>
  <c r="A13" i="3"/>
  <c r="A10" i="3"/>
  <c r="A7" i="3"/>
  <c r="A4" i="3"/>
  <c r="L19" i="1"/>
  <c r="L18" i="1"/>
  <c r="L17" i="1"/>
  <c r="L16" i="1"/>
  <c r="L15" i="1"/>
  <c r="L14" i="1"/>
  <c r="L13" i="1"/>
  <c r="L12" i="1"/>
  <c r="L11" i="1"/>
  <c r="L6" i="3"/>
  <c r="R5" i="3"/>
  <c r="P5" i="3"/>
  <c r="M4" i="3"/>
  <c r="L6" i="2"/>
  <c r="S20" i="2"/>
  <c r="R5" i="2"/>
  <c r="P5" i="2"/>
  <c r="A7"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B2" i="1"/>
  <c r="M19" i="1" s="1"/>
  <c r="M10" i="1" l="1"/>
  <c r="O10" i="1" s="1"/>
  <c r="M16" i="1"/>
  <c r="M12" i="1"/>
  <c r="M18" i="1"/>
  <c r="O18" i="1" s="1"/>
  <c r="C27" i="2" s="1"/>
  <c r="M14" i="1"/>
  <c r="N26" i="1"/>
  <c r="B14" i="3" s="1"/>
  <c r="B4" i="2"/>
  <c r="O14" i="1"/>
  <c r="C17" i="2" s="1"/>
  <c r="N13" i="1"/>
  <c r="B14" i="2" s="1"/>
  <c r="N23" i="1"/>
  <c r="B5" i="3" s="1"/>
  <c r="N29" i="1"/>
  <c r="B21" i="3" s="1"/>
  <c r="M32" i="1"/>
  <c r="M11" i="1"/>
  <c r="M13" i="1"/>
  <c r="O13" i="1" s="1"/>
  <c r="N17" i="1"/>
  <c r="B25" i="2" s="1"/>
  <c r="M29" i="1"/>
  <c r="B3" i="2"/>
  <c r="M15" i="1"/>
  <c r="O15" i="1" s="1"/>
  <c r="M17" i="1"/>
  <c r="O17" i="1" s="1"/>
  <c r="C26" i="2" s="1"/>
  <c r="M28" i="1"/>
  <c r="O28" i="1" s="1"/>
  <c r="C19" i="3" s="1"/>
  <c r="B5" i="2"/>
  <c r="N12" i="1"/>
  <c r="B11" i="2" s="1"/>
  <c r="N16" i="1"/>
  <c r="B22" i="2" s="1"/>
  <c r="N19" i="1"/>
  <c r="B31" i="2" s="1"/>
  <c r="N30" i="1"/>
  <c r="B26" i="3" s="1"/>
  <c r="O32" i="1"/>
  <c r="C31" i="3" s="1"/>
  <c r="N32" i="1"/>
  <c r="B32" i="3" s="1"/>
  <c r="O19" i="1"/>
  <c r="C31" i="2" s="1"/>
  <c r="N11" i="1"/>
  <c r="B6" i="2" s="1"/>
  <c r="O12" i="1"/>
  <c r="N15" i="1"/>
  <c r="B19" i="2" s="1"/>
  <c r="O16" i="1"/>
  <c r="C23" i="2" s="1"/>
  <c r="N24" i="1"/>
  <c r="B6" i="3" s="1"/>
  <c r="N27" i="1"/>
  <c r="B16" i="3" s="1"/>
  <c r="O29" i="1"/>
  <c r="C23" i="3" s="1"/>
  <c r="O11" i="1"/>
  <c r="N14" i="1"/>
  <c r="B17" i="2" s="1"/>
  <c r="N18" i="1"/>
  <c r="B27" i="2" s="1"/>
  <c r="N25" i="1"/>
  <c r="B11" i="3" s="1"/>
  <c r="N28" i="1"/>
  <c r="B19" i="3" s="1"/>
  <c r="N31" i="1"/>
  <c r="B29" i="3" s="1"/>
  <c r="B8" i="2"/>
  <c r="B12" i="2"/>
  <c r="C4" i="2"/>
  <c r="C3" i="2"/>
  <c r="C5" i="2"/>
  <c r="O25" i="1"/>
  <c r="M24" i="1"/>
  <c r="O24" i="1" s="1"/>
  <c r="M4" i="2"/>
  <c r="B3" i="3"/>
  <c r="B12" i="3"/>
  <c r="M31" i="1"/>
  <c r="O31" i="1" s="1"/>
  <c r="M27" i="1"/>
  <c r="O27" i="1" s="1"/>
  <c r="O23" i="1"/>
  <c r="B13" i="3"/>
  <c r="B25" i="3"/>
  <c r="M30" i="1"/>
  <c r="O30" i="1" s="1"/>
  <c r="M26" i="1"/>
  <c r="O26" i="1" s="1"/>
  <c r="C16" i="2" l="1"/>
  <c r="C15" i="2"/>
  <c r="C30" i="3"/>
  <c r="B21" i="2"/>
  <c r="B26" i="2"/>
  <c r="C25" i="2"/>
  <c r="B13" i="2"/>
  <c r="B22" i="3"/>
  <c r="B30" i="3"/>
  <c r="B27" i="3"/>
  <c r="B8" i="3"/>
  <c r="C29" i="2"/>
  <c r="B18" i="3"/>
  <c r="B29" i="2"/>
  <c r="B15" i="2"/>
  <c r="B31" i="3"/>
  <c r="B18" i="2"/>
  <c r="B10" i="3"/>
  <c r="B32" i="2"/>
  <c r="C28" i="2"/>
  <c r="C24"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22" i="2"/>
  <c r="C21" i="2"/>
  <c r="C11" i="2"/>
  <c r="C20" i="3"/>
  <c r="B15" i="3"/>
  <c r="C32" i="3"/>
  <c r="C6" i="2"/>
  <c r="C6" i="3"/>
  <c r="C7" i="3"/>
  <c r="C8" i="3"/>
  <c r="C11" i="3"/>
  <c r="C9" i="3"/>
  <c r="C10" i="3"/>
  <c r="C13" i="3"/>
  <c r="C14" i="3"/>
  <c r="C12" i="3"/>
  <c r="C4" i="3"/>
  <c r="C5" i="3"/>
  <c r="C3" i="3"/>
  <c r="C25" i="3"/>
  <c r="C26" i="3"/>
  <c r="C24" i="3"/>
  <c r="C15" i="3"/>
  <c r="C16" i="3"/>
  <c r="C17" i="3"/>
  <c r="C27" i="3"/>
  <c r="C28" i="3"/>
  <c r="C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1"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comment>
    <comment ref="B2" authorId="1" shapeId="0" xr:uid="{00000000-0006-0000-0000-000002000000}">
      <text>
        <r>
          <rPr>
            <sz val="8"/>
            <color rgb="FF000000"/>
            <rFont val="Tahoma"/>
            <family val="2"/>
          </rPr>
          <t>Partial result of closing time calculation to avoid limitation of only 7 nested functions</t>
        </r>
      </text>
    </comment>
    <comment ref="B4"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5"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B7" authorId="0" shapeId="0" xr:uid="{63FAB65B-66A9-D447-AE26-4135DF6F90FB}">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List>
</comments>
</file>

<file path=xl/sharedStrings.xml><?xml version="1.0" encoding="utf-8"?>
<sst xmlns="http://schemas.openxmlformats.org/spreadsheetml/2006/main" count="296" uniqueCount="121">
  <si>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</si>
  <si>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</si>
  <si>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</si>
  <si>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</si>
  <si>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</si>
  <si>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</si>
  <si>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</si>
  <si>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</si>
  <si>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</si>
  <si>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</si>
  <si>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</si>
  <si>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</si>
  <si>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</si>
  <si>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</si>
  <si>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</si>
  <si>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</si>
  <si>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</si>
  <si>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</si>
  <si>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</si>
  <si>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</si>
  <si>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</si>
  <si>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</si>
  <si>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</si>
  <si>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</si>
  <si>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</si>
  <si>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</si>
  <si>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</si>
  <si>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</si>
  <si>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</si>
  <si>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</si>
  <si>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</si>
  <si>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</si>
  <si>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</si>
  <si>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</si>
  <si>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</si>
  <si>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</si>
  <si>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</si>
  <si>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</si>
  <si>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</si>
  <si>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</si>
  <si>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</si>
  <si>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</si>
  <si>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</si>
  <si>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</si>
  <si>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r>
      <t xml:space="preserve">Please </t>
    </r>
    <r>
      <rPr>
        <b/>
        <i/>
        <sz val="16"/>
        <rFont val="Arial"/>
        <family val="2"/>
      </rPr>
      <t>answer questions</t>
    </r>
    <r>
      <rPr>
        <i/>
        <sz val="16"/>
        <rFont val="Arial"/>
        <family val="2"/>
      </rPr>
      <t xml:space="preserve"> and</t>
    </r>
    <r>
      <rPr>
        <b/>
        <i/>
        <sz val="16"/>
        <rFont val="Arial"/>
        <family val="2"/>
      </rPr>
      <t xml:space="preserve"> note time of day</t>
    </r>
  </si>
  <si>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</si>
  <si>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</si>
  <si>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</si>
  <si>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</si>
  <si>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</si>
  <si>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</si>
  <si>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</si>
  <si>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</si>
  <si>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</si>
  <si>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</si>
  <si>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</si>
  <si>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</si>
  <si>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</si>
  <si>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</si>
  <si>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</si>
  <si>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</si>
  <si>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</si>
  <si>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</si>
  <si>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</si>
  <si>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</si>
  <si>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</si>
  <si>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</si>
  <si>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</si>
  <si>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</si>
  <si>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</si>
  <si>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Enter the start date.  This will always be the same as the schedule date, unless a ride window has been enabled.</t>
  </si>
  <si>
    <t>Enter the start time.  This will always be the official ACP listed start time found on the event page, unless a ride window has been enabled.</t>
  </si>
  <si>
    <t>Fill in the control distance.  The opening and closing times will be automatically calculated based on the start time and the brevet distance.  If you need more than 10 controls, use card #2, otherwise leave that section blank.</t>
  </si>
  <si>
    <t>Fill in the Locale (city) for each control.  Establishment 1, 2, and 3 can be used to describe the control itself eg Locale Hope  Est.1 Dairy Queen Est.2 817 Water Ave Est. 3 (leaft blank)</t>
  </si>
  <si>
    <t>When using information controls, you can put your question in the Signature/Answer section eg Sig/Ans.1 Sign on main door  Sig/Ans. 2  This week's special is?  Sig/Ans. 3 ________________</t>
  </si>
  <si>
    <t>Control Card #1 Information Control Question (optional)</t>
  </si>
  <si>
    <t>Note:  Control Card #1 will only show '#1' if a distance is entered into the first distance box for Control Card #2</t>
  </si>
  <si>
    <t>Control Card #2 Information Control Question (optional)</t>
  </si>
  <si>
    <t>Information Control</t>
  </si>
  <si>
    <t>Self Sign</t>
  </si>
  <si>
    <t>Self sign</t>
  </si>
  <si>
    <t xml:space="preserve">Control Card </t>
  </si>
  <si>
    <t>All But Three</t>
  </si>
  <si>
    <t>SAANICHTON</t>
  </si>
  <si>
    <t>Mitchell's Farm</t>
  </si>
  <si>
    <t>2451 Island View</t>
  </si>
  <si>
    <t>VICTORIA</t>
  </si>
  <si>
    <t>CENTRAL SAANICH</t>
  </si>
  <si>
    <t>Welch Rd @ Martindale Rd</t>
  </si>
  <si>
    <t>NORTH SAANICH</t>
  </si>
  <si>
    <t>444 Land's End Rd</t>
  </si>
  <si>
    <t>VIEW ROYAL</t>
  </si>
  <si>
    <t>LANGFORD</t>
  </si>
  <si>
    <t>ESQUIMALT</t>
  </si>
  <si>
    <t>Saxe Point Park</t>
  </si>
  <si>
    <t>Washroom Parking Area</t>
  </si>
  <si>
    <t>Lost Airmen Park</t>
  </si>
  <si>
    <t>The Flight Path</t>
  </si>
  <si>
    <t>Across Lochside, Heritage Acres sign</t>
  </si>
  <si>
    <t>What is the base?</t>
  </si>
  <si>
    <t>Bollards towards Niagara</t>
  </si>
  <si>
    <t>How many yellow stripes on each?</t>
  </si>
  <si>
    <t>Fire hydrant to right</t>
  </si>
  <si>
    <t>What is the hydrant number?</t>
  </si>
  <si>
    <t>444 house number</t>
  </si>
  <si>
    <t>Plaque on stone cairn</t>
  </si>
  <si>
    <t>CRD LocalMotion</t>
  </si>
  <si>
    <t>Completed November _____________?</t>
  </si>
  <si>
    <t>Yellow Park sign next to trail to right</t>
  </si>
  <si>
    <t>Bylaw #_______________________?</t>
  </si>
  <si>
    <t>Garbage can</t>
  </si>
  <si>
    <t>Pedestrian ________________Only?</t>
  </si>
  <si>
    <t>Happy Valley Market</t>
  </si>
  <si>
    <t>3431 Happy Valley Rd</t>
  </si>
  <si>
    <t>Bike rack near grass</t>
  </si>
  <si>
    <t>How many hangers?</t>
  </si>
  <si>
    <t xml:space="preserve">Galloping Goose  </t>
  </si>
  <si>
    <t>Atkins Park</t>
  </si>
  <si>
    <t>Dallas Rd @ Niagara Rd</t>
  </si>
  <si>
    <t>Control Card View Royal</t>
  </si>
  <si>
    <t>Control Card Saanichton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</si>
</sst>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2"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20"/>
      <color theme="0" tint="-0.14999847407452621"/>
      <name val="Impact"/>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12"/>
      <name val="Arial Narrow"/>
      <family val="2"/>
    </font>
    <font>
      <b/>
      <sz val="12"/>
      <name val="Arial Narrow"/>
      <family val="2"/>
    </font>
  </fonts>
  <fills count="3">
    <fill>
      <patternFill patternType="none"/>
    </fill>
    <fill>
      <patternFill patternType="gray125"/>
    </fill>
    <fill>
      <patternFill patternType="solid">
        <fgColor indexed="22"/>
        <bgColor indexed="64"/>
      </patternFill>
    </fill>
  </fills>
  <borders count="27">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38">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applyBorder="1"/>
    <xf numFmtId="164" fontId="0" fillId="0" borderId="0" xfId="0" applyNumberFormat="1" applyBorder="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7" fillId="0" borderId="16" xfId="0" applyFont="1" applyBorder="1" applyAlignment="1">
      <alignment horizontal="center" wrapText="1"/>
    </xf>
    <xf numFmtId="0" fontId="7" fillId="0" borderId="7" xfId="0" applyFont="1" applyBorder="1"/>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8" xfId="0" applyBorder="1"/>
    <xf numFmtId="0" fontId="0" fillId="0" borderId="19" xfId="0" applyBorder="1"/>
    <xf numFmtId="0" fontId="0" fillId="0" borderId="6" xfId="0" applyBorder="1"/>
    <xf numFmtId="0" fontId="10" fillId="0" borderId="18" xfId="0" applyFont="1" applyBorder="1" applyProtection="1">
      <protection locked="0"/>
    </xf>
    <xf numFmtId="0" fontId="0" fillId="0" borderId="18" xfId="0" applyBorder="1" applyProtection="1">
      <protection locked="0"/>
    </xf>
    <xf numFmtId="0" fontId="10" fillId="0" borderId="18" xfId="0" applyFont="1" applyBorder="1" applyProtection="1"/>
    <xf numFmtId="0" fontId="10" fillId="0" borderId="0" xfId="0" applyFont="1" applyProtection="1"/>
    <xf numFmtId="0" fontId="0" fillId="0" borderId="0" xfId="0" applyProtection="1"/>
    <xf numFmtId="0" fontId="0" fillId="0" borderId="18" xfId="0" applyBorder="1" applyProtection="1"/>
    <xf numFmtId="0" fontId="0" fillId="0" borderId="20" xfId="0" applyBorder="1" applyProtection="1"/>
    <xf numFmtId="0" fontId="0" fillId="0" borderId="21" xfId="0" applyBorder="1" applyProtection="1"/>
    <xf numFmtId="0" fontId="0" fillId="0" borderId="0" xfId="0" applyBorder="1" applyProtection="1"/>
    <xf numFmtId="0" fontId="0" fillId="0" borderId="17" xfId="0" applyBorder="1" applyProtection="1"/>
    <xf numFmtId="0" fontId="0" fillId="0" borderId="8" xfId="0" applyBorder="1" applyProtection="1"/>
    <xf numFmtId="0" fontId="0" fillId="0" borderId="0" xfId="0" applyBorder="1" applyAlignment="1" applyProtection="1">
      <alignment horizontal="centerContinuous"/>
      <protection hidden="1"/>
    </xf>
    <xf numFmtId="0" fontId="0" fillId="0" borderId="0" xfId="0" applyBorder="1" applyAlignment="1">
      <alignment horizontal="centerContinuous"/>
    </xf>
    <xf numFmtId="167" fontId="0" fillId="0" borderId="13" xfId="0" applyNumberFormat="1" applyBorder="1" applyProtection="1">
      <protection locked="0"/>
    </xf>
    <xf numFmtId="0" fontId="0" fillId="0" borderId="0" xfId="0" applyBorder="1" applyAlignment="1">
      <alignment horizontal="center"/>
    </xf>
    <xf numFmtId="0" fontId="0" fillId="0" borderId="0" xfId="0" applyBorder="1"/>
    <xf numFmtId="0" fontId="8" fillId="0" borderId="18" xfId="0" applyFont="1" applyBorder="1" applyProtection="1"/>
    <xf numFmtId="0" fontId="12" fillId="0" borderId="18" xfId="0" applyFont="1" applyBorder="1" applyProtection="1"/>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Border="1" applyAlignment="1" applyProtection="1">
      <alignment horizontal="right"/>
    </xf>
    <xf numFmtId="0" fontId="0" fillId="2" borderId="24" xfId="0" applyFill="1" applyBorder="1" applyAlignment="1">
      <alignment horizontal="right"/>
    </xf>
    <xf numFmtId="0" fontId="10" fillId="0" borderId="5" xfId="0" applyFont="1" applyBorder="1" applyProtection="1"/>
    <xf numFmtId="0" fontId="10" fillId="0" borderId="0" xfId="0" applyFont="1" applyBorder="1" applyAlignment="1" applyProtection="1">
      <alignment horizontal="left"/>
    </xf>
    <xf numFmtId="0" fontId="10" fillId="0" borderId="0" xfId="0" applyFont="1" applyAlignment="1" applyProtection="1"/>
    <xf numFmtId="0" fontId="5" fillId="2" borderId="3" xfId="0" applyFont="1" applyFill="1" applyBorder="1" applyAlignment="1">
      <alignment horizontal="right"/>
    </xf>
    <xf numFmtId="168" fontId="10" fillId="0" borderId="0" xfId="0" applyNumberFormat="1" applyFont="1" applyBorder="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5" xfId="0" applyNumberFormat="1" applyBorder="1" applyProtection="1">
      <protection locked="0"/>
    </xf>
    <xf numFmtId="0" fontId="24" fillId="0" borderId="18" xfId="0" applyFont="1" applyBorder="1" applyProtection="1"/>
    <xf numFmtId="0" fontId="10" fillId="0" borderId="22" xfId="0" applyFont="1" applyBorder="1"/>
    <xf numFmtId="0" fontId="14" fillId="0" borderId="16" xfId="0" applyFont="1" applyBorder="1" applyAlignment="1">
      <alignment horizontal="center" vertical="top" wrapText="1"/>
    </xf>
    <xf numFmtId="0" fontId="6" fillId="0" borderId="0" xfId="0" applyFont="1" applyBorder="1" applyAlignment="1" applyProtection="1">
      <alignment wrapText="1"/>
    </xf>
    <xf numFmtId="0" fontId="10" fillId="0" borderId="0" xfId="0" applyFont="1" applyBorder="1"/>
    <xf numFmtId="0" fontId="10" fillId="0" borderId="0" xfId="0" applyFont="1" applyBorder="1" applyProtection="1"/>
    <xf numFmtId="168" fontId="10" fillId="0" borderId="0" xfId="0" applyNumberFormat="1" applyFont="1" applyBorder="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0" borderId="18" xfId="0" applyFont="1" applyFill="1" applyBorder="1" applyAlignment="1">
      <alignment horizontal="center" wrapText="1"/>
    </xf>
    <xf numFmtId="169" fontId="7" fillId="0" borderId="18" xfId="0" applyNumberFormat="1" applyFont="1" applyFill="1" applyBorder="1" applyAlignment="1">
      <alignment horizontal="left" wrapText="1"/>
    </xf>
    <xf numFmtId="168" fontId="10" fillId="0" borderId="18" xfId="0" applyNumberFormat="1" applyFont="1" applyBorder="1" applyAlignment="1">
      <alignment horizontal="center"/>
    </xf>
    <xf numFmtId="18" fontId="23" fillId="0" borderId="0" xfId="0" applyNumberFormat="1" applyFont="1" applyBorder="1" applyAlignment="1">
      <alignment horizontal="center" wrapText="1"/>
    </xf>
    <xf numFmtId="0" fontId="0" fillId="0" borderId="18" xfId="0" applyBorder="1" applyAlignment="1" applyProtection="1">
      <alignment horizontal="left"/>
    </xf>
    <xf numFmtId="169" fontId="12" fillId="0" borderId="18" xfId="0" applyNumberFormat="1" applyFont="1" applyBorder="1" applyAlignment="1" applyProtection="1">
      <alignment horizontal="center"/>
    </xf>
    <xf numFmtId="169" fontId="10" fillId="0" borderId="18" xfId="0" applyNumberFormat="1" applyFont="1" applyBorder="1" applyAlignment="1" applyProtection="1">
      <alignment horizontal="center"/>
    </xf>
    <xf numFmtId="0" fontId="10" fillId="0" borderId="0" xfId="0" applyNumberFormat="1" applyFont="1" applyBorder="1" applyAlignment="1" applyProtection="1">
      <alignment horizontal="left" vertical="center"/>
    </xf>
    <xf numFmtId="169" fontId="10" fillId="0" borderId="0" xfId="0" applyNumberFormat="1" applyFont="1" applyBorder="1" applyAlignment="1" applyProtection="1">
      <alignment horizontal="left" vertical="center"/>
    </xf>
    <xf numFmtId="0" fontId="9" fillId="0" borderId="0" xfId="0" applyFont="1" applyBorder="1" applyAlignment="1">
      <alignment horizontal="center" wrapText="1"/>
    </xf>
    <xf numFmtId="0" fontId="28" fillId="2" borderId="12" xfId="0" applyFont="1" applyFill="1" applyBorder="1"/>
    <xf numFmtId="0" fontId="28"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0" fontId="13" fillId="0" borderId="9" xfId="0" applyFont="1" applyBorder="1" applyAlignment="1"/>
    <xf numFmtId="0" fontId="13" fillId="0" borderId="5" xfId="0" applyFont="1" applyBorder="1" applyAlignment="1"/>
    <xf numFmtId="0" fontId="13" fillId="0" borderId="10" xfId="0" applyFont="1" applyBorder="1" applyAlignment="1"/>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9" fillId="0" borderId="0" xfId="0" applyFont="1"/>
    <xf numFmtId="0" fontId="0"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6" xfId="0" applyFont="1" applyBorder="1" applyProtection="1">
      <protection locked="0"/>
    </xf>
    <xf numFmtId="49" fontId="5" fillId="0" borderId="26"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0" fontId="14" fillId="0" borderId="7" xfId="0" applyFont="1" applyBorder="1" applyAlignment="1">
      <alignment horizontal="center" wrapText="1"/>
    </xf>
    <xf numFmtId="49" fontId="30" fillId="0" borderId="14" xfId="0" applyNumberFormat="1" applyFont="1" applyBorder="1" applyAlignment="1" applyProtection="1">
      <alignment horizontal="center"/>
      <protection locked="0"/>
    </xf>
    <xf numFmtId="49" fontId="31" fillId="0" borderId="4"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protection locked="0"/>
    </xf>
    <xf numFmtId="49" fontId="30" fillId="0" borderId="26" xfId="0" applyNumberFormat="1" applyFont="1" applyBorder="1" applyAlignment="1" applyProtection="1">
      <alignment horizontal="center"/>
      <protection locked="0"/>
    </xf>
    <xf numFmtId="49" fontId="30" fillId="0" borderId="23" xfId="0" applyNumberFormat="1" applyFont="1" applyBorder="1" applyAlignment="1" applyProtection="1">
      <alignment horizontal="center"/>
      <protection locked="0"/>
    </xf>
    <xf numFmtId="0" fontId="10" fillId="0" borderId="0" xfId="0" applyFont="1" applyAlignment="1">
      <alignment horizontal="center"/>
    </xf>
    <xf numFmtId="167" fontId="0" fillId="0" borderId="0" xfId="0" applyNumberFormat="1"/>
    <xf numFmtId="0" fontId="29" fillId="0" borderId="0" xfId="0" applyFont="1" applyAlignment="1">
      <alignment horizontal="right"/>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68" fontId="10" fillId="0" borderId="0" xfId="0" applyNumberFormat="1" applyFont="1" applyBorder="1" applyAlignment="1">
      <alignment horizontal="left" vertical="center"/>
    </xf>
    <xf numFmtId="0" fontId="0" fillId="0" borderId="0" xfId="0" applyAlignment="1">
      <alignment horizontal="left" vertical="top"/>
    </xf>
    <xf numFmtId="0" fontId="10" fillId="0" borderId="18" xfId="0" applyFont="1" applyBorder="1" applyAlignment="1" applyProtection="1">
      <alignment horizontal="left"/>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pplyProtection="1">
      <alignment horizontal="right" vertical="center"/>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10" fillId="0" borderId="18" xfId="0" applyFont="1" applyBorder="1"/>
    <xf numFmtId="0" fontId="6" fillId="0" borderId="0" xfId="0" applyFont="1" applyBorder="1" applyAlignment="1" applyProtection="1">
      <alignment horizontal="center" wrapText="1"/>
    </xf>
    <xf numFmtId="0" fontId="6" fillId="0" borderId="0" xfId="0" applyFont="1" applyBorder="1" applyAlignment="1" applyProtection="1">
      <alignment horizontal="center" vertical="top" wrapText="1"/>
    </xf>
    <xf numFmtId="0" fontId="14" fillId="0" borderId="7" xfId="0" applyFont="1" applyBorder="1" applyAlignment="1">
      <alignment horizontal="center" vertical="top" wrapText="1"/>
    </xf>
    <xf numFmtId="0" fontId="14" fillId="0" borderId="16" xfId="0" applyFont="1" applyBorder="1" applyAlignment="1">
      <alignment horizont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1113477" y="485206"/>
          <a:ext cx="1992923" cy="156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099800" y="465993"/>
          <a:ext cx="2006600" cy="1566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mailto:Columbine@Interurban" TargetMode="External"/><Relationship Id="rId1" Type="http://schemas.openxmlformats.org/officeDocument/2006/relationships/hyperlink" Target="mailto:Columbine@Interurba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showGridLines="0" tabSelected="1" zoomScale="135" zoomScaleNormal="135" zoomScalePageLayoutView="135" workbookViewId="0">
      <selection activeCell="D8" sqref="D8:H8"/>
    </sheetView>
  </sheetViews>
  <sheetFormatPr baseColWidth="10" defaultColWidth="8.83203125" defaultRowHeight="13" x14ac:dyDescent="0.15"/>
  <cols>
    <col min="1" max="1" width="15.83203125" style="2" bestFit="1" customWidth="1"/>
    <col min="2" max="2" width="11.1640625" customWidth="1"/>
    <col min="3" max="3" width="0" style="3" hidden="1" customWidth="1"/>
    <col min="4" max="4" width="8.33203125" customWidth="1"/>
    <col min="5" max="5" width="17" bestFit="1" customWidth="1"/>
    <col min="6" max="6" width="18" bestFit="1" customWidth="1"/>
    <col min="7" max="7" width="22.1640625" bestFit="1" customWidth="1"/>
    <col min="8" max="8" width="25.1640625" bestFit="1" customWidth="1"/>
    <col min="9" max="11" width="31.1640625" customWidth="1"/>
    <col min="12" max="15" width="17.83203125" hidden="1" customWidth="1"/>
  </cols>
  <sheetData>
    <row r="1" spans="1:23" ht="18" x14ac:dyDescent="0.2">
      <c r="A1" s="13" t="s">
        <v>18</v>
      </c>
      <c r="B1" s="90">
        <v>200</v>
      </c>
      <c r="C1">
        <f>IF(Brevet_Length&gt;=1200,Brevet_Length,IF(Brevet_Length&gt;=1000,1000,IF(Brevet_Length&gt;=600,600,IF(Brevet_Length&gt;=400,400,IF(Brevet_Length&gt;=300,300,IF(Brevet_Length&gt;=200,200,100))))))</f>
        <v>200</v>
      </c>
      <c r="J1" s="114" t="s">
        <v>64</v>
      </c>
      <c r="K1" s="114"/>
      <c r="Q1" s="97" t="s">
        <v>65</v>
      </c>
      <c r="R1" s="97"/>
      <c r="S1" s="97"/>
      <c r="T1" s="97"/>
      <c r="U1" s="97"/>
      <c r="V1" s="97"/>
      <c r="W1" s="97"/>
    </row>
    <row r="2" spans="1:23" ht="14" thickBot="1" x14ac:dyDescent="0.2">
      <c r="A2" s="14" t="s">
        <v>19</v>
      </c>
      <c r="B2" s="15">
        <f>IF(brevet=1200,90,IF(brevet=1000,75,IF(brevet=600,40,IF(brevet=400,27,IF(brevet=300,20,IF(brevet=200,13.5,IF(brevet=100,7,0)))))))</f>
        <v>13.5</v>
      </c>
      <c r="Q2" t="s">
        <v>66</v>
      </c>
    </row>
    <row r="3" spans="1:23" ht="19" thickBot="1" x14ac:dyDescent="0.25">
      <c r="A3" s="14" t="s">
        <v>20</v>
      </c>
      <c r="B3" s="91" t="s">
        <v>82</v>
      </c>
      <c r="C3" s="92"/>
      <c r="D3" s="92"/>
      <c r="E3" s="92"/>
      <c r="F3" s="92"/>
      <c r="G3" s="92"/>
      <c r="H3" s="93"/>
      <c r="I3" s="35"/>
      <c r="J3" s="35"/>
      <c r="K3" s="35"/>
      <c r="O3" s="36"/>
      <c r="P3" s="36"/>
      <c r="Q3" s="97" t="s">
        <v>67</v>
      </c>
    </row>
    <row r="4" spans="1:23" ht="18" x14ac:dyDescent="0.2">
      <c r="A4" s="14" t="s">
        <v>21</v>
      </c>
      <c r="B4" s="94">
        <v>5098</v>
      </c>
      <c r="C4" s="32"/>
      <c r="F4" s="33"/>
      <c r="G4" s="33"/>
      <c r="H4" s="33"/>
      <c r="I4" s="33"/>
      <c r="J4" s="33"/>
      <c r="K4" s="33"/>
      <c r="Q4" s="97" t="s">
        <v>68</v>
      </c>
    </row>
    <row r="5" spans="1:23" ht="18" x14ac:dyDescent="0.2">
      <c r="A5" s="60" t="s">
        <v>49</v>
      </c>
      <c r="B5" s="95">
        <v>44416</v>
      </c>
      <c r="Q5" s="97" t="s">
        <v>69</v>
      </c>
    </row>
    <row r="6" spans="1:23" ht="6" customHeight="1" x14ac:dyDescent="0.15"/>
    <row r="7" spans="1:23" ht="19" thickBot="1" x14ac:dyDescent="0.25">
      <c r="A7" s="56" t="s">
        <v>22</v>
      </c>
      <c r="B7" s="95">
        <v>44416</v>
      </c>
      <c r="Q7" s="97" t="s">
        <v>70</v>
      </c>
    </row>
    <row r="8" spans="1:23" ht="19" thickBot="1" x14ac:dyDescent="0.25">
      <c r="A8" s="12" t="s">
        <v>23</v>
      </c>
      <c r="B8" s="96">
        <v>0.29166666666666669</v>
      </c>
      <c r="D8" s="115" t="s">
        <v>120</v>
      </c>
      <c r="E8" s="116"/>
      <c r="F8" s="116"/>
      <c r="G8" s="116"/>
      <c r="H8" s="116"/>
      <c r="I8" s="117" t="s">
        <v>75</v>
      </c>
      <c r="J8" s="116"/>
      <c r="K8" s="118"/>
      <c r="Q8" s="97" t="s">
        <v>71</v>
      </c>
    </row>
    <row r="9" spans="1:23" ht="14" thickBot="1" x14ac:dyDescent="0.2">
      <c r="D9" s="6" t="s">
        <v>24</v>
      </c>
      <c r="E9" s="7" t="s">
        <v>25</v>
      </c>
      <c r="F9" s="84" t="s">
        <v>26</v>
      </c>
      <c r="G9" s="84" t="s">
        <v>27</v>
      </c>
      <c r="H9" s="85" t="s">
        <v>28</v>
      </c>
      <c r="I9" s="7" t="s">
        <v>61</v>
      </c>
      <c r="J9" s="7" t="s">
        <v>62</v>
      </c>
      <c r="K9" s="8" t="s">
        <v>63</v>
      </c>
      <c r="L9" t="s">
        <v>3</v>
      </c>
      <c r="M9" t="s">
        <v>4</v>
      </c>
      <c r="N9" t="s">
        <v>5</v>
      </c>
      <c r="O9" t="s">
        <v>6</v>
      </c>
      <c r="Q9" s="97" t="s">
        <v>72</v>
      </c>
    </row>
    <row r="10" spans="1:23" ht="17" customHeight="1" x14ac:dyDescent="0.2">
      <c r="C10" s="3" t="s">
        <v>7</v>
      </c>
      <c r="D10" s="34">
        <v>0</v>
      </c>
      <c r="E10" s="100" t="s">
        <v>83</v>
      </c>
      <c r="F10" s="101" t="s">
        <v>78</v>
      </c>
      <c r="G10" s="101" t="s">
        <v>84</v>
      </c>
      <c r="H10" s="102" t="s">
        <v>85</v>
      </c>
      <c r="I10" s="107" t="s">
        <v>98</v>
      </c>
      <c r="J10" s="107" t="s">
        <v>99</v>
      </c>
      <c r="K10" s="108"/>
      <c r="L10" s="4">
        <f>Start_date+Start_time</f>
        <v>44416.291666666664</v>
      </c>
      <c r="M10" s="4">
        <f>L10+"1:00"</f>
        <v>44416.333333333328</v>
      </c>
      <c r="N10" s="5">
        <f>IF(ISBLANK(Distance),"",Open Control_1)</f>
        <v>44416.291666666664</v>
      </c>
      <c r="O10" s="5">
        <f>IF(ISBLANK(Distance),"",Close Control_1)</f>
        <v>44416.333333333328</v>
      </c>
      <c r="Q10" s="97" t="s">
        <v>73</v>
      </c>
    </row>
    <row r="11" spans="1:23" ht="17" customHeight="1" x14ac:dyDescent="0.2">
      <c r="B11" s="113">
        <f>B$18+D11</f>
        <v>112.4</v>
      </c>
      <c r="C11" s="3" t="s">
        <v>8</v>
      </c>
      <c r="D11" s="34">
        <v>33</v>
      </c>
      <c r="E11" s="100" t="s">
        <v>86</v>
      </c>
      <c r="F11" s="101" t="s">
        <v>78</v>
      </c>
      <c r="G11" s="101" t="s">
        <v>118</v>
      </c>
      <c r="H11" s="102"/>
      <c r="I11" s="107" t="s">
        <v>100</v>
      </c>
      <c r="J11" s="107" t="s">
        <v>101</v>
      </c>
      <c r="K11" s="108"/>
      <c r="L11">
        <f>IF(ISBLANK(Distance),"",IF(Distance&gt;1000,(Distance-1000)/26+33.0847,(IF(Distance&gt;600,(Distance-600)/28+18.799,(IF(Distance&gt;400,(Distance-400)/30+12.1324,(IF(Distance&gt;200,(Distance-200)/32+5.8824,Distance/34))))))))</f>
        <v>0.97058823529411764</v>
      </c>
      <c r="M11">
        <f>IF(ISBLANK(Distance),"",IF(Distance&gt;=brevet,IF(brevet&gt;1200,(brevet-1200)*75/1000+90,Max_time),IF(Distance&gt;1200,(Distance-1200)*75/1000+90,IF(Distance&gt;1000,(Distance-1000)/(1000/75)+75,IF(Distance&gt;600,(Distance-600)/(400/35)+40,Distance/15)))))</f>
        <v>2.2000000000000002</v>
      </c>
      <c r="N11" s="5">
        <f>IF(ISBLANK(Distance),"",Open_time Control_1+(INT(Open)&amp;":"&amp;IF(ROUND(((Open-INT(Open))*60),0)&lt;10,0,"")&amp;ROUND(((Open-INT(Open))*60),0)))</f>
        <v>44416.331944444442</v>
      </c>
      <c r="O11" s="5">
        <f>IF(ISBLANK(Distance),"",Open_time Control_1+(INT(Close)&amp;":"&amp;IF(ROUND(((Close-INT(Close))*60),0)&lt;10,0,"")&amp;ROUND(((Close-INT(Close))*60),0)))</f>
        <v>44416.383333333331</v>
      </c>
      <c r="Q11" s="97" t="s">
        <v>74</v>
      </c>
    </row>
    <row r="12" spans="1:23" ht="17" customHeight="1" x14ac:dyDescent="0.2">
      <c r="B12" s="113">
        <f t="shared" ref="B12:B14" si="0">B$18+D12</f>
        <v>140.30000000000001</v>
      </c>
      <c r="C12" s="3" t="s">
        <v>9</v>
      </c>
      <c r="D12" s="34">
        <v>60.9</v>
      </c>
      <c r="E12" s="100" t="s">
        <v>87</v>
      </c>
      <c r="F12" s="101" t="s">
        <v>78</v>
      </c>
      <c r="G12" s="101" t="s">
        <v>88</v>
      </c>
      <c r="H12" s="102"/>
      <c r="I12" s="107" t="s">
        <v>102</v>
      </c>
      <c r="J12" s="107" t="s">
        <v>103</v>
      </c>
      <c r="K12" s="108"/>
      <c r="L12">
        <f>IF(ISBLANK(Distance),"",IF(Distance&gt;1000,(Distance-1000)/26+33.0847,(IF(Distance&gt;600,(Distance-600)/28+18.799,(IF(Distance&gt;400,(Distance-400)/30+12.1324,(IF(Distance&gt;200,(Distance-200)/32+5.8824,Distance/34))))))))</f>
        <v>1.7911764705882351</v>
      </c>
      <c r="M12">
        <f t="shared" ref="M12:M19" si="1">IF(ISBLANK(Distance),"",IF(Distance&gt;=brevet,IF(brevet&gt;1200,(brevet-1200)*75/1000+90,Max_time),IF(Distance&gt;1200,(Distance-1200)*75/1000+90,IF(Distance&gt;1000,(Distance-1000)/(1000/75)+75,IF(Distance&gt;600,(Distance-600)/(400/35)+40,Distance/15)))))</f>
        <v>4.0599999999999996</v>
      </c>
      <c r="N12" s="5">
        <f>IF(ISBLANK(Distance),"",Open_time Control_1+(INT(Open)&amp;":"&amp;IF(ROUND(((Open-INT(Open))*60),0)&lt;10,0,"")&amp;ROUND(((Open-INT(Open))*60),0)))</f>
        <v>44416.365972222222</v>
      </c>
      <c r="O12" s="5">
        <f>IF(ISBLANK(Distance),"",Open_time Control_1+(INT(Close)&amp;":"&amp;IF(ROUND(((Close-INT(Close))*60),0)&lt;10,0,"")&amp;ROUND(((Close-INT(Close))*60),0)))</f>
        <v>44416.461111111108</v>
      </c>
    </row>
    <row r="13" spans="1:23" ht="17" customHeight="1" x14ac:dyDescent="0.2">
      <c r="B13" s="113">
        <f t="shared" si="0"/>
        <v>163.69999999999999</v>
      </c>
      <c r="C13" s="3" t="s">
        <v>10</v>
      </c>
      <c r="D13" s="34">
        <v>84.3</v>
      </c>
      <c r="E13" s="100" t="s">
        <v>89</v>
      </c>
      <c r="F13" s="101" t="s">
        <v>78</v>
      </c>
      <c r="G13" s="101" t="s">
        <v>90</v>
      </c>
      <c r="H13" s="102"/>
      <c r="I13" s="107" t="s">
        <v>104</v>
      </c>
      <c r="J13" s="107" t="s">
        <v>99</v>
      </c>
      <c r="K13" s="108"/>
      <c r="L13">
        <f t="shared" ref="L13:L19" si="2">IF(ISBLANK(Distance),"",IF(Distance&gt;1000,(Distance-1000)/26+33.0847,(IF(Distance&gt;600,(Distance-600)/28+18.799,(IF(Distance&gt;400,(Distance-400)/30+12.1324,(IF(Distance&gt;200,(Distance-200)/32+5.8824,Distance/34))))))))</f>
        <v>2.4794117647058824</v>
      </c>
      <c r="M13">
        <f t="shared" si="1"/>
        <v>5.62</v>
      </c>
      <c r="N13" s="5">
        <f>IF(ISBLANK(Distance),"",Open_time Control_1+(INT(Open)&amp;":"&amp;IF(ROUND(((Open-INT(Open))*60),0)&lt;10,0,"")&amp;ROUND(((Open-INT(Open))*60),0)))</f>
        <v>44416.395138888889</v>
      </c>
      <c r="O13" s="5">
        <f>IF(ISBLANK(Distance),"",Open_time Control_1+(INT(Close)&amp;":"&amp;IF(ROUND(((Close-INT(Close))*60),0)&lt;10,0,"")&amp;ROUND(((Close-INT(Close))*60),0)))</f>
        <v>44416.525694444441</v>
      </c>
    </row>
    <row r="14" spans="1:23" ht="17" customHeight="1" x14ac:dyDescent="0.2">
      <c r="B14" s="113">
        <f t="shared" si="0"/>
        <v>201.5</v>
      </c>
      <c r="C14" s="3" t="s">
        <v>11</v>
      </c>
      <c r="D14" s="34">
        <v>122.1</v>
      </c>
      <c r="E14" s="100" t="s">
        <v>91</v>
      </c>
      <c r="F14" s="101" t="s">
        <v>78</v>
      </c>
      <c r="G14" s="101" t="s">
        <v>116</v>
      </c>
      <c r="H14" s="102" t="s">
        <v>117</v>
      </c>
      <c r="I14" s="107" t="s">
        <v>105</v>
      </c>
      <c r="J14" s="107" t="s">
        <v>106</v>
      </c>
      <c r="K14" s="109" t="s">
        <v>107</v>
      </c>
      <c r="L14">
        <f t="shared" si="2"/>
        <v>3.591176470588235</v>
      </c>
      <c r="M14">
        <f t="shared" si="1"/>
        <v>8.1399999999999988</v>
      </c>
      <c r="N14" s="5">
        <f>IF(ISBLANK(Distance),"",Open_time Control_1+(INT(Open)&amp;":"&amp;IF(ROUND(((Open-INT(Open))*60),0)&lt;10,0,"")&amp;ROUND(((Open-INT(Open))*60),0)))</f>
        <v>44416.440972222219</v>
      </c>
      <c r="O14" s="5">
        <f>IF(ISBLANK(Distance),"",Open_time Control_1+(INT(Close)&amp;":"&amp;IF(ROUND(((Close-INT(Close))*60),0)&lt;10,0,"")&amp;ROUND(((Close-INT(Close))*60),0)))</f>
        <v>44416.630555555552</v>
      </c>
      <c r="Q14" s="98" t="s">
        <v>76</v>
      </c>
    </row>
    <row r="15" spans="1:23" ht="17" customHeight="1" x14ac:dyDescent="0.2">
      <c r="B15" s="113">
        <f>D15-D$14</f>
        <v>13</v>
      </c>
      <c r="C15" s="3" t="s">
        <v>12</v>
      </c>
      <c r="D15" s="34">
        <v>135.1</v>
      </c>
      <c r="E15" s="100" t="s">
        <v>92</v>
      </c>
      <c r="F15" s="101" t="s">
        <v>78</v>
      </c>
      <c r="G15" s="101" t="s">
        <v>112</v>
      </c>
      <c r="H15" s="102" t="s">
        <v>113</v>
      </c>
      <c r="I15" s="107" t="s">
        <v>114</v>
      </c>
      <c r="J15" s="107" t="s">
        <v>115</v>
      </c>
      <c r="K15" s="109"/>
      <c r="L15">
        <f t="shared" si="2"/>
        <v>3.9735294117647055</v>
      </c>
      <c r="M15">
        <f t="shared" si="1"/>
        <v>9.0066666666666659</v>
      </c>
      <c r="N15" s="5">
        <f>IF(ISBLANK(Distance),"",Open_time Control_1+(INT(Open)&amp;":"&amp;IF(ROUND(((Open-INT(Open))*60),0)&lt;10,0,"")&amp;ROUND(((Open-INT(Open))*60),0)))</f>
        <v>44416.456944444442</v>
      </c>
      <c r="O15" s="5">
        <f>IF(ISBLANK(Distance),"",Open_time Control_1+(INT(Close)&amp;":"&amp;IF(ROUND(((Close-INT(Close))*60),0)&lt;10,0,"")&amp;ROUND(((Close-INT(Close))*60),0)))</f>
        <v>44416.666666666664</v>
      </c>
    </row>
    <row r="16" spans="1:23" ht="17" customHeight="1" x14ac:dyDescent="0.2">
      <c r="B16" s="113">
        <f t="shared" ref="B16:B19" si="3">D16-D$14</f>
        <v>28</v>
      </c>
      <c r="C16" s="3" t="s">
        <v>13</v>
      </c>
      <c r="D16" s="34">
        <v>150.1</v>
      </c>
      <c r="E16" s="100" t="s">
        <v>93</v>
      </c>
      <c r="F16" s="101" t="s">
        <v>78</v>
      </c>
      <c r="G16" s="101" t="s">
        <v>94</v>
      </c>
      <c r="H16" s="102" t="s">
        <v>95</v>
      </c>
      <c r="I16" s="107" t="s">
        <v>108</v>
      </c>
      <c r="J16" s="107"/>
      <c r="K16" s="109" t="s">
        <v>109</v>
      </c>
      <c r="L16">
        <f t="shared" si="2"/>
        <v>4.4147058823529406</v>
      </c>
      <c r="M16">
        <f t="shared" si="1"/>
        <v>10.006666666666666</v>
      </c>
      <c r="N16" s="5">
        <f>IF(ISBLANK(Distance),"",Open_time Control_1+(INT(Open)&amp;":"&amp;IF(ROUND(((Open-INT(Open))*60),0)&lt;10,0,"")&amp;ROUND(((Open-INT(Open))*60),0)))</f>
        <v>44416.475694444445</v>
      </c>
      <c r="O16" s="5">
        <f>IF(ISBLANK(Distance),"",Open_time Control_1+(INT(Close)&amp;":"&amp;IF(ROUND(((Close-INT(Close))*60),0)&lt;10,0,"")&amp;ROUND(((Close-INT(Close))*60),0)))</f>
        <v>44416.708333333328</v>
      </c>
    </row>
    <row r="17" spans="2:15" ht="17" customHeight="1" x14ac:dyDescent="0.2">
      <c r="B17" s="113">
        <f t="shared" si="3"/>
        <v>65.900000000000006</v>
      </c>
      <c r="C17" s="3" t="s">
        <v>14</v>
      </c>
      <c r="D17" s="34">
        <v>188</v>
      </c>
      <c r="E17" s="100" t="s">
        <v>89</v>
      </c>
      <c r="F17" s="101" t="s">
        <v>78</v>
      </c>
      <c r="G17" s="101" t="s">
        <v>96</v>
      </c>
      <c r="H17" s="102" t="s">
        <v>97</v>
      </c>
      <c r="I17" s="107" t="s">
        <v>110</v>
      </c>
      <c r="J17" s="107"/>
      <c r="K17" s="109" t="s">
        <v>111</v>
      </c>
      <c r="L17">
        <f t="shared" si="2"/>
        <v>5.5294117647058822</v>
      </c>
      <c r="M17">
        <f t="shared" si="1"/>
        <v>12.533333333333333</v>
      </c>
      <c r="N17" s="5">
        <f>IF(ISBLANK(Distance),"",Open_time Control_1+(INT(Open)&amp;":"&amp;IF(ROUND(((Open-INT(Open))*60),0)&lt;10,0,"")&amp;ROUND(((Open-INT(Open))*60),0)))</f>
        <v>44416.522222222222</v>
      </c>
      <c r="O17" s="5">
        <f>IF(ISBLANK(Distance),"",Open_time Control_1+(INT(Close)&amp;":"&amp;IF(ROUND(((Close-INT(Close))*60),0)&lt;10,0,"")&amp;ROUND(((Close-INT(Close))*60),0)))</f>
        <v>44416.813888888886</v>
      </c>
    </row>
    <row r="18" spans="2:15" ht="17" customHeight="1" x14ac:dyDescent="0.2">
      <c r="B18" s="113">
        <f t="shared" si="3"/>
        <v>79.400000000000006</v>
      </c>
      <c r="C18" s="3" t="s">
        <v>15</v>
      </c>
      <c r="D18" s="34">
        <v>201.5</v>
      </c>
      <c r="E18" s="100" t="s">
        <v>83</v>
      </c>
      <c r="F18" s="101"/>
      <c r="G18" s="101" t="s">
        <v>84</v>
      </c>
      <c r="H18" s="102" t="s">
        <v>85</v>
      </c>
      <c r="I18" s="107" t="s">
        <v>79</v>
      </c>
      <c r="J18" s="107"/>
      <c r="K18" s="109"/>
      <c r="L18">
        <f t="shared" si="2"/>
        <v>5.9292749999999996</v>
      </c>
      <c r="M18">
        <f t="shared" si="1"/>
        <v>13.5</v>
      </c>
      <c r="N18" s="5">
        <f>IF(ISBLANK(Distance),"",Open_time Control_1+(INT(Open)&amp;":"&amp;IF(ROUND(((Open-INT(Open))*60),0)&lt;10,0,"")&amp;ROUND(((Open-INT(Open))*60),0)))</f>
        <v>44416.538888888885</v>
      </c>
      <c r="O18" s="5">
        <f>IF(ISBLANK(Distance),"",Open_time Control_1+(INT(Close)&amp;":"&amp;IF(ROUND(((Close-INT(Close))*60),0)&lt;10,0,"")&amp;ROUND(((Close-INT(Close))*60),0)))</f>
        <v>44416.854166666664</v>
      </c>
    </row>
    <row r="19" spans="2:15" ht="17" customHeight="1" thickBot="1" x14ac:dyDescent="0.25">
      <c r="B19" s="113"/>
      <c r="C19" s="3" t="s">
        <v>16</v>
      </c>
      <c r="D19" s="64"/>
      <c r="E19" s="103"/>
      <c r="F19" s="104"/>
      <c r="G19" s="104"/>
      <c r="H19" s="105"/>
      <c r="I19" s="110"/>
      <c r="J19" s="110"/>
      <c r="K19" s="111"/>
      <c r="L19" t="str">
        <f t="shared" si="2"/>
        <v/>
      </c>
      <c r="M19" t="str">
        <f t="shared" si="1"/>
        <v/>
      </c>
      <c r="N19" s="5" t="str">
        <f>IF(ISBLANK(Distance),"",Open_time Control_1+(INT(Open)&amp;":"&amp;IF(ROUND(((Open-INT(Open))*60),0)&lt;10,0,"")&amp;ROUND(((Open-INT(Open))*60),0)))</f>
        <v/>
      </c>
      <c r="O19" s="5" t="str">
        <f>IF(ISBLANK(Distance),"",Open_time Control_1+(INT(Close)&amp;":"&amp;IF(ROUND(((Close-INT(Close))*60),0)&lt;10,0,"")&amp;ROUND(((Close-INT(Close))*60),0)))</f>
        <v/>
      </c>
    </row>
    <row r="20" spans="2:15" ht="7" customHeight="1" thickBot="1" x14ac:dyDescent="0.25">
      <c r="D20" s="86"/>
      <c r="E20" s="87"/>
      <c r="F20" s="88"/>
      <c r="G20" s="88"/>
      <c r="H20" s="88"/>
      <c r="I20" s="88"/>
      <c r="J20" s="88"/>
      <c r="K20" s="89"/>
      <c r="N20" s="5"/>
      <c r="O20" s="5"/>
    </row>
    <row r="21" spans="2:15" ht="14" thickBot="1" x14ac:dyDescent="0.2">
      <c r="D21" s="115" t="s">
        <v>119</v>
      </c>
      <c r="E21" s="116"/>
      <c r="F21" s="116"/>
      <c r="G21" s="116"/>
      <c r="H21" s="116"/>
      <c r="I21" s="117" t="s">
        <v>77</v>
      </c>
      <c r="J21" s="116"/>
      <c r="K21" s="118"/>
    </row>
    <row r="22" spans="2:15" ht="14" thickBot="1" x14ac:dyDescent="0.2">
      <c r="D22" s="6" t="s">
        <v>24</v>
      </c>
      <c r="E22" s="7" t="s">
        <v>25</v>
      </c>
      <c r="F22" s="84" t="s">
        <v>26</v>
      </c>
      <c r="G22" s="84" t="s">
        <v>27</v>
      </c>
      <c r="H22" s="85" t="s">
        <v>28</v>
      </c>
      <c r="I22" s="7" t="s">
        <v>61</v>
      </c>
      <c r="J22" s="7" t="s">
        <v>62</v>
      </c>
      <c r="K22" s="8" t="s">
        <v>63</v>
      </c>
      <c r="L22" t="s">
        <v>3</v>
      </c>
      <c r="M22" t="s">
        <v>4</v>
      </c>
      <c r="N22" t="s">
        <v>5</v>
      </c>
      <c r="O22" t="s">
        <v>6</v>
      </c>
    </row>
    <row r="23" spans="2:15" ht="16" x14ac:dyDescent="0.2">
      <c r="D23" s="34">
        <v>0</v>
      </c>
      <c r="E23" s="100" t="s">
        <v>91</v>
      </c>
      <c r="F23" s="101" t="s">
        <v>78</v>
      </c>
      <c r="G23" s="101" t="s">
        <v>116</v>
      </c>
      <c r="H23" s="102" t="s">
        <v>117</v>
      </c>
      <c r="I23" s="107" t="s">
        <v>105</v>
      </c>
      <c r="J23" s="107" t="s">
        <v>106</v>
      </c>
      <c r="K23" s="109" t="s">
        <v>107</v>
      </c>
      <c r="L23">
        <f>IF(ISBLANK(D23),"",IF(D23&gt;1000,(D23-1000)/26+33.0847,(IF(D23&gt;600,(D23-600)/28+18.799,(IF(D23&gt;400,(D23-400)/30+12.1324,(IF(D23&gt;200,(D23-200)/32+5.8824,D23/34))))))))</f>
        <v>0</v>
      </c>
      <c r="M23">
        <f>IF(ISBLANK(D23),"",IF((D23=0),1,IF(D23&gt;=brevet,IF(brevet&gt;1200,(brevet-1200)*75/1000+90,Max_time),IF(D23&gt;1200,(D23-1200)*75/1000+90,IF(D23&gt;1000,(D23-1000)/(1000/75)+75,IF(D23&gt;600,(D23-600)/(400/35)+40,D23/15))))))</f>
        <v>1</v>
      </c>
      <c r="N23" s="5">
        <f>IF(ISBLANK(D23),"",Open_time Control_1+(INT(L23)&amp;":"&amp;IF(ROUND(((L23-INT(L23))*60),0)&lt;10,0,"")&amp;ROUND(((L23-INT(L23))*60),0)))</f>
        <v>44416.291666666664</v>
      </c>
      <c r="O23" s="5">
        <f>IF(ISBLANK(D23),"",Open_time Control_1+(INT(M23)&amp;":"&amp;IF(ROUND(((M23-INT(M23))*60),0)&lt;10,0,"")&amp;ROUND(((M23-INT(M23))*60),0)))</f>
        <v>44416.333333333328</v>
      </c>
    </row>
    <row r="24" spans="2:15" ht="17" customHeight="1" x14ac:dyDescent="0.2">
      <c r="D24" s="34">
        <v>13</v>
      </c>
      <c r="E24" s="100" t="s">
        <v>92</v>
      </c>
      <c r="F24" s="101" t="s">
        <v>78</v>
      </c>
      <c r="G24" s="101" t="s">
        <v>112</v>
      </c>
      <c r="H24" s="102" t="s">
        <v>113</v>
      </c>
      <c r="I24" s="107" t="s">
        <v>114</v>
      </c>
      <c r="J24" s="107" t="s">
        <v>115</v>
      </c>
      <c r="K24" s="109"/>
      <c r="L24">
        <f t="shared" ref="L24:L32" si="4">IF(ISBLANK(D24),"",IF(D24&gt;1000,(D24-1000)/26+33.0847,(IF(D24&gt;600,(D24-600)/28+18.799,(IF(D24&gt;400,(D24-400)/30+12.1324,(IF(D24&gt;200,(D24-200)/32+5.8824,D24/34))))))))</f>
        <v>0.38235294117647056</v>
      </c>
      <c r="M24">
        <f t="shared" ref="M24:M32" si="5">IF(ISBLANK(D24),"",IF(D24&gt;=brevet,IF(brevet&gt;1200,(brevet-1200)*75/1000+90,Max_time),IF(D24&gt;1200,(D24-1200)*75/1000+90,IF(D24&gt;1000,(D24-1000)/(1000/75)+75,IF(D24&gt;600,(D24-600)/(400/35)+40,D24/15)))))</f>
        <v>0.8666666666666667</v>
      </c>
      <c r="N24" s="5">
        <f>IF(ISBLANK(D24),"",Open_time Control_1+(INT(L24)&amp;":"&amp;IF(ROUND(((L24-INT(L24))*60),0)&lt;10,0,"")&amp;ROUND(((L24-INT(L24))*60),0)))</f>
        <v>44416.307638888888</v>
      </c>
      <c r="O24" s="5">
        <f>IF(ISBLANK(D24),"",Open_time Control_1+(INT(M24)&amp;":"&amp;IF(ROUND(((M24-INT(M24))*60),0)&lt;10,0,"")&amp;ROUND(((M24-INT(M24))*60),0)))</f>
        <v>44416.327777777777</v>
      </c>
    </row>
    <row r="25" spans="2:15" ht="17" customHeight="1" x14ac:dyDescent="0.2">
      <c r="D25" s="34">
        <v>28</v>
      </c>
      <c r="E25" s="100" t="s">
        <v>93</v>
      </c>
      <c r="F25" s="101" t="s">
        <v>78</v>
      </c>
      <c r="G25" s="101" t="s">
        <v>94</v>
      </c>
      <c r="H25" s="102" t="s">
        <v>95</v>
      </c>
      <c r="I25" s="107" t="s">
        <v>108</v>
      </c>
      <c r="J25" s="107"/>
      <c r="K25" s="109" t="s">
        <v>109</v>
      </c>
      <c r="L25">
        <f t="shared" si="4"/>
        <v>0.82352941176470584</v>
      </c>
      <c r="M25">
        <f t="shared" si="5"/>
        <v>1.8666666666666667</v>
      </c>
      <c r="N25" s="5">
        <f>IF(ISBLANK(D25),"",Open_time Control_1+(INT(L25)&amp;":"&amp;IF(ROUND(((L25-INT(L25))*60),0)&lt;10,0,"")&amp;ROUND(((L25-INT(L25))*60),0)))</f>
        <v>44416.325694444444</v>
      </c>
      <c r="O25" s="5">
        <f>IF(ISBLANK(D25),"",Open_time Control_1+(INT(M25)&amp;":"&amp;IF(ROUND(((M25-INT(M25))*60),0)&lt;10,0,"")&amp;ROUND(((M25-INT(M25))*60),0)))</f>
        <v>44416.369444444441</v>
      </c>
    </row>
    <row r="26" spans="2:15" ht="17" customHeight="1" x14ac:dyDescent="0.2">
      <c r="D26" s="34">
        <v>65.900000000000006</v>
      </c>
      <c r="E26" s="100" t="s">
        <v>89</v>
      </c>
      <c r="F26" s="101" t="s">
        <v>78</v>
      </c>
      <c r="G26" s="101" t="s">
        <v>96</v>
      </c>
      <c r="H26" s="102" t="s">
        <v>97</v>
      </c>
      <c r="I26" s="107" t="s">
        <v>110</v>
      </c>
      <c r="J26" s="107"/>
      <c r="K26" s="109" t="s">
        <v>111</v>
      </c>
      <c r="L26">
        <f t="shared" si="4"/>
        <v>1.9382352941176473</v>
      </c>
      <c r="M26">
        <f t="shared" si="5"/>
        <v>4.3933333333333335</v>
      </c>
      <c r="N26" s="5">
        <f>IF(ISBLANK(D26),"",Open_time Control_1+(INT(L26)&amp;":"&amp;IF(ROUND(((L26-INT(L26))*60),0)&lt;10,0,"")&amp;ROUND(((L26-INT(L26))*60),0)))</f>
        <v>44416.37222222222</v>
      </c>
      <c r="O26" s="5">
        <f>IF(ISBLANK(D26),"",Open_time Control_1+(INT(M26)&amp;":"&amp;IF(ROUND(((M26-INT(M26))*60),0)&lt;10,0,"")&amp;ROUND(((M26-INT(M26))*60),0)))</f>
        <v>44416.474999999999</v>
      </c>
    </row>
    <row r="27" spans="2:15" ht="17" customHeight="1" x14ac:dyDescent="0.2">
      <c r="D27" s="34">
        <v>79.400000000000006</v>
      </c>
      <c r="E27" s="100" t="s">
        <v>83</v>
      </c>
      <c r="F27" s="101" t="s">
        <v>78</v>
      </c>
      <c r="G27" s="101" t="s">
        <v>84</v>
      </c>
      <c r="H27" s="102" t="s">
        <v>85</v>
      </c>
      <c r="I27" s="107" t="s">
        <v>98</v>
      </c>
      <c r="J27" s="107" t="s">
        <v>99</v>
      </c>
      <c r="K27" s="108"/>
      <c r="L27">
        <f t="shared" si="4"/>
        <v>2.335294117647059</v>
      </c>
      <c r="M27">
        <f t="shared" si="5"/>
        <v>5.2933333333333339</v>
      </c>
      <c r="N27" s="5">
        <f>IF(ISBLANK(D27),"",Open_time Control_1+(INT(L27)&amp;":"&amp;IF(ROUND(((L27-INT(L27))*60),0)&lt;10,0,"")&amp;ROUND(((L27-INT(L27))*60),0)))</f>
        <v>44416.388888888883</v>
      </c>
      <c r="O27" s="5">
        <f>IF(ISBLANK(D27),"",Open_time Control_1+(INT(M27)&amp;":"&amp;IF(ROUND(((M27-INT(M27))*60),0)&lt;10,0,"")&amp;ROUND(((M27-INT(M27))*60),0)))</f>
        <v>44416.512499999997</v>
      </c>
    </row>
    <row r="28" spans="2:15" ht="17" customHeight="1" x14ac:dyDescent="0.2">
      <c r="D28" s="34">
        <v>112.4</v>
      </c>
      <c r="E28" s="100" t="s">
        <v>86</v>
      </c>
      <c r="F28" s="101" t="s">
        <v>78</v>
      </c>
      <c r="G28" s="101" t="s">
        <v>118</v>
      </c>
      <c r="H28" s="102"/>
      <c r="I28" s="107" t="s">
        <v>100</v>
      </c>
      <c r="J28" s="107" t="s">
        <v>101</v>
      </c>
      <c r="K28" s="108"/>
      <c r="L28">
        <f t="shared" si="4"/>
        <v>3.3058823529411767</v>
      </c>
      <c r="M28">
        <f t="shared" si="5"/>
        <v>7.4933333333333341</v>
      </c>
      <c r="N28" s="5">
        <f>IF(ISBLANK(D28),"",Open_time Control_1+(INT(L28)&amp;":"&amp;IF(ROUND(((L28-INT(L28))*60),0)&lt;10,0,"")&amp;ROUND(((L28-INT(L28))*60),0)))</f>
        <v>44416.429166666661</v>
      </c>
      <c r="O28" s="5">
        <f>IF(ISBLANK(D28),"",Open_time Control_1+(INT(M28)&amp;":"&amp;IF(ROUND(((M28-INT(M28))*60),0)&lt;10,0,"")&amp;ROUND(((M28-INT(M28))*60),0)))</f>
        <v>44416.604166666664</v>
      </c>
    </row>
    <row r="29" spans="2:15" ht="17" customHeight="1" x14ac:dyDescent="0.2">
      <c r="D29" s="34">
        <v>140.30000000000001</v>
      </c>
      <c r="E29" s="100" t="s">
        <v>87</v>
      </c>
      <c r="F29" s="101" t="s">
        <v>78</v>
      </c>
      <c r="G29" s="101" t="s">
        <v>88</v>
      </c>
      <c r="H29" s="102"/>
      <c r="I29" s="107" t="s">
        <v>102</v>
      </c>
      <c r="J29" s="107" t="s">
        <v>103</v>
      </c>
      <c r="K29" s="108"/>
      <c r="L29">
        <f t="shared" si="4"/>
        <v>4.1264705882352946</v>
      </c>
      <c r="M29">
        <f t="shared" si="5"/>
        <v>9.3533333333333335</v>
      </c>
      <c r="N29" s="5">
        <f>IF(ISBLANK(D29),"",Open_time Control_1+(INT(L29)&amp;":"&amp;IF(ROUND(((L29-INT(L29))*60),0)&lt;10,0,"")&amp;ROUND(((L29-INT(L29))*60),0)))</f>
        <v>44416.463888888888</v>
      </c>
      <c r="O29" s="5">
        <f>IF(ISBLANK(D29),"",Open_time Control_1+(INT(M29)&amp;":"&amp;IF(ROUND(((M29-INT(M29))*60),0)&lt;10,0,"")&amp;ROUND(((M29-INT(M29))*60),0)))</f>
        <v>44416.681249999994</v>
      </c>
    </row>
    <row r="30" spans="2:15" ht="17" customHeight="1" x14ac:dyDescent="0.2">
      <c r="D30" s="34">
        <v>163.69999999999999</v>
      </c>
      <c r="E30" s="100" t="s">
        <v>89</v>
      </c>
      <c r="F30" s="101" t="s">
        <v>78</v>
      </c>
      <c r="G30" s="101" t="s">
        <v>90</v>
      </c>
      <c r="H30" s="102"/>
      <c r="I30" s="107" t="s">
        <v>104</v>
      </c>
      <c r="J30" s="107" t="s">
        <v>99</v>
      </c>
      <c r="K30" s="108"/>
      <c r="L30">
        <f t="shared" si="4"/>
        <v>4.8147058823529409</v>
      </c>
      <c r="M30">
        <f t="shared" si="5"/>
        <v>10.913333333333332</v>
      </c>
      <c r="N30" s="5">
        <f>IF(ISBLANK(D30),"",Open_time Control_1+(INT(L30)&amp;":"&amp;IF(ROUND(((L30-INT(L30))*60),0)&lt;10,0,"")&amp;ROUND(((L30-INT(L30))*60),0)))</f>
        <v>44416.492361111108</v>
      </c>
      <c r="O30" s="5">
        <f>IF(ISBLANK(D30),"",Open_time Control_1+(INT(M30)&amp;":"&amp;IF(ROUND(((M30-INT(M30))*60),0)&lt;10,0,"")&amp;ROUND(((M30-INT(M30))*60),0)))</f>
        <v>44416.746527777774</v>
      </c>
    </row>
    <row r="31" spans="2:15" ht="17" customHeight="1" x14ac:dyDescent="0.2">
      <c r="D31" s="34">
        <v>201.5</v>
      </c>
      <c r="E31" s="100" t="s">
        <v>91</v>
      </c>
      <c r="F31" s="101"/>
      <c r="G31" s="101" t="s">
        <v>116</v>
      </c>
      <c r="H31" s="102" t="s">
        <v>117</v>
      </c>
      <c r="I31" s="107" t="s">
        <v>80</v>
      </c>
      <c r="J31" s="107"/>
      <c r="K31" s="109"/>
      <c r="L31">
        <f t="shared" si="4"/>
        <v>5.9292749999999996</v>
      </c>
      <c r="M31">
        <f t="shared" si="5"/>
        <v>13.5</v>
      </c>
      <c r="N31" s="5">
        <f>IF(ISBLANK(D31),"",Open_time Control_1+(INT(L31)&amp;":"&amp;IF(ROUND(((L31-INT(L31))*60),0)&lt;10,0,"")&amp;ROUND(((L31-INT(L31))*60),0)))</f>
        <v>44416.538888888885</v>
      </c>
      <c r="O31" s="5">
        <f>IF(ISBLANK(D31),"",Open_time Control_1+(INT(M31)&amp;":"&amp;IF(ROUND(((M31-INT(M31))*60),0)&lt;10,0,"")&amp;ROUND(((M31-INT(M31))*60),0)))</f>
        <v>44416.854166666664</v>
      </c>
    </row>
    <row r="32" spans="2:15" ht="17" customHeight="1" thickBot="1" x14ac:dyDescent="0.25">
      <c r="D32" s="64"/>
      <c r="E32" s="103"/>
      <c r="F32" s="104"/>
      <c r="G32" s="104"/>
      <c r="H32" s="105"/>
      <c r="I32" s="110"/>
      <c r="J32" s="110"/>
      <c r="K32" s="111"/>
      <c r="L32" t="str">
        <f t="shared" si="4"/>
        <v/>
      </c>
      <c r="M32" t="str">
        <f t="shared" si="5"/>
        <v/>
      </c>
      <c r="N32" s="5" t="str">
        <f>IF(ISBLANK(D32),"",Open_time Control_1+(INT(L32)&amp;":"&amp;IF(ROUND(((L32-INT(L32))*60),0)&lt;10,0,"")&amp;ROUND(((L32-INT(L32))*60),0)))</f>
        <v/>
      </c>
      <c r="O32" s="5" t="str">
        <f>IF(ISBLANK(D32),"",Open_time Control_1+(INT(M32)&amp;":"&amp;IF(ROUND(((M32-INT(M32))*60),0)&lt;10,0,"")&amp;ROUND(((M32-INT(M32))*60),0)))</f>
        <v/>
      </c>
    </row>
  </sheetData>
  <mergeCells count="5">
    <mergeCell ref="J1:K1"/>
    <mergeCell ref="D8:H8"/>
    <mergeCell ref="D21:H21"/>
    <mergeCell ref="I8:K8"/>
    <mergeCell ref="I21:K21"/>
  </mergeCells>
  <phoneticPr fontId="16" type="noConversion"/>
  <hyperlinks>
    <hyperlink ref="H11" r:id="rId1" display="Columbine@Interurban" xr:uid="{602DC989-9FE1-4044-9276-0E317DE33C2F}"/>
    <hyperlink ref="H28" r:id="rId2" display="Columbine@Interurban" xr:uid="{091A9350-6267-9C40-B810-3BD18FD20279}"/>
  </hyperlinks>
  <pageMargins left="0.75" right="0.75" top="1" bottom="1" header="0.5" footer="0.5"/>
  <pageSetup orientation="portrait" horizontalDpi="4294967292" verticalDpi="4294967292"/>
  <headerFooter>
    <oddHeader>&amp;A</oddHeader>
    <oddFooter>Page &amp;P</oddFooter>
  </headerFooter>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topLeftCell="A15" zoomScale="92" zoomScaleNormal="92" zoomScalePageLayoutView="92" workbookViewId="0">
      <selection activeCell="E25" sqref="E25"/>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2" t="s">
        <v>44</v>
      </c>
      <c r="B1" s="122"/>
      <c r="C1" s="122"/>
      <c r="D1" s="122"/>
      <c r="E1" s="122"/>
      <c r="F1" s="122"/>
      <c r="G1" s="122"/>
      <c r="H1" s="35" t="s">
        <v>29</v>
      </c>
    </row>
    <row r="2" spans="1:22" ht="33.75" customHeight="1" thickBot="1" x14ac:dyDescent="0.25">
      <c r="A2" s="99" t="s">
        <v>30</v>
      </c>
      <c r="B2" s="9" t="s">
        <v>3</v>
      </c>
      <c r="C2" s="9" t="s">
        <v>4</v>
      </c>
      <c r="D2" s="9" t="s">
        <v>25</v>
      </c>
      <c r="E2" s="9" t="s">
        <v>31</v>
      </c>
      <c r="F2" s="9" t="s">
        <v>60</v>
      </c>
      <c r="G2" s="99" t="s">
        <v>32</v>
      </c>
      <c r="H2" s="35" t="s">
        <v>29</v>
      </c>
      <c r="K2" s="120" t="s">
        <v>56</v>
      </c>
      <c r="L2" s="120"/>
      <c r="M2" s="120"/>
      <c r="N2" s="120"/>
      <c r="O2" s="120"/>
      <c r="P2" s="120"/>
      <c r="Q2" s="120"/>
      <c r="R2" s="120"/>
      <c r="S2" s="120"/>
      <c r="T2" s="120"/>
      <c r="U2" s="120"/>
    </row>
    <row r="3" spans="1:22" ht="36" customHeight="1" x14ac:dyDescent="0.45">
      <c r="A3" s="39"/>
      <c r="B3" s="40">
        <f>Control_1 Open_time</f>
        <v>44416.291666666664</v>
      </c>
      <c r="C3" s="40">
        <f>Control_1 Close_time</f>
        <v>44416.333333333328</v>
      </c>
      <c r="D3" s="41"/>
      <c r="E3" s="42" t="str">
        <f>IF(ISBLANK(Control_1 Establishment_1),"",Control_1 Establishment_1)</f>
        <v>Information Control</v>
      </c>
      <c r="F3" s="42" t="str">
        <f>IF(ISBLANK('Control Entry'!I10),"",'Control Entry'!I10)</f>
        <v>Across Lochside, Heritage Acres sign</v>
      </c>
      <c r="G3" s="10"/>
      <c r="H3" s="35" t="s">
        <v>29</v>
      </c>
      <c r="K3" s="16"/>
      <c r="O3" s="129" t="s">
        <v>33</v>
      </c>
      <c r="P3" s="129"/>
      <c r="Q3" s="129"/>
      <c r="R3" s="129"/>
      <c r="S3" s="83"/>
      <c r="U3" s="52"/>
    </row>
    <row r="4" spans="1:22" ht="36" customHeight="1" x14ac:dyDescent="0.2">
      <c r="A4" s="48">
        <f>IF(ISBLANK(Distance Control_1),"",Control_1 Distance)</f>
        <v>0</v>
      </c>
      <c r="B4" s="49">
        <f>Control_1 Open_time</f>
        <v>44416.291666666664</v>
      </c>
      <c r="C4" s="49">
        <f>Control_1 Close_time</f>
        <v>44416.333333333328</v>
      </c>
      <c r="D4" s="50" t="str">
        <f>IF(ISBLANK(Locale Control_1),"",Locale Control_1)</f>
        <v>SAANICHTON</v>
      </c>
      <c r="E4" s="42" t="str">
        <f>IF(ISBLANK(Control_1 Establishment_2),"",Control_1 Establishment_2)</f>
        <v>Mitchell's Farm</v>
      </c>
      <c r="F4" s="67" t="str">
        <f>IF(ISBLANK('Control Entry'!J10),"",'Control Entry'!J10)</f>
        <v>What is the base?</v>
      </c>
      <c r="G4" s="10"/>
      <c r="H4" s="35" t="s">
        <v>29</v>
      </c>
      <c r="K4" s="16"/>
      <c r="M4" s="124" t="str">
        <f>IF(ISBLANK(brevet),"",brevet&amp;" km Randonnée")</f>
        <v>200 km Randonnée</v>
      </c>
      <c r="N4" s="124"/>
      <c r="O4" s="124"/>
      <c r="P4" s="124"/>
      <c r="Q4" s="124"/>
      <c r="R4" s="124"/>
      <c r="S4" s="124"/>
      <c r="T4" s="124"/>
      <c r="U4" s="53"/>
    </row>
    <row r="5" spans="1:22" ht="36" customHeight="1" thickBot="1" x14ac:dyDescent="0.25">
      <c r="A5" s="43"/>
      <c r="B5" s="44">
        <f>Control_1 Open_time</f>
        <v>44416.291666666664</v>
      </c>
      <c r="C5" s="44">
        <f>Control_1 Close_time</f>
        <v>44416.333333333328</v>
      </c>
      <c r="D5" s="45"/>
      <c r="E5" s="46" t="str">
        <f>IF(ISBLANK(Control_1 Establishment_3),"",Control_1 Establishment_3)</f>
        <v>2451 Island View</v>
      </c>
      <c r="F5" s="106" t="str">
        <f>IF(ISBLANK('Control Entry'!K10),"",'Control Entry'!K10)</f>
        <v/>
      </c>
      <c r="G5" s="11"/>
      <c r="H5" s="35" t="s">
        <v>29</v>
      </c>
      <c r="K5" s="16"/>
      <c r="M5" s="17"/>
      <c r="N5" s="127" t="s">
        <v>48</v>
      </c>
      <c r="O5" s="127"/>
      <c r="P5" s="81">
        <f>IF(ISBLANK(Brevet_Number),"",Brevet_Number)</f>
        <v>5098</v>
      </c>
      <c r="Q5" s="82"/>
      <c r="R5" s="119">
        <f>IF(ISBLANK('Control Entry'!$B5),"",'Control Entry'!$B5)</f>
        <v>44416</v>
      </c>
      <c r="S5" s="119"/>
      <c r="T5" s="119"/>
      <c r="U5" s="119"/>
      <c r="V5" s="54"/>
    </row>
    <row r="6" spans="1:22" ht="36" customHeight="1" x14ac:dyDescent="0.2">
      <c r="A6" s="39"/>
      <c r="B6" s="40">
        <f>Control_2 Open_time</f>
        <v>44416.331944444442</v>
      </c>
      <c r="C6" s="40">
        <f>Control_2 Close_time</f>
        <v>44416.383333333331</v>
      </c>
      <c r="D6" s="47"/>
      <c r="E6" s="42" t="str">
        <f>IF(ISBLANK(Control_2 Establishment_1),"",Control_2 Establishment_1)</f>
        <v>Information Control</v>
      </c>
      <c r="F6" s="42" t="str">
        <f>IF(ISBLANK('Control Entry'!I11),"",'Control Entry'!I11)</f>
        <v>Bollards towards Niagara</v>
      </c>
      <c r="G6" s="10"/>
      <c r="H6" s="35" t="s">
        <v>29</v>
      </c>
      <c r="K6" s="16"/>
      <c r="L6" s="132" t="str">
        <f>IF(ISBLANK(Brevet_Description),"",Brevet_Description)</f>
        <v>All But Three</v>
      </c>
      <c r="M6" s="132"/>
      <c r="N6" s="132"/>
      <c r="O6" s="132"/>
      <c r="P6" s="132"/>
      <c r="Q6" s="132"/>
      <c r="R6" s="132"/>
      <c r="S6" s="132"/>
      <c r="T6" s="132"/>
      <c r="U6" s="132"/>
    </row>
    <row r="7" spans="1:22" ht="36" customHeight="1" x14ac:dyDescent="0.2">
      <c r="A7" s="48">
        <f>IF(ISBLANK(Distance Control_2),"",Control_2 Distance)</f>
        <v>33</v>
      </c>
      <c r="B7" s="49">
        <f>Control_2 Open_time</f>
        <v>44416.331944444442</v>
      </c>
      <c r="C7" s="49">
        <f>Control_2 Close_time</f>
        <v>44416.383333333331</v>
      </c>
      <c r="D7" s="50" t="str">
        <f>IF(ISBLANK(Locale Control_2),"",Locale Control_2)</f>
        <v>VICTORIA</v>
      </c>
      <c r="E7" s="67" t="str">
        <f>IF(ISBLANK(Control_2 Establishment_2),"",Control_2 Establishment_2)</f>
        <v>Dallas Rd @ Niagara Rd</v>
      </c>
      <c r="F7" s="67" t="str">
        <f>IF(ISBLANK('Control Entry'!J11),"",'Control Entry'!J11)</f>
        <v>How many yellow stripes on each?</v>
      </c>
      <c r="G7" s="10"/>
      <c r="H7" s="35" t="s">
        <v>29</v>
      </c>
    </row>
    <row r="8" spans="1:22" ht="36" customHeight="1" thickBot="1" x14ac:dyDescent="0.25">
      <c r="A8" s="43"/>
      <c r="B8" s="44">
        <f>Control_2 Open_time</f>
        <v>44416.331944444442</v>
      </c>
      <c r="C8" s="44">
        <f>Control_2 Close_time</f>
        <v>44416.383333333331</v>
      </c>
      <c r="D8" s="45"/>
      <c r="E8" s="46" t="str">
        <f>IF(ISBLANK(Control_2 Establishment_3),"",Control_2 Establishment_3)</f>
        <v/>
      </c>
      <c r="F8" s="106" t="str">
        <f>IF(ISBLANK('Control Entry'!K11),"",'Control Entry'!K11)</f>
        <v/>
      </c>
      <c r="G8" s="11"/>
      <c r="H8" s="35" t="s">
        <v>29</v>
      </c>
      <c r="J8" s="17" t="s">
        <v>34</v>
      </c>
      <c r="L8" s="121"/>
      <c r="M8" s="121"/>
      <c r="N8" s="121"/>
      <c r="O8" s="121"/>
      <c r="P8" s="121"/>
      <c r="Q8" s="121"/>
      <c r="R8" s="36"/>
      <c r="S8" s="55" t="s">
        <v>47</v>
      </c>
      <c r="T8" s="133"/>
      <c r="U8" s="133"/>
    </row>
    <row r="9" spans="1:22" ht="36" customHeight="1" thickBot="1" x14ac:dyDescent="0.3">
      <c r="A9" s="39"/>
      <c r="B9" s="40">
        <f>Control_3 Open_time</f>
        <v>44416.365972222222</v>
      </c>
      <c r="C9" s="40">
        <f>Control_3 Close_time</f>
        <v>44416.461111111108</v>
      </c>
      <c r="D9" s="47"/>
      <c r="E9" s="42" t="str">
        <f>IF(ISBLANK(Control_3 Establishment_1),"",Control_3 Establishment_1)</f>
        <v>Information Control</v>
      </c>
      <c r="F9" s="42" t="str">
        <f>IF(ISBLANK('Control Entry'!I12),"",'Control Entry'!I12)</f>
        <v>Fire hydrant to right</v>
      </c>
      <c r="G9" s="10"/>
      <c r="H9" s="35" t="s">
        <v>29</v>
      </c>
      <c r="J9" s="17" t="s">
        <v>35</v>
      </c>
      <c r="K9" s="17"/>
      <c r="L9" s="65" t="s">
        <v>55</v>
      </c>
      <c r="M9" s="23"/>
      <c r="N9" s="23"/>
      <c r="O9" s="23"/>
      <c r="P9" s="23"/>
      <c r="Q9" s="23"/>
      <c r="R9" s="23"/>
      <c r="S9" s="23"/>
      <c r="T9" s="23"/>
      <c r="U9" s="21"/>
    </row>
    <row r="10" spans="1:22" ht="36" customHeight="1" thickBot="1" x14ac:dyDescent="0.3">
      <c r="A10" s="48">
        <f>IF(ISBLANK(Distance Control_3),"",Control_3 Distance)</f>
        <v>60.9</v>
      </c>
      <c r="B10" s="49">
        <f>Control_3 Open_time</f>
        <v>44416.365972222222</v>
      </c>
      <c r="C10" s="49">
        <f>Control_3 Close_time</f>
        <v>44416.461111111108</v>
      </c>
      <c r="D10" s="50" t="str">
        <f>IF(ISBLANK(Locale Control_3),"",Locale Control_3)</f>
        <v>CENTRAL SAANICH</v>
      </c>
      <c r="E10" s="67" t="str">
        <f>IF(ISBLANK(Control_3 Establishment_2),"",Control_3 Establishment_2)</f>
        <v>Welch Rd @ Martindale Rd</v>
      </c>
      <c r="F10" s="67" t="str">
        <f>IF(ISBLANK('Control Entry'!J12),"",'Control Entry'!J12)</f>
        <v>What is the hydrant number?</v>
      </c>
      <c r="G10" s="10"/>
      <c r="H10" s="35" t="s">
        <v>29</v>
      </c>
      <c r="J10" s="17"/>
      <c r="K10" s="17"/>
      <c r="L10" s="37"/>
      <c r="M10" s="23"/>
      <c r="N10" s="23"/>
      <c r="O10" s="23"/>
      <c r="P10" s="23"/>
      <c r="Q10" s="23"/>
      <c r="R10" s="23"/>
      <c r="S10" s="23"/>
      <c r="T10" s="23"/>
      <c r="U10" s="21"/>
    </row>
    <row r="11" spans="1:22" ht="36" customHeight="1" thickBot="1" x14ac:dyDescent="0.3">
      <c r="A11" s="43"/>
      <c r="B11" s="44">
        <f>Control_3 Open_time</f>
        <v>44416.365972222222</v>
      </c>
      <c r="C11" s="44">
        <f>Control_3 Close_time</f>
        <v>44416.461111111108</v>
      </c>
      <c r="D11" s="45"/>
      <c r="E11" s="46" t="str">
        <f>IF(ISBLANK(Control_3 Establishment_3),"",Control_3 Establishment_3)</f>
        <v/>
      </c>
      <c r="F11" s="106" t="str">
        <f>IF(ISBLANK('Control Entry'!K12),"",'Control Entry'!K12)</f>
        <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Control_4 Open_time</f>
        <v>44416.395138888889</v>
      </c>
      <c r="C12" s="40">
        <f>Control_4 Close_time</f>
        <v>44416.525694444441</v>
      </c>
      <c r="D12" s="47"/>
      <c r="E12" s="42" t="str">
        <f>IF(ISBLANK(Control_4 Establishment_1),"",Control_4 Establishment_1)</f>
        <v>Information Control</v>
      </c>
      <c r="F12" s="42" t="str">
        <f>IF(ISBLANK('Control Entry'!I13),"",'Control Entry'!I13)</f>
        <v>444 house number</v>
      </c>
      <c r="G12" s="10"/>
      <c r="H12" s="35" t="s">
        <v>29</v>
      </c>
      <c r="J12" s="17" t="s">
        <v>38</v>
      </c>
      <c r="K12" s="17"/>
      <c r="L12" s="37"/>
      <c r="M12" s="23"/>
      <c r="N12" s="23"/>
      <c r="O12" s="24"/>
      <c r="P12" s="24" t="s">
        <v>39</v>
      </c>
      <c r="Q12" s="24"/>
      <c r="R12" s="24"/>
      <c r="S12" s="57"/>
      <c r="T12" s="37"/>
      <c r="U12" s="21"/>
    </row>
    <row r="13" spans="1:22" ht="36" customHeight="1" thickBot="1" x14ac:dyDescent="0.3">
      <c r="A13" s="48">
        <f>IF(ISBLANK(Distance Control_4),"",Control_4 Distance)</f>
        <v>84.3</v>
      </c>
      <c r="B13" s="49">
        <f>Control_4 Open_time</f>
        <v>44416.395138888889</v>
      </c>
      <c r="C13" s="49">
        <f>Control_4 Close_time</f>
        <v>44416.525694444441</v>
      </c>
      <c r="D13" s="50" t="str">
        <f>IF(ISBLANK(Locale Control_4),"",Locale Control_4)</f>
        <v>NORTH SAANICH</v>
      </c>
      <c r="E13" s="42" t="str">
        <f>IF(ISBLANK(Control_4 Establishment_2),"",Control_4 Establishment_2)</f>
        <v>444 Land's End Rd</v>
      </c>
      <c r="F13" s="67" t="str">
        <f>IF(ISBLANK('Control Entry'!J13),"",'Control Entry'!J13)</f>
        <v>What is the base?</v>
      </c>
      <c r="G13" s="10"/>
      <c r="H13" s="35" t="s">
        <v>29</v>
      </c>
      <c r="J13" s="17" t="s">
        <v>40</v>
      </c>
      <c r="L13" s="79"/>
      <c r="M13" s="80"/>
      <c r="N13" s="80"/>
      <c r="O13" s="25"/>
      <c r="P13" s="24" t="s">
        <v>41</v>
      </c>
      <c r="Q13" s="24"/>
      <c r="R13" s="38"/>
      <c r="S13" s="26"/>
      <c r="T13" s="26"/>
      <c r="U13" s="22"/>
    </row>
    <row r="14" spans="1:22" ht="36" customHeight="1" thickBot="1" x14ac:dyDescent="0.25">
      <c r="A14" s="43"/>
      <c r="B14" s="44">
        <f>Control_4 Open_time</f>
        <v>44416.395138888889</v>
      </c>
      <c r="C14" s="44">
        <f>Control_4 Close_time</f>
        <v>44416.525694444441</v>
      </c>
      <c r="D14" s="45"/>
      <c r="E14" s="46" t="str">
        <f>IF(ISBLANK(Control_4 Establishment_3),"",Control_4 Establishment_3)</f>
        <v/>
      </c>
      <c r="F14" s="106" t="str">
        <f>IF(ISBLANK('Control Entry'!K13),"",'Control Entry'!K13)</f>
        <v/>
      </c>
      <c r="G14" s="11"/>
      <c r="H14" s="35" t="s">
        <v>29</v>
      </c>
    </row>
    <row r="15" spans="1:22" ht="36" customHeight="1" x14ac:dyDescent="0.2">
      <c r="A15" s="39"/>
      <c r="B15" s="40">
        <f>Control_5 Open_time</f>
        <v>44416.440972222219</v>
      </c>
      <c r="C15" s="40">
        <f>Control_5 Close_time</f>
        <v>44416.630555555552</v>
      </c>
      <c r="D15" s="47"/>
      <c r="E15" s="42" t="str">
        <f>IF(ISBLANK(Control_5 Establishment_1),"",Control_5 Establishment_1)</f>
        <v>Information Control</v>
      </c>
      <c r="F15" s="42" t="str">
        <f>IF(ISBLANK('Control Entry'!I14),"",'Control Entry'!I14)</f>
        <v>Plaque on stone cairn</v>
      </c>
      <c r="G15" s="10"/>
      <c r="H15" s="35" t="s">
        <v>29</v>
      </c>
      <c r="J15" s="17"/>
      <c r="L15" s="131" t="s">
        <v>59</v>
      </c>
      <c r="M15" s="131"/>
      <c r="N15" s="131"/>
      <c r="O15" s="131"/>
      <c r="P15" s="131"/>
      <c r="Q15" s="131"/>
      <c r="R15" s="131"/>
      <c r="S15" s="131"/>
      <c r="T15" s="131"/>
      <c r="U15" s="131"/>
    </row>
    <row r="16" spans="1:22" ht="36" customHeight="1" thickBot="1" x14ac:dyDescent="0.25">
      <c r="A16" s="48">
        <f>IF(ISBLANK(Distance Control_5),"",Control_5 Distance)</f>
        <v>122.1</v>
      </c>
      <c r="B16" s="49">
        <f>Control_5 Open_time</f>
        <v>44416.440972222219</v>
      </c>
      <c r="C16" s="49">
        <f>Control_5 Close_time</f>
        <v>44416.630555555552</v>
      </c>
      <c r="D16" s="50" t="str">
        <f>IF(ISBLANK(Locale Control_5),"",Locale Control_5)</f>
        <v>VIEW ROYAL</v>
      </c>
      <c r="E16" s="137" t="str">
        <f>IF(ISBLANK(Control_5 Establishment_2),"",Control_5 Establishment_2)</f>
        <v xml:space="preserve">Galloping Goose  </v>
      </c>
      <c r="F16" s="67" t="str">
        <f>IF(ISBLANK('Control Entry'!J14),"",'Control Entry'!J14)</f>
        <v>CRD LocalMotion</v>
      </c>
      <c r="G16" s="10"/>
      <c r="H16" s="35" t="s">
        <v>29</v>
      </c>
      <c r="L16" s="74"/>
      <c r="M16" s="74"/>
      <c r="N16" s="74"/>
      <c r="O16" s="74"/>
      <c r="P16" s="74"/>
      <c r="Q16" s="75"/>
      <c r="R16" s="75"/>
      <c r="S16" s="75"/>
      <c r="T16" s="75"/>
      <c r="U16" s="75"/>
    </row>
    <row r="17" spans="1:22" ht="36" customHeight="1" thickBot="1" x14ac:dyDescent="0.25">
      <c r="A17" s="43"/>
      <c r="B17" s="44">
        <f>Control_5 Open_time</f>
        <v>44416.440972222219</v>
      </c>
      <c r="C17" s="44">
        <f>Control_5 Close_time</f>
        <v>44416.630555555552</v>
      </c>
      <c r="D17" s="45"/>
      <c r="E17" s="136" t="str">
        <f>IF(ISBLANK(Control_5 Establishment_3),"",Control_5 Establishment_3)</f>
        <v>Atkins Park</v>
      </c>
      <c r="F17" s="106" t="str">
        <f>IF(ISBLANK('Control Entry'!K14),"",'Control Entry'!K14)</f>
        <v>Completed November _____________?</v>
      </c>
      <c r="G17" s="11"/>
      <c r="H17" s="35" t="s">
        <v>29</v>
      </c>
    </row>
    <row r="18" spans="1:22" ht="36" customHeight="1" x14ac:dyDescent="0.2">
      <c r="A18" s="39"/>
      <c r="B18" s="40">
        <f>Control_6 Open_time</f>
        <v>44416.456944444442</v>
      </c>
      <c r="C18" s="40">
        <f>Control_6 Close_time</f>
        <v>44416.666666666664</v>
      </c>
      <c r="D18" s="47"/>
      <c r="E18" s="42" t="str">
        <f>IF(ISBLANK(Control_6 Establishment_1),"",Control_6 Establishment_1)</f>
        <v>Information Control</v>
      </c>
      <c r="F18" s="42" t="str">
        <f>IF(ISBLANK('Control Entry'!I15),"",'Control Entry'!I15)</f>
        <v>Bike rack near grass</v>
      </c>
      <c r="G18" s="10"/>
      <c r="H18" s="35" t="s">
        <v>29</v>
      </c>
    </row>
    <row r="19" spans="1:22" ht="36" customHeight="1" x14ac:dyDescent="0.2">
      <c r="A19" s="48">
        <f>IF(ISBLANK(Distance Control_6),"",Control_6 Distance)</f>
        <v>135.1</v>
      </c>
      <c r="B19" s="49">
        <f>Control_6 Open_time</f>
        <v>44416.456944444442</v>
      </c>
      <c r="C19" s="49">
        <f>Control_6 Close_time</f>
        <v>44416.666666666664</v>
      </c>
      <c r="D19" s="50" t="str">
        <f>IF(ISBLANK(Locale Control_6),"",Locale Control_6)</f>
        <v>LANGFORD</v>
      </c>
      <c r="E19" s="42" t="str">
        <f>IF(ISBLANK(Control_6 Establishment_2),"",Control_6 Establishment_2)</f>
        <v>Happy Valley Market</v>
      </c>
      <c r="F19" s="67" t="str">
        <f>IF(ISBLANK('Control Entry'!J15),"",'Control Entry'!J15)</f>
        <v>How many hangers?</v>
      </c>
      <c r="G19" s="10"/>
      <c r="H19" s="35" t="s">
        <v>29</v>
      </c>
    </row>
    <row r="20" spans="1:22" ht="36" customHeight="1" thickBot="1" x14ac:dyDescent="0.25">
      <c r="A20" s="43"/>
      <c r="B20" s="44">
        <f>Control_6 Open_time</f>
        <v>44416.456944444442</v>
      </c>
      <c r="C20" s="44">
        <f>Control_6 Close_time</f>
        <v>44416.666666666664</v>
      </c>
      <c r="D20" s="45"/>
      <c r="E20" s="46" t="str">
        <f>IF(ISBLANK(Control_6 Establishment_3),"",Control_6 Establishment_3)</f>
        <v>3431 Happy Valley Rd</v>
      </c>
      <c r="F20" s="46" t="str">
        <f>IF(ISBLANK('Control Entry'!K15),"",'Control Entry'!K15)</f>
        <v/>
      </c>
      <c r="G20" s="11"/>
      <c r="H20" s="35" t="s">
        <v>29</v>
      </c>
      <c r="J20" s="73" t="s">
        <v>45</v>
      </c>
      <c r="K20" s="73"/>
      <c r="L20" s="76"/>
      <c r="M20" s="76"/>
      <c r="N20" s="76"/>
      <c r="P20" s="24" t="s">
        <v>0</v>
      </c>
      <c r="Q20" s="24"/>
      <c r="S20" s="130">
        <f>'Control Entry'!B8</f>
        <v>0.29166666666666669</v>
      </c>
      <c r="T20" s="130"/>
      <c r="U20" s="130"/>
    </row>
    <row r="21" spans="1:22" ht="36" customHeight="1" x14ac:dyDescent="0.2">
      <c r="A21" s="39"/>
      <c r="B21" s="40">
        <f>Control_7 Open_time</f>
        <v>44416.475694444445</v>
      </c>
      <c r="C21" s="40">
        <f>Control_7 Close_time</f>
        <v>44416.708333333328</v>
      </c>
      <c r="D21" s="47"/>
      <c r="E21" s="42" t="str">
        <f>IF(ISBLANK(Control_7 Establishment_1),"",Control_7 Establishment_1)</f>
        <v>Information Control</v>
      </c>
      <c r="F21" s="42" t="str">
        <f>IF(ISBLANK('Control Entry'!I16),"",'Control Entry'!I16)</f>
        <v>Yellow Park sign next to trail to right</v>
      </c>
      <c r="G21" s="10"/>
      <c r="H21" s="35" t="s">
        <v>29</v>
      </c>
      <c r="J21" s="73"/>
      <c r="K21" s="73"/>
      <c r="L21" s="71"/>
      <c r="M21" s="71"/>
      <c r="N21" s="71"/>
      <c r="P21" s="24"/>
      <c r="Q21" s="24"/>
      <c r="R21" s="29"/>
      <c r="S21" s="77"/>
      <c r="T21" s="77"/>
      <c r="U21" s="77"/>
      <c r="V21" s="36"/>
    </row>
    <row r="22" spans="1:22" ht="36" customHeight="1" thickBot="1" x14ac:dyDescent="0.25">
      <c r="A22" s="48">
        <f>IF(ISBLANK(Distance Control_7),"",Control_7 Distance)</f>
        <v>150.1</v>
      </c>
      <c r="B22" s="49">
        <f>Control_7 Open_time</f>
        <v>44416.475694444445</v>
      </c>
      <c r="C22" s="49">
        <f>Control_7 Close_time</f>
        <v>44416.708333333328</v>
      </c>
      <c r="D22" s="50" t="str">
        <f>IF(ISBLANK(Locale Control_7),"",Locale Control_7)</f>
        <v>ESQUIMALT</v>
      </c>
      <c r="E22" s="42" t="str">
        <f>IF(ISBLANK(Control_7 Establishment_2),"",Control_7 Establishment_2)</f>
        <v>Saxe Point Park</v>
      </c>
      <c r="F22" s="42" t="str">
        <f>IF(ISBLANK('Control Entry'!J16),"",'Control Entry'!J16)</f>
        <v/>
      </c>
      <c r="G22" s="10"/>
      <c r="H22" s="35" t="s">
        <v>29</v>
      </c>
      <c r="J22" s="72" t="s">
        <v>46</v>
      </c>
      <c r="K22" s="72"/>
      <c r="L22" s="76"/>
      <c r="M22" s="76"/>
      <c r="N22" s="76"/>
      <c r="O22" s="25"/>
      <c r="P22" s="24" t="s">
        <v>1</v>
      </c>
      <c r="Q22" s="24"/>
      <c r="R22" s="25"/>
      <c r="S22" s="78"/>
      <c r="T22" s="78"/>
      <c r="U22" s="78"/>
    </row>
    <row r="23" spans="1:22" ht="36" customHeight="1" thickBot="1" x14ac:dyDescent="0.25">
      <c r="A23" s="43"/>
      <c r="B23" s="44">
        <f>Control_7 Open_time</f>
        <v>44416.475694444445</v>
      </c>
      <c r="C23" s="44">
        <f>Control_7 Close_time</f>
        <v>44416.708333333328</v>
      </c>
      <c r="D23" s="45"/>
      <c r="E23" s="46" t="str">
        <f>IF(ISBLANK(Control_7 Establishment_3),"",Control_7 Establishment_3)</f>
        <v>Washroom Parking Area</v>
      </c>
      <c r="F23" s="46" t="str">
        <f>IF(ISBLANK('Control Entry'!K16),"",'Control Entry'!K16)</f>
        <v>Bylaw #_______________________?</v>
      </c>
      <c r="G23" s="11"/>
      <c r="H23" s="35" t="s">
        <v>29</v>
      </c>
      <c r="J23" s="72"/>
      <c r="K23" s="72"/>
      <c r="L23" s="71"/>
      <c r="M23" s="71"/>
      <c r="N23" s="71"/>
      <c r="O23" s="29"/>
      <c r="P23" s="70"/>
      <c r="Q23" s="70"/>
      <c r="R23" s="29"/>
      <c r="S23" s="29"/>
      <c r="T23" s="29"/>
      <c r="U23" s="29"/>
      <c r="V23" s="36"/>
    </row>
    <row r="24" spans="1:22" ht="36" customHeight="1" thickBot="1" x14ac:dyDescent="0.25">
      <c r="A24" s="39"/>
      <c r="B24" s="40">
        <f>Control_8 Open_time</f>
        <v>44416.522222222222</v>
      </c>
      <c r="C24" s="40">
        <f>Control_8 Close_time</f>
        <v>44416.813888888886</v>
      </c>
      <c r="D24" s="47"/>
      <c r="E24" s="42" t="str">
        <f>IF(ISBLANK(Control_8 Establishment_1),"",Control_8 Establishment_1)</f>
        <v>Information Control</v>
      </c>
      <c r="F24" s="42" t="str">
        <f>IF(ISBLANK('Control Entry'!I17),"",'Control Entry'!I17)</f>
        <v>Garbage can</v>
      </c>
      <c r="G24" s="10"/>
      <c r="H24" s="35" t="s">
        <v>29</v>
      </c>
      <c r="J24" s="18"/>
      <c r="K24" s="18"/>
      <c r="L24" s="18"/>
      <c r="M24" s="26"/>
      <c r="N24" s="26"/>
      <c r="O24" s="25"/>
      <c r="P24" s="24" t="s">
        <v>2</v>
      </c>
      <c r="Q24" s="24"/>
      <c r="R24" s="25"/>
      <c r="S24" s="26"/>
      <c r="T24" s="26"/>
      <c r="U24" s="26"/>
    </row>
    <row r="25" spans="1:22" ht="36" customHeight="1" x14ac:dyDescent="0.2">
      <c r="A25" s="48">
        <f>IF(ISBLANK(Distance Control_8),"",Control_8 Distance)</f>
        <v>188</v>
      </c>
      <c r="B25" s="49">
        <f>Control_8 Open_time</f>
        <v>44416.522222222222</v>
      </c>
      <c r="C25" s="49">
        <f>Control_8 Close_time</f>
        <v>44416.813888888886</v>
      </c>
      <c r="D25" s="50" t="str">
        <f>IF(ISBLANK(Locale Control_8),"",Locale Control_8)</f>
        <v>NORTH SAANICH</v>
      </c>
      <c r="E25" s="137" t="str">
        <f>IF(ISBLANK(Control_8 Establishment_2),"",Control_8 Establishment_2)</f>
        <v>Lost Airmen Park</v>
      </c>
      <c r="F25" s="42" t="str">
        <f>IF(ISBLANK('Control Entry'!J17),"",'Control Entry'!J17)</f>
        <v/>
      </c>
      <c r="G25" s="10"/>
      <c r="H25" s="35" t="s">
        <v>29</v>
      </c>
      <c r="J25" s="128" t="s">
        <v>17</v>
      </c>
      <c r="K25" s="128"/>
      <c r="L25" s="128"/>
      <c r="M25" s="128"/>
      <c r="N25" s="128"/>
      <c r="O25" s="63"/>
      <c r="P25" s="125"/>
      <c r="Q25" s="125"/>
      <c r="R25" s="63"/>
      <c r="S25" s="126"/>
      <c r="T25" s="126"/>
      <c r="U25" s="126"/>
      <c r="V25" s="126"/>
    </row>
    <row r="26" spans="1:22" ht="36" customHeight="1" thickBot="1" x14ac:dyDescent="0.25">
      <c r="A26" s="43"/>
      <c r="B26" s="44">
        <f>Control_8 Open_time</f>
        <v>44416.522222222222</v>
      </c>
      <c r="C26" s="44">
        <f>Control_8 Close_time</f>
        <v>44416.813888888886</v>
      </c>
      <c r="D26" s="45"/>
      <c r="E26" s="136" t="str">
        <f>IF(ISBLANK(Control_8 Establishment_3),"",Control_8 Establishment_3)</f>
        <v>The Flight Path</v>
      </c>
      <c r="F26" s="46" t="str">
        <f>IF(ISBLANK('Control Entry'!K17),"",'Control Entry'!K17)</f>
        <v>Pedestrian ________________Only?</v>
      </c>
      <c r="G26" s="11"/>
      <c r="H26" s="35" t="s">
        <v>29</v>
      </c>
    </row>
    <row r="27" spans="1:22" ht="36" customHeight="1" x14ac:dyDescent="0.2">
      <c r="A27" s="39"/>
      <c r="B27" s="40">
        <f>Control_9 Open_time</f>
        <v>44416.538888888885</v>
      </c>
      <c r="C27" s="40">
        <f>Control_9 Close_time</f>
        <v>44416.854166666664</v>
      </c>
      <c r="D27" s="47"/>
      <c r="E27" s="42" t="str">
        <f>IF(ISBLANK(Control_9 Establishment_1),"",Control_9 Establishment_1)</f>
        <v/>
      </c>
      <c r="F27" s="42" t="str">
        <f>IF(ISBLANK('Control Entry'!I18),"",'Control Entry'!I18)</f>
        <v>Self Sign</v>
      </c>
      <c r="G27" s="10"/>
      <c r="H27" s="35" t="s">
        <v>29</v>
      </c>
      <c r="K27" s="124" t="s">
        <v>57</v>
      </c>
      <c r="L27" s="125"/>
      <c r="M27" s="62" t="s">
        <v>58</v>
      </c>
      <c r="N27" s="125" t="s">
        <v>50</v>
      </c>
      <c r="O27" s="125"/>
      <c r="P27" s="125" t="s">
        <v>51</v>
      </c>
      <c r="Q27" s="125"/>
      <c r="R27" s="63" t="s">
        <v>52</v>
      </c>
      <c r="S27" s="126" t="s">
        <v>53</v>
      </c>
      <c r="T27" s="126"/>
      <c r="U27" s="126" t="s">
        <v>54</v>
      </c>
      <c r="V27" s="126"/>
    </row>
    <row r="28" spans="1:22" ht="36" customHeight="1" x14ac:dyDescent="0.2">
      <c r="A28" s="48">
        <f>IF(ISBLANK(Distance Control_9),"",Control_9 Distance)</f>
        <v>201.5</v>
      </c>
      <c r="B28" s="49">
        <f>Control_9 Open_time</f>
        <v>44416.538888888885</v>
      </c>
      <c r="C28" s="49">
        <f>Control_9 Close_time</f>
        <v>44416.854166666664</v>
      </c>
      <c r="D28" s="50" t="str">
        <f>IF(ISBLANK(Locale Control_9),"",Locale Control_9)</f>
        <v>SAANICHTON</v>
      </c>
      <c r="E28" s="42" t="str">
        <f>IF(ISBLANK(Control_9 Establishment_2),"",Control_9 Establishment_2)</f>
        <v>Mitchell's Farm</v>
      </c>
      <c r="F28" s="42" t="str">
        <f>IF(ISBLANK('Control Entry'!J18),"",'Control Entry'!J18)</f>
        <v/>
      </c>
      <c r="G28" s="10"/>
      <c r="H28" s="35" t="s">
        <v>29</v>
      </c>
    </row>
    <row r="29" spans="1:22" ht="36" customHeight="1" thickBot="1" x14ac:dyDescent="0.25">
      <c r="A29" s="43"/>
      <c r="B29" s="44">
        <f>Control_9 Open_time</f>
        <v>44416.538888888885</v>
      </c>
      <c r="C29" s="44">
        <f>Control_9 Close_time</f>
        <v>44416.854166666664</v>
      </c>
      <c r="D29" s="45"/>
      <c r="E29" s="46" t="str">
        <f>IF(ISBLANK(Control_9 Establishment_3),"",Control_9 Establishment_3)</f>
        <v>2451 Island View</v>
      </c>
      <c r="F29" s="46" t="str">
        <f>IF(ISBLANK('Control Entry'!K18),"",'Control Entry'!K18)</f>
        <v/>
      </c>
      <c r="G29" s="11"/>
      <c r="H29" s="35" t="s">
        <v>29</v>
      </c>
      <c r="M29" s="134" t="s">
        <v>42</v>
      </c>
      <c r="N29" s="134"/>
      <c r="O29" s="134"/>
      <c r="P29" s="134"/>
      <c r="Q29" s="134"/>
      <c r="R29" s="134"/>
      <c r="S29" s="134"/>
      <c r="T29" s="134"/>
      <c r="U29" s="68"/>
    </row>
    <row r="30" spans="1:22" ht="36" customHeight="1" x14ac:dyDescent="0.2">
      <c r="A30" s="39"/>
      <c r="B30" s="40" t="str">
        <f>Control_10 Open_time</f>
        <v/>
      </c>
      <c r="C30" s="40" t="str">
        <f>Control_10 Close_time</f>
        <v/>
      </c>
      <c r="D30" s="47"/>
      <c r="E30" s="42" t="str">
        <f>IF(ISBLANK(Control_10 Establishment_1),"",Control_10 Establishment_1)</f>
        <v/>
      </c>
      <c r="F30" s="42" t="str">
        <f>IF(ISBLANK('Control Entry'!I19),"",'Control Entry'!I19)</f>
        <v/>
      </c>
      <c r="G30" s="10"/>
      <c r="H30" s="35" t="s">
        <v>29</v>
      </c>
      <c r="M30" s="19"/>
      <c r="N30" s="27"/>
      <c r="O30" s="27"/>
      <c r="P30" s="28"/>
      <c r="Q30" s="27"/>
      <c r="R30" s="27"/>
      <c r="S30" s="27"/>
      <c r="T30" s="28"/>
      <c r="U30" s="29"/>
    </row>
    <row r="31" spans="1:22" ht="36" customHeight="1" x14ac:dyDescent="0.2">
      <c r="A31" s="48" t="str">
        <f>IF(ISBLANK(Distance Control_10),"",Control_10 Distance)</f>
        <v/>
      </c>
      <c r="B31" s="49" t="str">
        <f>Control_10 Open_time</f>
        <v/>
      </c>
      <c r="C31" s="49" t="str">
        <f>Control_10 Close_time</f>
        <v/>
      </c>
      <c r="D31" s="50" t="str">
        <f>IF(ISBLANK(Locale Control_10),"",Locale Control_10)</f>
        <v/>
      </c>
      <c r="E31" s="42" t="str">
        <f>IF(ISBLANK(Control_10 Establishment_2),"",Control_10 Establishment_2)</f>
        <v/>
      </c>
      <c r="F31" s="42" t="str">
        <f>IF(ISBLANK('Control Entry'!J19),"",'Control Entry'!J19)</f>
        <v/>
      </c>
      <c r="G31" s="10"/>
      <c r="H31" s="35" t="s">
        <v>29</v>
      </c>
      <c r="M31" s="20"/>
      <c r="N31" s="29"/>
      <c r="O31" s="29"/>
      <c r="P31" s="30"/>
      <c r="Q31" s="29"/>
      <c r="R31" s="29"/>
      <c r="S31" s="29"/>
      <c r="T31" s="30"/>
      <c r="U31" s="29"/>
    </row>
    <row r="32" spans="1:22" ht="36" customHeight="1" thickBot="1" x14ac:dyDescent="0.25">
      <c r="A32" s="43"/>
      <c r="B32" s="44" t="str">
        <f>Control_10 Open_time</f>
        <v/>
      </c>
      <c r="C32" s="44" t="str">
        <f>Control_10 Close_time</f>
        <v/>
      </c>
      <c r="D32" s="45"/>
      <c r="E32" s="46" t="str">
        <f>IF(ISBLANK(Control_10 Establishment_3),"",Control_10 Establishment_3)</f>
        <v/>
      </c>
      <c r="F32" s="46" t="str">
        <f>IF(ISBLANK('Control Entry'!K19),"",'Control Entry'!K19)</f>
        <v/>
      </c>
      <c r="G32" s="11"/>
      <c r="H32" s="35" t="s">
        <v>29</v>
      </c>
      <c r="M32" s="66"/>
      <c r="N32" s="26"/>
      <c r="O32" s="26"/>
      <c r="P32" s="31"/>
      <c r="Q32" s="26"/>
      <c r="R32" s="26"/>
      <c r="S32" s="26"/>
      <c r="T32" s="31"/>
      <c r="U32" s="29"/>
    </row>
    <row r="33" spans="1:22" ht="36" customHeight="1" x14ac:dyDescent="0.2">
      <c r="A33" s="123" t="s">
        <v>43</v>
      </c>
      <c r="B33" s="123"/>
      <c r="C33" s="123"/>
      <c r="D33" s="123"/>
      <c r="E33" s="123"/>
      <c r="F33" s="123"/>
      <c r="G33" s="123"/>
      <c r="H33" s="51"/>
      <c r="I33" s="51"/>
      <c r="N33" s="135"/>
      <c r="O33" s="135"/>
      <c r="P33" s="135"/>
      <c r="Q33" s="135"/>
      <c r="R33" s="135"/>
      <c r="S33" s="135"/>
      <c r="T33" s="135"/>
      <c r="U33" s="135"/>
      <c r="V33" s="61"/>
    </row>
    <row r="34" spans="1:22" ht="36" customHeight="1" x14ac:dyDescent="0.2">
      <c r="A34"/>
      <c r="O34" s="59"/>
      <c r="P34" s="59"/>
      <c r="Q34" s="59"/>
      <c r="R34" s="58"/>
    </row>
    <row r="35" spans="1:22" ht="36" customHeight="1" x14ac:dyDescent="0.2">
      <c r="A35"/>
      <c r="N35" s="134"/>
      <c r="O35" s="134"/>
      <c r="P35" s="134"/>
      <c r="Q35" s="134"/>
      <c r="R35" s="134"/>
      <c r="S35" s="134"/>
      <c r="T35" s="134"/>
      <c r="U35" s="134"/>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T8:U8"/>
    <mergeCell ref="N35:U35"/>
    <mergeCell ref="M29:T29"/>
    <mergeCell ref="N27:O27"/>
    <mergeCell ref="P27:Q27"/>
    <mergeCell ref="S27:T27"/>
    <mergeCell ref="U27:V27"/>
    <mergeCell ref="N33:U33"/>
    <mergeCell ref="R5:U5"/>
    <mergeCell ref="K2:U2"/>
    <mergeCell ref="L8:Q8"/>
    <mergeCell ref="A1:G1"/>
    <mergeCell ref="A33:G33"/>
    <mergeCell ref="M4:T4"/>
    <mergeCell ref="P25:Q25"/>
    <mergeCell ref="S25:T25"/>
    <mergeCell ref="U25:V25"/>
    <mergeCell ref="N5:O5"/>
    <mergeCell ref="K27:L27"/>
    <mergeCell ref="J25:N25"/>
    <mergeCell ref="O3:R3"/>
    <mergeCell ref="S20:U20"/>
    <mergeCell ref="L15:U15"/>
    <mergeCell ref="L6:U6"/>
  </mergeCells>
  <phoneticPr fontId="16" type="noConversion"/>
  <pageMargins left="0.2" right="0.2" top="0.2" bottom="0.2" header="0.51" footer="0.51"/>
  <pageSetup scale="45" orientation="landscape"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E17" sqref="E17"/>
    </sheetView>
  </sheetViews>
  <sheetFormatPr baseColWidth="10" defaultColWidth="8.83203125" defaultRowHeight="13" x14ac:dyDescent="0.15"/>
  <cols>
    <col min="1" max="1" width="8.5" style="1" customWidth="1"/>
    <col min="2" max="2" width="11.5" customWidth="1"/>
    <col min="3" max="3" width="11.6640625" customWidth="1"/>
    <col min="4" max="4" width="18" customWidth="1"/>
    <col min="5" max="5" width="23.83203125" customWidth="1"/>
    <col min="6" max="6" width="42" customWidth="1"/>
    <col min="7" max="7" width="13.5" customWidth="1"/>
    <col min="8" max="8" width="8" style="36" customWidth="1"/>
    <col min="9" max="9" width="12" customWidth="1"/>
    <col min="18" max="19" width="8.83203125" customWidth="1"/>
  </cols>
  <sheetData>
    <row r="1" spans="1:22" ht="21" thickBot="1" x14ac:dyDescent="0.2">
      <c r="A1" s="122" t="s">
        <v>44</v>
      </c>
      <c r="B1" s="122"/>
      <c r="C1" s="122"/>
      <c r="D1" s="122"/>
      <c r="E1" s="122"/>
      <c r="F1" s="122"/>
      <c r="G1" s="122"/>
      <c r="H1" s="35" t="s">
        <v>29</v>
      </c>
    </row>
    <row r="2" spans="1:22" ht="33.75" customHeight="1" thickBot="1" x14ac:dyDescent="0.25">
      <c r="A2" s="99" t="s">
        <v>30</v>
      </c>
      <c r="B2" s="9" t="s">
        <v>3</v>
      </c>
      <c r="C2" s="9" t="s">
        <v>4</v>
      </c>
      <c r="D2" s="9" t="s">
        <v>25</v>
      </c>
      <c r="E2" s="9" t="s">
        <v>31</v>
      </c>
      <c r="F2" s="9" t="s">
        <v>60</v>
      </c>
      <c r="G2" s="99" t="s">
        <v>32</v>
      </c>
      <c r="H2" s="35" t="s">
        <v>29</v>
      </c>
      <c r="K2" s="120" t="s">
        <v>56</v>
      </c>
      <c r="L2" s="120"/>
      <c r="M2" s="120"/>
      <c r="N2" s="120"/>
      <c r="O2" s="120"/>
      <c r="P2" s="120"/>
      <c r="Q2" s="120"/>
      <c r="R2" s="120"/>
      <c r="S2" s="120"/>
      <c r="T2" s="120"/>
      <c r="U2" s="120"/>
    </row>
    <row r="3" spans="1:22" ht="36" customHeight="1" x14ac:dyDescent="0.45">
      <c r="A3" s="39"/>
      <c r="B3" s="40">
        <f>'Control Entry'!N23</f>
        <v>44416.291666666664</v>
      </c>
      <c r="C3" s="40">
        <f>'Control Entry'!O23</f>
        <v>44416.333333333328</v>
      </c>
      <c r="D3" s="41"/>
      <c r="E3" s="42" t="str">
        <f>IF(ISBLANK('Control Entry'!F23),"",'Control Entry'!F23)</f>
        <v>Information Control</v>
      </c>
      <c r="F3" s="42" t="str">
        <f>IF(ISBLANK('Control Entry'!I23),"",'Control Entry'!I23)</f>
        <v>Plaque on stone cairn</v>
      </c>
      <c r="G3" s="10"/>
      <c r="H3" s="35" t="s">
        <v>29</v>
      </c>
      <c r="K3" s="16"/>
      <c r="N3" s="129" t="s">
        <v>81</v>
      </c>
      <c r="O3" s="129"/>
      <c r="P3" s="129"/>
      <c r="Q3" s="129"/>
      <c r="R3" s="129"/>
      <c r="S3" s="129"/>
      <c r="T3" s="52"/>
      <c r="U3" s="52"/>
    </row>
    <row r="4" spans="1:22" ht="36" customHeight="1" x14ac:dyDescent="0.2">
      <c r="A4" s="48">
        <f>IF(ISBLANK('Control Entry'!D23),"",'Control Entry'!D23)</f>
        <v>0</v>
      </c>
      <c r="B4" s="49">
        <f>'Control Entry'!N23</f>
        <v>44416.291666666664</v>
      </c>
      <c r="C4" s="49">
        <f>'Control Entry'!O23</f>
        <v>44416.333333333328</v>
      </c>
      <c r="D4" s="50" t="str">
        <f>IF(ISBLANK('Control Entry'!E23),"",'Control Entry'!E23)</f>
        <v>VIEW ROYAL</v>
      </c>
      <c r="E4" s="42" t="str">
        <f>IF(ISBLANK('Control Entry'!G23),"",'Control Entry'!G23)</f>
        <v xml:space="preserve">Galloping Goose  </v>
      </c>
      <c r="F4" s="42" t="str">
        <f>IF(ISBLANK('Control Entry'!J23),"",'Control Entry'!J23)</f>
        <v>CRD LocalMotion</v>
      </c>
      <c r="G4" s="10"/>
      <c r="H4" s="35" t="s">
        <v>29</v>
      </c>
      <c r="K4" s="16"/>
      <c r="M4" s="124" t="str">
        <f>IF(ISBLANK(brevet),"",brevet&amp;" km Randonnée")</f>
        <v>200 km Randonnée</v>
      </c>
      <c r="N4" s="124"/>
      <c r="O4" s="124"/>
      <c r="P4" s="124"/>
      <c r="Q4" s="124"/>
      <c r="R4" s="124"/>
      <c r="S4" s="124"/>
      <c r="T4" s="124"/>
      <c r="U4" s="53"/>
    </row>
    <row r="5" spans="1:22" ht="36" customHeight="1" thickBot="1" x14ac:dyDescent="0.25">
      <c r="A5" s="43"/>
      <c r="B5" s="44">
        <f>'Control Entry'!N23</f>
        <v>44416.291666666664</v>
      </c>
      <c r="C5" s="44">
        <f>'Control Entry'!O23</f>
        <v>44416.333333333328</v>
      </c>
      <c r="D5" s="45"/>
      <c r="E5" s="46" t="str">
        <f>IF(ISBLANK('Control Entry'!H23),"",'Control Entry'!H23)</f>
        <v>Atkins Park</v>
      </c>
      <c r="F5" s="46" t="str">
        <f>IF(ISBLANK('Control Entry'!K23),"",'Control Entry'!K23)</f>
        <v>Completed November _____________?</v>
      </c>
      <c r="G5" s="11"/>
      <c r="H5" s="35" t="s">
        <v>29</v>
      </c>
      <c r="K5" s="16"/>
      <c r="M5" s="17"/>
      <c r="N5" s="127" t="s">
        <v>48</v>
      </c>
      <c r="O5" s="127"/>
      <c r="P5" s="81">
        <f>IF(ISBLANK(Brevet_Number),"",Brevet_Number)</f>
        <v>5098</v>
      </c>
      <c r="Q5" s="82"/>
      <c r="R5" s="119">
        <f>IF(ISBLANK('Control Entry'!$B5),"",'Control Entry'!$B5)</f>
        <v>44416</v>
      </c>
      <c r="S5" s="119"/>
      <c r="T5" s="119"/>
      <c r="U5" s="119"/>
      <c r="V5" s="54"/>
    </row>
    <row r="6" spans="1:22" ht="36" customHeight="1" x14ac:dyDescent="0.2">
      <c r="A6" s="39"/>
      <c r="B6" s="40">
        <f>'Control Entry'!N24</f>
        <v>44416.307638888888</v>
      </c>
      <c r="C6" s="40">
        <f>'Control Entry'!O24</f>
        <v>44416.327777777777</v>
      </c>
      <c r="D6" s="47"/>
      <c r="E6" s="42" t="str">
        <f>IF(ISBLANK('Control Entry'!F24),"",'Control Entry'!F24)</f>
        <v>Information Control</v>
      </c>
      <c r="F6" s="42" t="str">
        <f>IF(ISBLANK('Control Entry'!I24),"",'Control Entry'!I24)</f>
        <v>Bike rack near grass</v>
      </c>
      <c r="G6" s="10"/>
      <c r="H6" s="35" t="s">
        <v>29</v>
      </c>
      <c r="K6" s="16"/>
      <c r="L6" s="132" t="str">
        <f>IF(ISBLANK(Brevet_Description),"",Brevet_Description)</f>
        <v>All But Three</v>
      </c>
      <c r="M6" s="132"/>
      <c r="N6" s="132"/>
      <c r="O6" s="132"/>
      <c r="P6" s="132"/>
      <c r="Q6" s="132"/>
      <c r="R6" s="132"/>
      <c r="S6" s="132"/>
      <c r="T6" s="132"/>
      <c r="U6" s="132"/>
    </row>
    <row r="7" spans="1:22" ht="36" customHeight="1" x14ac:dyDescent="0.2">
      <c r="A7" s="48">
        <f>IF(ISBLANK('Control Entry'!D24),"",'Control Entry'!D24)</f>
        <v>13</v>
      </c>
      <c r="B7" s="49">
        <f>'Control Entry'!N24</f>
        <v>44416.307638888888</v>
      </c>
      <c r="C7" s="49">
        <f>'Control Entry'!O24</f>
        <v>44416.327777777777</v>
      </c>
      <c r="D7" s="50" t="str">
        <f>IF(ISBLANK('Control Entry'!E24),"",'Control Entry'!E24)</f>
        <v>LANGFORD</v>
      </c>
      <c r="E7" s="42" t="str">
        <f>IF(ISBLANK('Control Entry'!G24),"",'Control Entry'!G24)</f>
        <v>Happy Valley Market</v>
      </c>
      <c r="F7" s="42" t="str">
        <f>IF(ISBLANK('Control Entry'!J24),"",'Control Entry'!J24)</f>
        <v>How many hangers?</v>
      </c>
      <c r="G7" s="10"/>
      <c r="H7" s="35" t="s">
        <v>29</v>
      </c>
    </row>
    <row r="8" spans="1:22" ht="36" customHeight="1" thickBot="1" x14ac:dyDescent="0.25">
      <c r="A8" s="43"/>
      <c r="B8" s="44">
        <f>'Control Entry'!N24</f>
        <v>44416.307638888888</v>
      </c>
      <c r="C8" s="44">
        <f>'Control Entry'!O24</f>
        <v>44416.327777777777</v>
      </c>
      <c r="D8" s="45"/>
      <c r="E8" s="46" t="str">
        <f>IF(ISBLANK('Control Entry'!H24),"",'Control Entry'!H24)</f>
        <v>3431 Happy Valley Rd</v>
      </c>
      <c r="F8" s="46" t="str">
        <f>IF(ISBLANK('Control Entry'!K24),"",'Control Entry'!K24)</f>
        <v/>
      </c>
      <c r="G8" s="11"/>
      <c r="H8" s="35" t="s">
        <v>29</v>
      </c>
      <c r="J8" s="17" t="s">
        <v>34</v>
      </c>
      <c r="L8" s="121"/>
      <c r="M8" s="121"/>
      <c r="N8" s="121"/>
      <c r="O8" s="121"/>
      <c r="P8" s="121"/>
      <c r="Q8" s="121"/>
      <c r="R8" s="36"/>
      <c r="S8" s="55" t="s">
        <v>47</v>
      </c>
      <c r="T8" s="133"/>
      <c r="U8" s="133"/>
    </row>
    <row r="9" spans="1:22" ht="36" customHeight="1" thickBot="1" x14ac:dyDescent="0.3">
      <c r="A9" s="39"/>
      <c r="B9" s="40">
        <f>'Control Entry'!N25</f>
        <v>44416.325694444444</v>
      </c>
      <c r="C9" s="40">
        <f>'Control Entry'!O25</f>
        <v>44416.369444444441</v>
      </c>
      <c r="D9" s="47"/>
      <c r="E9" s="42" t="str">
        <f>IF(ISBLANK('Control Entry'!F25),"",'Control Entry'!F25)</f>
        <v>Information Control</v>
      </c>
      <c r="F9" s="42" t="str">
        <f>IF(ISBLANK('Control Entry'!I25),"",'Control Entry'!I25)</f>
        <v>Yellow Park sign next to trail to right</v>
      </c>
      <c r="G9" s="10"/>
      <c r="H9" s="35" t="s">
        <v>29</v>
      </c>
      <c r="J9" s="17" t="s">
        <v>35</v>
      </c>
      <c r="K9" s="17"/>
      <c r="L9" s="65" t="s">
        <v>55</v>
      </c>
      <c r="M9" s="23"/>
      <c r="N9" s="23"/>
      <c r="O9" s="23"/>
      <c r="P9" s="23"/>
      <c r="Q9" s="23"/>
      <c r="R9" s="23"/>
      <c r="S9" s="23"/>
      <c r="T9" s="23"/>
      <c r="U9" s="21"/>
    </row>
    <row r="10" spans="1:22" ht="36" customHeight="1" thickBot="1" x14ac:dyDescent="0.3">
      <c r="A10" s="48">
        <f>IF(ISBLANK('Control Entry'!D25),"",'Control Entry'!D25)</f>
        <v>28</v>
      </c>
      <c r="B10" s="49">
        <f>'Control Entry'!N25</f>
        <v>44416.325694444444</v>
      </c>
      <c r="C10" s="49">
        <f>'Control Entry'!O25</f>
        <v>44416.369444444441</v>
      </c>
      <c r="D10" s="50" t="str">
        <f>IF(ISBLANK('Control Entry'!E25),"",'Control Entry'!E25)</f>
        <v>ESQUIMALT</v>
      </c>
      <c r="E10" s="42" t="str">
        <f>IF(ISBLANK('Control Entry'!G25),"",'Control Entry'!G25)</f>
        <v>Saxe Point Park</v>
      </c>
      <c r="F10" s="42" t="str">
        <f>IF(ISBLANK('Control Entry'!J25),"",'Control Entry'!J25)</f>
        <v/>
      </c>
      <c r="G10" s="10"/>
      <c r="H10" s="35" t="s">
        <v>29</v>
      </c>
      <c r="J10" s="17"/>
      <c r="K10" s="17"/>
      <c r="L10" s="37"/>
      <c r="M10" s="23"/>
      <c r="N10" s="23"/>
      <c r="O10" s="23"/>
      <c r="P10" s="23"/>
      <c r="Q10" s="23"/>
      <c r="R10" s="23"/>
      <c r="S10" s="23"/>
      <c r="T10" s="23"/>
      <c r="U10" s="21"/>
    </row>
    <row r="11" spans="1:22" ht="36" customHeight="1" thickBot="1" x14ac:dyDescent="0.3">
      <c r="A11" s="43"/>
      <c r="B11" s="44">
        <f>'Control Entry'!N25</f>
        <v>44416.325694444444</v>
      </c>
      <c r="C11" s="44">
        <f>'Control Entry'!O25</f>
        <v>44416.369444444441</v>
      </c>
      <c r="D11" s="45"/>
      <c r="E11" s="46" t="str">
        <f>IF(ISBLANK('Control Entry'!H25),"",'Control Entry'!H25)</f>
        <v>Washroom Parking Area</v>
      </c>
      <c r="F11" s="46" t="str">
        <f>IF(ISBLANK('Control Entry'!K25),"",'Control Entry'!K25)</f>
        <v>Bylaw #_______________________?</v>
      </c>
      <c r="G11" s="11"/>
      <c r="H11" s="35" t="s">
        <v>29</v>
      </c>
      <c r="J11" s="17" t="s">
        <v>36</v>
      </c>
      <c r="K11" s="17"/>
      <c r="L11" s="37"/>
      <c r="M11" s="23"/>
      <c r="N11" s="23"/>
      <c r="O11" s="24"/>
      <c r="P11" s="24" t="s">
        <v>37</v>
      </c>
      <c r="Q11" s="24"/>
      <c r="R11" s="24"/>
      <c r="S11" s="57"/>
      <c r="T11" s="37"/>
      <c r="U11" s="21"/>
    </row>
    <row r="12" spans="1:22" ht="36" customHeight="1" thickBot="1" x14ac:dyDescent="0.3">
      <c r="A12" s="39"/>
      <c r="B12" s="40">
        <f>'Control Entry'!N26</f>
        <v>44416.37222222222</v>
      </c>
      <c r="C12" s="40">
        <f>'Control Entry'!O26</f>
        <v>44416.474999999999</v>
      </c>
      <c r="D12" s="47"/>
      <c r="E12" s="42" t="str">
        <f>IF(ISBLANK('Control Entry'!F26),"",'Control Entry'!F26)</f>
        <v>Information Control</v>
      </c>
      <c r="F12" s="42" t="str">
        <f>IF(ISBLANK('Control Entry'!I26),"",'Control Entry'!I26)</f>
        <v>Garbage can</v>
      </c>
      <c r="G12" s="10"/>
      <c r="H12" s="35" t="s">
        <v>29</v>
      </c>
      <c r="J12" s="17" t="s">
        <v>38</v>
      </c>
      <c r="K12" s="17"/>
      <c r="L12" s="37"/>
      <c r="M12" s="23"/>
      <c r="N12" s="23"/>
      <c r="O12" s="24"/>
      <c r="P12" s="24" t="s">
        <v>39</v>
      </c>
      <c r="Q12" s="24"/>
      <c r="R12" s="24"/>
      <c r="S12" s="57"/>
      <c r="T12" s="37"/>
      <c r="U12" s="21"/>
    </row>
    <row r="13" spans="1:22" ht="36" customHeight="1" thickBot="1" x14ac:dyDescent="0.3">
      <c r="A13" s="48">
        <f>IF(ISBLANK('Control Entry'!D26),"",'Control Entry'!D26)</f>
        <v>65.900000000000006</v>
      </c>
      <c r="B13" s="49">
        <f>'Control Entry'!N26</f>
        <v>44416.37222222222</v>
      </c>
      <c r="C13" s="49">
        <f>'Control Entry'!O26</f>
        <v>44416.474999999999</v>
      </c>
      <c r="D13" s="50" t="str">
        <f>IF(ISBLANK('Control Entry'!E26),"",'Control Entry'!E26)</f>
        <v>NORTH SAANICH</v>
      </c>
      <c r="E13" s="42" t="str">
        <f>IF(ISBLANK('Control Entry'!G26),"",'Control Entry'!G26)</f>
        <v>Lost Airmen Park</v>
      </c>
      <c r="F13" s="42" t="str">
        <f>IF(ISBLANK('Control Entry'!J26),"",'Control Entry'!J26)</f>
        <v/>
      </c>
      <c r="G13" s="10"/>
      <c r="H13" s="35" t="s">
        <v>29</v>
      </c>
      <c r="J13" s="17" t="s">
        <v>40</v>
      </c>
      <c r="L13" s="79"/>
      <c r="M13" s="80"/>
      <c r="N13" s="80"/>
      <c r="O13" s="25"/>
      <c r="P13" s="24" t="s">
        <v>41</v>
      </c>
      <c r="Q13" s="24"/>
      <c r="R13" s="38"/>
      <c r="S13" s="26"/>
      <c r="T13" s="26"/>
      <c r="U13" s="22"/>
    </row>
    <row r="14" spans="1:22" ht="36" customHeight="1" thickBot="1" x14ac:dyDescent="0.25">
      <c r="A14" s="43"/>
      <c r="B14" s="44">
        <f>'Control Entry'!N26</f>
        <v>44416.37222222222</v>
      </c>
      <c r="C14" s="44">
        <f>'Control Entry'!O26</f>
        <v>44416.474999999999</v>
      </c>
      <c r="D14" s="45"/>
      <c r="E14" s="46" t="str">
        <f>IF(ISBLANK('Control Entry'!H26),"",'Control Entry'!H26)</f>
        <v>The Flight Path</v>
      </c>
      <c r="F14" s="46" t="str">
        <f>IF(ISBLANK('Control Entry'!K26),"",'Control Entry'!K26)</f>
        <v>Pedestrian ________________Only?</v>
      </c>
      <c r="G14" s="11"/>
      <c r="H14" s="35" t="s">
        <v>29</v>
      </c>
    </row>
    <row r="15" spans="1:22" ht="36" customHeight="1" x14ac:dyDescent="0.2">
      <c r="A15" s="39"/>
      <c r="B15" s="40">
        <f>'Control Entry'!N27</f>
        <v>44416.388888888883</v>
      </c>
      <c r="C15" s="40">
        <f>'Control Entry'!O27</f>
        <v>44416.512499999997</v>
      </c>
      <c r="D15" s="47"/>
      <c r="E15" s="42" t="str">
        <f>IF(ISBLANK('Control Entry'!F27),"",'Control Entry'!F27)</f>
        <v>Information Control</v>
      </c>
      <c r="F15" s="42" t="str">
        <f>IF(ISBLANK('Control Entry'!I27),"",'Control Entry'!I27)</f>
        <v>Across Lochside, Heritage Acres sign</v>
      </c>
      <c r="G15" s="10"/>
      <c r="H15" s="35" t="s">
        <v>29</v>
      </c>
      <c r="J15" s="17"/>
      <c r="L15" s="131" t="s">
        <v>59</v>
      </c>
      <c r="M15" s="131"/>
      <c r="N15" s="131"/>
      <c r="O15" s="131"/>
      <c r="P15" s="131"/>
      <c r="Q15" s="131"/>
      <c r="R15" s="131"/>
      <c r="S15" s="131"/>
      <c r="T15" s="131"/>
      <c r="U15" s="131"/>
    </row>
    <row r="16" spans="1:22" ht="36" customHeight="1" thickBot="1" x14ac:dyDescent="0.25">
      <c r="A16" s="48">
        <f>IF(ISBLANK('Control Entry'!D27),"",'Control Entry'!D27)</f>
        <v>79.400000000000006</v>
      </c>
      <c r="B16" s="49">
        <f>'Control Entry'!N27</f>
        <v>44416.388888888883</v>
      </c>
      <c r="C16" s="49">
        <f>'Control Entry'!O27</f>
        <v>44416.512499999997</v>
      </c>
      <c r="D16" s="50" t="str">
        <f>IF(ISBLANK('Control Entry'!E27),"",'Control Entry'!E27)</f>
        <v>SAANICHTON</v>
      </c>
      <c r="E16" s="42" t="str">
        <f>IF(ISBLANK('Control Entry'!G27),"",'Control Entry'!G27)</f>
        <v>Mitchell's Farm</v>
      </c>
      <c r="F16" s="42" t="str">
        <f>IF(ISBLANK('Control Entry'!J27),"",'Control Entry'!J27)</f>
        <v>What is the base?</v>
      </c>
      <c r="G16" s="10"/>
      <c r="H16" s="35" t="s">
        <v>29</v>
      </c>
      <c r="L16" s="74"/>
      <c r="M16" s="74"/>
      <c r="N16" s="74"/>
      <c r="O16" s="74"/>
      <c r="P16" s="74"/>
      <c r="Q16" s="75"/>
      <c r="R16" s="75"/>
      <c r="S16" s="75"/>
      <c r="T16" s="75"/>
      <c r="U16" s="75"/>
    </row>
    <row r="17" spans="1:22" ht="36" customHeight="1" thickBot="1" x14ac:dyDescent="0.25">
      <c r="A17" s="43"/>
      <c r="B17" s="44">
        <f>'Control Entry'!N27</f>
        <v>44416.388888888883</v>
      </c>
      <c r="C17" s="44">
        <f>'Control Entry'!O27</f>
        <v>44416.512499999997</v>
      </c>
      <c r="D17" s="45"/>
      <c r="E17" s="46" t="str">
        <f>IF(ISBLANK('Control Entry'!H27),"",'Control Entry'!H27)</f>
        <v>2451 Island View</v>
      </c>
      <c r="F17" s="46" t="str">
        <f>IF(ISBLANK('Control Entry'!K27),"",'Control Entry'!K27)</f>
        <v/>
      </c>
      <c r="G17" s="11"/>
      <c r="H17" s="35" t="s">
        <v>29</v>
      </c>
    </row>
    <row r="18" spans="1:22" ht="36" customHeight="1" x14ac:dyDescent="0.2">
      <c r="A18" s="39"/>
      <c r="B18" s="40">
        <f>'Control Entry'!N28</f>
        <v>44416.429166666661</v>
      </c>
      <c r="C18" s="40">
        <f>'Control Entry'!O28</f>
        <v>44416.604166666664</v>
      </c>
      <c r="D18" s="47"/>
      <c r="E18" s="42" t="str">
        <f>IF(ISBLANK('Control Entry'!F28),"",'Control Entry'!F28)</f>
        <v>Information Control</v>
      </c>
      <c r="F18" s="42" t="str">
        <f>IF(ISBLANK('Control Entry'!I28),"",'Control Entry'!I28)</f>
        <v>Bollards towards Niagara</v>
      </c>
      <c r="G18" s="10"/>
      <c r="H18" s="35" t="s">
        <v>29</v>
      </c>
    </row>
    <row r="19" spans="1:22" ht="36" customHeight="1" x14ac:dyDescent="0.2">
      <c r="A19" s="48">
        <f>IF(ISBLANK('Control Entry'!D28),"",'Control Entry'!D28)</f>
        <v>112.4</v>
      </c>
      <c r="B19" s="49">
        <f>'Control Entry'!N28</f>
        <v>44416.429166666661</v>
      </c>
      <c r="C19" s="49">
        <f>'Control Entry'!O28</f>
        <v>44416.604166666664</v>
      </c>
      <c r="D19" s="50" t="str">
        <f>IF(ISBLANK('Control Entry'!E28),"",'Control Entry'!E28)</f>
        <v>VICTORIA</v>
      </c>
      <c r="E19" s="42" t="str">
        <f>IF(ISBLANK('Control Entry'!G28),"",'Control Entry'!G28)</f>
        <v>Dallas Rd @ Niagara Rd</v>
      </c>
      <c r="F19" s="42" t="str">
        <f>IF(ISBLANK('Control Entry'!J28),"",'Control Entry'!J28)</f>
        <v>How many yellow stripes on each?</v>
      </c>
      <c r="G19" s="10"/>
      <c r="H19" s="35" t="s">
        <v>29</v>
      </c>
    </row>
    <row r="20" spans="1:22" ht="36" customHeight="1" thickBot="1" x14ac:dyDescent="0.25">
      <c r="A20" s="43"/>
      <c r="B20" s="44">
        <f>'Control Entry'!N28</f>
        <v>44416.429166666661</v>
      </c>
      <c r="C20" s="44">
        <f>'Control Entry'!O28</f>
        <v>44416.604166666664</v>
      </c>
      <c r="D20" s="45"/>
      <c r="E20" s="46" t="str">
        <f>IF(ISBLANK('Control Entry'!H28),"",'Control Entry'!H28)</f>
        <v/>
      </c>
      <c r="F20" s="46" t="str">
        <f>IF(ISBLANK('Control Entry'!K28),"",'Control Entry'!K28)</f>
        <v/>
      </c>
      <c r="G20" s="11"/>
      <c r="H20" s="35" t="s">
        <v>29</v>
      </c>
      <c r="J20" s="73" t="s">
        <v>45</v>
      </c>
      <c r="K20" s="73"/>
      <c r="L20" s="76"/>
      <c r="M20" s="76"/>
      <c r="N20" s="76"/>
      <c r="P20" s="24" t="s">
        <v>0</v>
      </c>
      <c r="Q20" s="24"/>
      <c r="S20" s="130">
        <f>'Control Entry'!B8</f>
        <v>0.29166666666666669</v>
      </c>
      <c r="T20" s="130"/>
      <c r="U20" s="130"/>
    </row>
    <row r="21" spans="1:22" ht="36" customHeight="1" x14ac:dyDescent="0.2">
      <c r="A21" s="39"/>
      <c r="B21" s="40">
        <f>'Control Entry'!N29</f>
        <v>44416.463888888888</v>
      </c>
      <c r="C21" s="40">
        <f>'Control Entry'!O29</f>
        <v>44416.681249999994</v>
      </c>
      <c r="D21" s="47"/>
      <c r="E21" s="42" t="str">
        <f>IF(ISBLANK('Control Entry'!F29),"",'Control Entry'!F29)</f>
        <v>Information Control</v>
      </c>
      <c r="F21" s="42" t="str">
        <f>IF(ISBLANK('Control Entry'!I29),"",'Control Entry'!I29)</f>
        <v>Fire hydrant to right</v>
      </c>
      <c r="G21" s="10"/>
      <c r="H21" s="35" t="s">
        <v>29</v>
      </c>
      <c r="J21" s="73"/>
      <c r="K21" s="73"/>
      <c r="L21" s="71"/>
      <c r="M21" s="71"/>
      <c r="N21" s="71"/>
      <c r="P21" s="24"/>
      <c r="Q21" s="24"/>
      <c r="R21" s="29"/>
      <c r="S21" s="77"/>
      <c r="T21" s="77"/>
      <c r="U21" s="77"/>
      <c r="V21" s="36"/>
    </row>
    <row r="22" spans="1:22" ht="36" customHeight="1" thickBot="1" x14ac:dyDescent="0.25">
      <c r="A22" s="48">
        <f>IF(ISBLANK('Control Entry'!D29),"",'Control Entry'!D29)</f>
        <v>140.30000000000001</v>
      </c>
      <c r="B22" s="49">
        <f>'Control Entry'!N29</f>
        <v>44416.463888888888</v>
      </c>
      <c r="C22" s="49">
        <f>'Control Entry'!O29</f>
        <v>44416.681249999994</v>
      </c>
      <c r="D22" s="50" t="str">
        <f>IF(ISBLANK('Control Entry'!E29),"",'Control Entry'!E29)</f>
        <v>CENTRAL SAANICH</v>
      </c>
      <c r="E22" s="42" t="str">
        <f>IF(ISBLANK('Control Entry'!G29),"",'Control Entry'!G29)</f>
        <v>Welch Rd @ Martindale Rd</v>
      </c>
      <c r="F22" s="42" t="str">
        <f>IF(ISBLANK('Control Entry'!J29),"",'Control Entry'!J29)</f>
        <v>What is the hydrant number?</v>
      </c>
      <c r="G22" s="10"/>
      <c r="H22" s="35" t="s">
        <v>29</v>
      </c>
      <c r="J22" s="112" t="s">
        <v>46</v>
      </c>
      <c r="K22" s="112"/>
      <c r="L22" s="76"/>
      <c r="M22" s="76"/>
      <c r="N22" s="76"/>
      <c r="O22" s="25"/>
      <c r="P22" s="24" t="s">
        <v>1</v>
      </c>
      <c r="Q22" s="24"/>
      <c r="R22" s="25"/>
      <c r="S22" s="78"/>
      <c r="T22" s="78"/>
      <c r="U22" s="78"/>
    </row>
    <row r="23" spans="1:22" ht="36" customHeight="1" thickBot="1" x14ac:dyDescent="0.25">
      <c r="A23" s="43"/>
      <c r="B23" s="44">
        <f>'Control Entry'!N29</f>
        <v>44416.463888888888</v>
      </c>
      <c r="C23" s="44">
        <f>'Control Entry'!O29</f>
        <v>44416.681249999994</v>
      </c>
      <c r="D23" s="45"/>
      <c r="E23" s="46" t="str">
        <f>IF(ISBLANK('Control Entry'!H29),"",'Control Entry'!H29)</f>
        <v/>
      </c>
      <c r="F23" s="46" t="str">
        <f>IF(ISBLANK('Control Entry'!K29),"",'Control Entry'!K29)</f>
        <v/>
      </c>
      <c r="G23" s="11"/>
      <c r="H23" s="35" t="s">
        <v>29</v>
      </c>
      <c r="J23" s="112"/>
      <c r="K23" s="112"/>
      <c r="L23" s="71"/>
      <c r="M23" s="71"/>
      <c r="N23" s="71"/>
      <c r="O23" s="29"/>
      <c r="P23" s="70"/>
      <c r="Q23" s="70"/>
      <c r="R23" s="29"/>
      <c r="S23" s="29"/>
      <c r="T23" s="29"/>
      <c r="U23" s="29"/>
      <c r="V23" s="36"/>
    </row>
    <row r="24" spans="1:22" ht="36" customHeight="1" thickBot="1" x14ac:dyDescent="0.25">
      <c r="A24" s="39"/>
      <c r="B24" s="40">
        <f>'Control Entry'!N30</f>
        <v>44416.492361111108</v>
      </c>
      <c r="C24" s="40">
        <f>'Control Entry'!O30</f>
        <v>44416.746527777774</v>
      </c>
      <c r="D24" s="47"/>
      <c r="E24" s="42" t="str">
        <f>IF(ISBLANK('Control Entry'!F30),"",'Control Entry'!F30)</f>
        <v>Information Control</v>
      </c>
      <c r="F24" s="42" t="str">
        <f>IF(ISBLANK('Control Entry'!I30),"",'Control Entry'!I30)</f>
        <v>444 house number</v>
      </c>
      <c r="G24" s="10"/>
      <c r="H24" s="35" t="s">
        <v>29</v>
      </c>
      <c r="J24" s="18"/>
      <c r="K24" s="18"/>
      <c r="L24" s="18"/>
      <c r="M24" s="26"/>
      <c r="N24" s="26"/>
      <c r="O24" s="25"/>
      <c r="P24" s="24" t="s">
        <v>2</v>
      </c>
      <c r="Q24" s="24"/>
      <c r="R24" s="25"/>
      <c r="S24" s="26"/>
      <c r="T24" s="26"/>
      <c r="U24" s="26"/>
    </row>
    <row r="25" spans="1:22" ht="36" customHeight="1" x14ac:dyDescent="0.2">
      <c r="A25" s="48">
        <f>IF(ISBLANK('Control Entry'!D30),"",'Control Entry'!D30)</f>
        <v>163.69999999999999</v>
      </c>
      <c r="B25" s="49">
        <f>'Control Entry'!N30</f>
        <v>44416.492361111108</v>
      </c>
      <c r="C25" s="49">
        <f>'Control Entry'!O30</f>
        <v>44416.746527777774</v>
      </c>
      <c r="D25" s="50" t="str">
        <f>IF(ISBLANK('Control Entry'!E30),"",'Control Entry'!E30)</f>
        <v>NORTH SAANICH</v>
      </c>
      <c r="E25" s="42" t="str">
        <f>IF(ISBLANK('Control Entry'!G30),"",'Control Entry'!G30)</f>
        <v>444 Land's End Rd</v>
      </c>
      <c r="F25" s="42" t="str">
        <f>IF(ISBLANK('Control Entry'!J30),"",'Control Entry'!J30)</f>
        <v>What is the base?</v>
      </c>
      <c r="G25" s="10"/>
      <c r="H25" s="35" t="s">
        <v>29</v>
      </c>
      <c r="J25" s="128" t="s">
        <v>17</v>
      </c>
      <c r="K25" s="128"/>
      <c r="L25" s="128"/>
      <c r="M25" s="128"/>
      <c r="N25" s="128"/>
      <c r="O25" s="63"/>
      <c r="P25" s="125"/>
      <c r="Q25" s="125"/>
      <c r="R25" s="63"/>
      <c r="S25" s="126"/>
      <c r="T25" s="126"/>
      <c r="U25" s="126"/>
      <c r="V25" s="126"/>
    </row>
    <row r="26" spans="1:22" ht="36" customHeight="1" thickBot="1" x14ac:dyDescent="0.25">
      <c r="A26" s="43"/>
      <c r="B26" s="44">
        <f>'Control Entry'!N30</f>
        <v>44416.492361111108</v>
      </c>
      <c r="C26" s="44">
        <f>'Control Entry'!O30</f>
        <v>44416.746527777774</v>
      </c>
      <c r="D26" s="45"/>
      <c r="E26" s="46" t="str">
        <f>IF(ISBLANK('Control Entry'!H30),"",'Control Entry'!H30)</f>
        <v/>
      </c>
      <c r="F26" s="46" t="str">
        <f>IF(ISBLANK('Control Entry'!K30),"",'Control Entry'!K30)</f>
        <v/>
      </c>
      <c r="G26" s="11"/>
      <c r="H26" s="35" t="s">
        <v>29</v>
      </c>
    </row>
    <row r="27" spans="1:22" ht="36" customHeight="1" x14ac:dyDescent="0.2">
      <c r="A27" s="39"/>
      <c r="B27" s="40">
        <f>'Control Entry'!N31</f>
        <v>44416.538888888885</v>
      </c>
      <c r="C27" s="40">
        <f>'Control Entry'!O31</f>
        <v>44416.854166666664</v>
      </c>
      <c r="D27" s="47"/>
      <c r="E27" s="42" t="str">
        <f>IF(ISBLANK('Control Entry'!F31),"",'Control Entry'!F31)</f>
        <v/>
      </c>
      <c r="F27" s="42" t="str">
        <f>IF(ISBLANK('Control Entry'!I31),"",'Control Entry'!I31)</f>
        <v>Self sign</v>
      </c>
      <c r="G27" s="10"/>
      <c r="H27" s="35" t="s">
        <v>29</v>
      </c>
      <c r="K27" s="124" t="s">
        <v>57</v>
      </c>
      <c r="L27" s="125"/>
      <c r="M27" s="62" t="s">
        <v>58</v>
      </c>
      <c r="N27" s="125" t="s">
        <v>50</v>
      </c>
      <c r="O27" s="125"/>
      <c r="P27" s="125" t="s">
        <v>51</v>
      </c>
      <c r="Q27" s="125"/>
      <c r="R27" s="63" t="s">
        <v>52</v>
      </c>
      <c r="S27" s="126" t="s">
        <v>53</v>
      </c>
      <c r="T27" s="126"/>
      <c r="U27" s="126" t="s">
        <v>54</v>
      </c>
      <c r="V27" s="126"/>
    </row>
    <row r="28" spans="1:22" ht="36" customHeight="1" x14ac:dyDescent="0.2">
      <c r="A28" s="48">
        <f>IF(ISBLANK('Control Entry'!D31),"",'Control Entry'!D31)</f>
        <v>201.5</v>
      </c>
      <c r="B28" s="49">
        <f>'Control Entry'!N31</f>
        <v>44416.538888888885</v>
      </c>
      <c r="C28" s="49">
        <f>'Control Entry'!O31</f>
        <v>44416.854166666664</v>
      </c>
      <c r="D28" s="50" t="str">
        <f>IF(ISBLANK('Control Entry'!E31),"",'Control Entry'!E31)</f>
        <v>VIEW ROYAL</v>
      </c>
      <c r="E28" s="42" t="str">
        <f>IF(ISBLANK('Control Entry'!G31),"",'Control Entry'!G31)</f>
        <v xml:space="preserve">Galloping Goose  </v>
      </c>
      <c r="F28" s="42" t="str">
        <f>IF(ISBLANK('Control Entry'!J31),"",'Control Entry'!J31)</f>
        <v/>
      </c>
      <c r="G28" s="10"/>
      <c r="H28" s="35" t="s">
        <v>29</v>
      </c>
    </row>
    <row r="29" spans="1:22" ht="36" customHeight="1" thickBot="1" x14ac:dyDescent="0.25">
      <c r="A29" s="43"/>
      <c r="B29" s="44">
        <f>'Control Entry'!N31</f>
        <v>44416.538888888885</v>
      </c>
      <c r="C29" s="44">
        <f>'Control Entry'!O31</f>
        <v>44416.854166666664</v>
      </c>
      <c r="D29" s="45"/>
      <c r="E29" s="46" t="str">
        <f>IF(ISBLANK('Control Entry'!H31),"",'Control Entry'!H31)</f>
        <v>Atkins Park</v>
      </c>
      <c r="F29" s="46" t="str">
        <f>IF(ISBLANK('Control Entry'!K31),"",'Control Entry'!K31)</f>
        <v/>
      </c>
      <c r="G29" s="11"/>
      <c r="H29" s="35" t="s">
        <v>29</v>
      </c>
      <c r="M29" s="134" t="s">
        <v>42</v>
      </c>
      <c r="N29" s="134"/>
      <c r="O29" s="134"/>
      <c r="P29" s="134"/>
      <c r="Q29" s="134"/>
      <c r="R29" s="134"/>
      <c r="S29" s="134"/>
      <c r="T29" s="134"/>
      <c r="U29" s="68"/>
    </row>
    <row r="30" spans="1:22" ht="36" customHeight="1" x14ac:dyDescent="0.2">
      <c r="A30" s="39"/>
      <c r="B30" s="40" t="str">
        <f>'Control Entry'!N32</f>
        <v/>
      </c>
      <c r="C30" s="40" t="str">
        <f>'Control Entry'!O32</f>
        <v/>
      </c>
      <c r="D30" s="47"/>
      <c r="E30" s="42" t="str">
        <f>IF(ISBLANK('Control Entry'!F32),"",'Control Entry'!F32)</f>
        <v/>
      </c>
      <c r="F30" s="42" t="str">
        <f>IF(ISBLANK('Control Entry'!I32),"",'Control Entry'!I32)</f>
        <v/>
      </c>
      <c r="G30" s="10"/>
      <c r="H30" s="35" t="s">
        <v>29</v>
      </c>
      <c r="M30" s="19"/>
      <c r="N30" s="27"/>
      <c r="O30" s="27"/>
      <c r="P30" s="28"/>
      <c r="Q30" s="27"/>
      <c r="R30" s="27"/>
      <c r="S30" s="27"/>
      <c r="T30" s="28"/>
      <c r="U30" s="29"/>
    </row>
    <row r="31" spans="1:22" ht="36" customHeight="1" x14ac:dyDescent="0.2">
      <c r="A31" s="48" t="str">
        <f>IF(ISBLANK('Control Entry'!D32),"",'Control Entry'!D32)</f>
        <v/>
      </c>
      <c r="B31" s="49" t="str">
        <f>'Control Entry'!N32</f>
        <v/>
      </c>
      <c r="C31" s="49" t="str">
        <f>'Control Entry'!O32</f>
        <v/>
      </c>
      <c r="D31" s="50" t="str">
        <f>IF(ISBLANK('Control Entry'!E32),"",'Control Entry'!E32)</f>
        <v/>
      </c>
      <c r="E31" s="42" t="str">
        <f>IF(ISBLANK('Control Entry'!G32),"",'Control Entry'!G32)</f>
        <v/>
      </c>
      <c r="F31" s="42" t="str">
        <f>IF(ISBLANK('Control Entry'!J32),"",'Control Entry'!J32)</f>
        <v/>
      </c>
      <c r="G31" s="10"/>
      <c r="H31" s="35" t="s">
        <v>29</v>
      </c>
      <c r="M31" s="20"/>
      <c r="N31" s="29"/>
      <c r="O31" s="29"/>
      <c r="P31" s="30"/>
      <c r="Q31" s="29"/>
      <c r="R31" s="29"/>
      <c r="S31" s="29"/>
      <c r="T31" s="30"/>
      <c r="U31" s="29"/>
    </row>
    <row r="32" spans="1:22" ht="36" customHeight="1" thickBot="1" x14ac:dyDescent="0.25">
      <c r="A32" s="43"/>
      <c r="B32" s="44" t="str">
        <f>'Control Entry'!N32</f>
        <v/>
      </c>
      <c r="C32" s="44" t="str">
        <f>'Control Entry'!O32</f>
        <v/>
      </c>
      <c r="D32" s="45"/>
      <c r="E32" s="46" t="str">
        <f>IF(ISBLANK('Control Entry'!H32),"",'Control Entry'!H32)</f>
        <v/>
      </c>
      <c r="F32" s="46" t="str">
        <f>IF(ISBLANK('Control Entry'!K32),"",'Control Entry'!K32)</f>
        <v/>
      </c>
      <c r="G32" s="11"/>
      <c r="H32" s="35" t="s">
        <v>29</v>
      </c>
      <c r="M32" s="66"/>
      <c r="N32" s="26"/>
      <c r="O32" s="26"/>
      <c r="P32" s="31"/>
      <c r="Q32" s="26"/>
      <c r="R32" s="26"/>
      <c r="S32" s="26"/>
      <c r="T32" s="31"/>
      <c r="U32" s="29"/>
    </row>
    <row r="33" spans="1:22" ht="36" customHeight="1" x14ac:dyDescent="0.2">
      <c r="A33" s="123" t="s">
        <v>43</v>
      </c>
      <c r="B33" s="123"/>
      <c r="C33" s="123"/>
      <c r="D33" s="123"/>
      <c r="E33" s="123"/>
      <c r="F33" s="123"/>
      <c r="G33" s="123"/>
      <c r="H33" s="51"/>
      <c r="I33" s="51"/>
      <c r="N33" s="135"/>
      <c r="O33" s="135"/>
      <c r="P33" s="135"/>
      <c r="Q33" s="135"/>
      <c r="R33" s="135"/>
      <c r="S33" s="135"/>
      <c r="T33" s="135"/>
      <c r="U33" s="135"/>
      <c r="V33" s="71"/>
    </row>
    <row r="34" spans="1:22" ht="36" customHeight="1" x14ac:dyDescent="0.2">
      <c r="A34"/>
      <c r="O34" s="59"/>
      <c r="P34" s="59"/>
      <c r="Q34" s="59"/>
      <c r="R34" s="58"/>
    </row>
    <row r="35" spans="1:22" ht="36" customHeight="1" x14ac:dyDescent="0.2">
      <c r="A35"/>
      <c r="N35" s="134"/>
      <c r="O35" s="134"/>
      <c r="P35" s="134"/>
      <c r="Q35" s="134"/>
      <c r="R35" s="134"/>
      <c r="S35" s="134"/>
      <c r="T35" s="134"/>
      <c r="U35" s="134"/>
    </row>
    <row r="36" spans="1:22" ht="36" customHeight="1" x14ac:dyDescent="0.15">
      <c r="A36"/>
      <c r="N36" s="36"/>
      <c r="O36" s="29"/>
      <c r="P36" s="29"/>
      <c r="Q36" s="29"/>
      <c r="R36" s="29"/>
      <c r="S36" s="29"/>
      <c r="T36" s="29"/>
      <c r="U36" s="29"/>
    </row>
    <row r="37" spans="1:22" ht="36" customHeight="1" x14ac:dyDescent="0.15">
      <c r="A37"/>
      <c r="N37" s="36"/>
      <c r="O37" s="29"/>
      <c r="P37" s="29"/>
      <c r="Q37" s="29"/>
      <c r="R37" s="29"/>
      <c r="S37" s="29"/>
      <c r="T37" s="29"/>
      <c r="U37" s="29"/>
    </row>
    <row r="38" spans="1:22" ht="36" customHeight="1" x14ac:dyDescent="0.2">
      <c r="A38"/>
      <c r="N38" s="69"/>
      <c r="O38" s="29"/>
      <c r="P38" s="29"/>
      <c r="Q38" s="29"/>
      <c r="R38" s="29"/>
      <c r="S38" s="29"/>
      <c r="T38" s="29"/>
      <c r="U38" s="29"/>
    </row>
    <row r="39" spans="1:22" ht="36" customHeight="1" x14ac:dyDescent="0.15">
      <c r="A39"/>
    </row>
    <row r="40" spans="1:22" ht="36" customHeight="1" x14ac:dyDescent="0.15">
      <c r="A40"/>
    </row>
  </sheetData>
  <mergeCells count="24">
    <mergeCell ref="A33:G33"/>
    <mergeCell ref="N33:U33"/>
    <mergeCell ref="N35:U35"/>
    <mergeCell ref="L8:Q8"/>
    <mergeCell ref="M29:T29"/>
    <mergeCell ref="L15:U15"/>
    <mergeCell ref="S20:U20"/>
    <mergeCell ref="J25:N25"/>
    <mergeCell ref="P25:Q25"/>
    <mergeCell ref="S25:T25"/>
    <mergeCell ref="U25:V25"/>
    <mergeCell ref="K27:L27"/>
    <mergeCell ref="N27:O27"/>
    <mergeCell ref="P27:Q27"/>
    <mergeCell ref="S27:T27"/>
    <mergeCell ref="U27:V27"/>
    <mergeCell ref="L6:U6"/>
    <mergeCell ref="T8:U8"/>
    <mergeCell ref="A1:G1"/>
    <mergeCell ref="K2:U2"/>
    <mergeCell ref="N3:S3"/>
    <mergeCell ref="M4:T4"/>
    <mergeCell ref="N5:O5"/>
    <mergeCell ref="R5:U5"/>
  </mergeCells>
  <phoneticPr fontId="16" type="noConversion"/>
  <printOptions horizontalCentered="1" verticalCentered="1"/>
  <pageMargins left="0.2" right="0.2" top="0.2" bottom="0.2" header="0.51" footer="0.51"/>
  <pageSetup scale="44" orientation="landscape" horizontalDpi="4294967292" verticalDpi="4294967292"/>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Control Card Saanichton</vt:lpstr>
      <vt:lpstr>Control Card View Royal</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Saanichton'!Print_Titles</vt:lpstr>
      <vt:lpstr>'Control Card View Royal'!Print_Titles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2021-06-12T06:01:46Z</cp:lastPrinted>
  <dcterms:created xsi:type="dcterms:W3CDTF">1997-11-12T04:43:39Z</dcterms:created>
  <dcterms:modified xsi:type="dcterms:W3CDTF">2021-07-23T19:50:24Z</dcterms:modified>
</cp:coreProperties>
</file>