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27"/>
  <workbookPr showInkAnnotation="0" autoCompressPictures="0"/>
  <mc:AlternateContent xmlns:mc="http://schemas.openxmlformats.org/markup-compatibility/2006">
    <mc:Choice Requires="x15">
      <x15ac:absPath xmlns:x15ac="http://schemas.microsoft.com/office/spreadsheetml/2010/11/ac" url="/Users/stephencarol/Documents/BCR/2025/5491 PentaC reprise/"/>
    </mc:Choice>
  </mc:AlternateContent>
  <xr:revisionPtr revIDLastSave="0" documentId="13_ncr:1_{C2B690C3-8856-B946-9B41-56344195FB12}" xr6:coauthVersionLast="47" xr6:coauthVersionMax="47" xr10:uidLastSave="{00000000-0000-0000-0000-000000000000}"/>
  <bookViews>
    <workbookView xWindow="0" yWindow="780" windowWidth="29400" windowHeight="18360" tabRatio="509" xr2:uid="{00000000-000D-0000-FFFF-FFFF00000000}"/>
  </bookViews>
  <sheets>
    <sheet name="Control Entry" sheetId="1" r:id="rId1"/>
    <sheet name="Card #1" sheetId="7" r:id="rId2"/>
  </sheets>
  <definedNames>
    <definedName name="Address_1" localSheetId="1">#REF!</definedName>
    <definedName name="Address_1">#REF!</definedName>
    <definedName name="Address_2" localSheetId="1">#REF!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'Control Entry'!#REF!</definedName>
    <definedName name="Control_12" localSheetId="1">'Control Entry'!#REF!</definedName>
    <definedName name="Control_12">'Control Entry'!#REF!</definedName>
    <definedName name="Control_13" localSheetId="1">'Control Entry'!#REF!</definedName>
    <definedName name="Control_13">'Control Entry'!#REF!</definedName>
    <definedName name="Control_14" localSheetId="1">'Control Entry'!#REF!</definedName>
    <definedName name="Control_14">'Control Entry'!#REF!</definedName>
    <definedName name="Control_15" localSheetId="1">'Control Entry'!#REF!</definedName>
    <definedName name="Control_15">'Control Entry'!#REF!</definedName>
    <definedName name="Control_16" localSheetId="1">'Control Entry'!#REF!</definedName>
    <definedName name="Control_16">'Control Entry'!#REF!</definedName>
    <definedName name="Control_17" localSheetId="1">'Control Entry'!#REF!</definedName>
    <definedName name="Control_17">'Control Entry'!#REF!</definedName>
    <definedName name="Control_18" localSheetId="1">'Control Entry'!#REF!</definedName>
    <definedName name="Control_18">'Control Entry'!#REF!</definedName>
    <definedName name="Control_19" localSheetId="1">'Control Entry'!#REF!</definedName>
    <definedName name="Control_19">'Control Entry'!#REF!</definedName>
    <definedName name="Control_2">'Control Entry'!$D$16:$O$16</definedName>
    <definedName name="Control_20" localSheetId="1">'Control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#REF!</definedName>
    <definedName name="Distance">'Control Entry'!$D$15:$D$24</definedName>
    <definedName name="email" localSheetId="1">#REF!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#REF!</definedName>
    <definedName name="First_Name" localSheetId="1">#REF!</definedName>
    <definedName name="First_Name">#REF!</definedName>
    <definedName name="Home_telephone" localSheetId="1">#REF!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#REF!</definedName>
    <definedName name="_xlnm.Print_Area" localSheetId="1">'Card #1'!$A$1:$K$55</definedName>
    <definedName name="Province_State" localSheetId="1">#REF!</definedName>
    <definedName name="Province_State">#REF!</definedName>
    <definedName name="Start_date">'Control Entry'!$B$12</definedName>
    <definedName name="Start_time">'Control Entry'!$B$13</definedName>
    <definedName name="surname" localSheetId="1">#REF!</definedName>
    <definedName name="surname">#REF!</definedName>
    <definedName name="Work_telephone" localSheetId="1">#REF!</definedName>
    <definedName name="Work_telephon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7" i="1" l="1"/>
  <c r="E5" i="7" l="1"/>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M16" i="1" l="1"/>
  <c r="O16" i="1" s="1"/>
  <c r="C22" i="7"/>
  <c r="C23" i="7"/>
  <c r="C21" i="7"/>
  <c r="B7" i="1"/>
  <c r="M21" i="1" s="1"/>
  <c r="O21" i="1" s="1"/>
  <c r="M19" i="1"/>
  <c r="O19" i="1" s="1"/>
  <c r="M18" i="1"/>
  <c r="O18" i="1" s="1"/>
  <c r="M17" i="1"/>
  <c r="O17" i="1" s="1"/>
  <c r="M15" i="1"/>
  <c r="O15" i="1" s="1"/>
  <c r="N18" i="1"/>
  <c r="N22" i="1"/>
  <c r="N17" i="1"/>
  <c r="N21" i="1"/>
  <c r="N24" i="1"/>
  <c r="N16" i="1"/>
  <c r="N20" i="1"/>
  <c r="N19" i="1"/>
  <c r="N23" i="1"/>
  <c r="M24" i="1" l="1"/>
  <c r="O24" i="1" s="1"/>
  <c r="D50" i="7" s="1"/>
  <c r="M23" i="1"/>
  <c r="O23" i="1" s="1"/>
  <c r="D47" i="7" s="1"/>
  <c r="M20" i="1"/>
  <c r="O20" i="1" s="1"/>
  <c r="D37" i="7" s="1"/>
  <c r="M22" i="1"/>
  <c r="O22" i="1" s="1"/>
  <c r="D44" i="7"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48" i="7" l="1"/>
  <c r="D49" i="7"/>
  <c r="D38" i="7"/>
  <c r="D36" i="7"/>
  <c r="D42" i="7"/>
  <c r="D46" i="7"/>
  <c r="D45" i="7"/>
  <c r="D4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shapeId="0" xr:uid="{00000000-0006-0000-0000-000002000000}">
      <text>
        <r>
          <rPr>
            <sz val="8"/>
            <color rgb="FF000000"/>
            <rFont val="Tahoma"/>
            <family val="2"/>
          </rPr>
          <t>Autocalculated based on ACP specified times</t>
        </r>
      </text>
    </comment>
    <comment ref="B8" authorId="0" shapeId="0" xr:uid="{3C1C451D-6AE0-F242-A53A-80693F934BEF}">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shapeId="0" xr:uid="{C2700BB7-AC40-4846-9773-3956CB914942}">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shapeId="0" xr:uid="{E6B5DB4F-63CC-9A4E-B02A-4C28633B0FBD}">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<sst xmlns="http://schemas.openxmlformats.org/spreadsheetml/2006/main" count="123" uniqueCount="109">
  <si>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</si>
  <si>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</si>
  <si>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</si>
  <si>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</si>
  <si>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</si>
  <si>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</si>
  <si>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</si>
  <si>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</si>
  <si>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</si>
  <si>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</si>
  <si>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</si>
  <si>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</si>
  <si>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</si>
  <si>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</si>
  <si>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</si>
  <si>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</si>
  <si>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</si>
  <si>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</si>
  <si>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</si>
  <si>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</si>
  <si>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</si>
  <si>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</si>
  <si>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</si>
  <si>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</si>
  <si>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</si>
  <si>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</si>
  <si>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</si>
  <si>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</si>
  <si>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</si>
  <si>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</si>
  <si>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</si>
  <si>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</si>
  <si>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</si>
  <si>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</si>
  <si>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</si>
  <si>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</si>
  <si>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</si>
  <si>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</si>
  <si>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</si>
  <si>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</si>
  <si>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</si>
  <si>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</si>
  <si>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</si>
  <si>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</si>
  <si>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</si>
  <si>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</si>
  <si>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</si>
  <si>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</si>
  <si>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</si>
  <si>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</si>
  <si>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</si>
  <si>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</si>
  <si>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</si>
  <si>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</si>
  <si>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</si>
  <si>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</si>
  <si>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</si>
  <si>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</si>
  <si>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</si>
  <si>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</si>
  <si>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</si>
  <si>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</si>
  <si>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</si>
  <si>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</si>
  <si>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</si>
  <si>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</si>
  <si>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</si>
  <si>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</si>
  <si>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</si>
  <si>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</si>
  <si>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Fill in the control distance.  The opening and closing times will be automatically calculated based on the start time and the brevet distance.  If you need more than 10 controls, or need an alternate start loction, use card #2, otherwise leave that section blank. (Similarly for cards #3 and #4.)</t>
  </si>
  <si>
    <t>Information Control</t>
  </si>
  <si>
    <t>Tim Hortons</t>
  </si>
  <si>
    <t>self sign if closed</t>
  </si>
  <si>
    <t>NANAIMO</t>
  </si>
  <si>
    <t>1980 Island Highway North</t>
  </si>
  <si>
    <t>COOMBS</t>
  </si>
  <si>
    <t>Mailboxes</t>
  </si>
  <si>
    <t>Pratt @ Grafton</t>
  </si>
  <si>
    <t>CUMBERLAND</t>
  </si>
  <si>
    <t>Comox Lake Boat Launch</t>
  </si>
  <si>
    <t>0        1       2</t>
  </si>
  <si>
    <t>COURTENAY</t>
  </si>
  <si>
    <t>Kitty Coleman Provincial Park</t>
  </si>
  <si>
    <t>Main parking lot</t>
  </si>
  <si>
    <t>What is mural on building?</t>
  </si>
  <si>
    <t xml:space="preserve">EAGLE        BEAR        ORCA      </t>
  </si>
  <si>
    <t>CAMPBELL RIVER</t>
  </si>
  <si>
    <t>Argonaut @ Gold River Hwy</t>
  </si>
  <si>
    <t>Island Ready ______?</t>
  </si>
  <si>
    <t>Sign on west side of Argonaut</t>
  </si>
  <si>
    <t>S Farnham @ Dove Ck</t>
  </si>
  <si>
    <t>Back of stop sign</t>
  </si>
  <si>
    <t>__?__&amp; Stone Tree Care</t>
  </si>
  <si>
    <t>CHASE RIVER</t>
  </si>
  <si>
    <t>Petrocan</t>
  </si>
  <si>
    <t>South Parkway Plaza</t>
  </si>
  <si>
    <t xml:space="preserve">YES       NO       </t>
  </si>
  <si>
    <t>Diesel at pump 8?</t>
  </si>
  <si>
    <t>NANOOSE</t>
  </si>
  <si>
    <t>Live your _____?</t>
  </si>
  <si>
    <t>DREAM       PASSION       LIFE</t>
  </si>
  <si>
    <t xml:space="preserve">BOTH      LEFT       RIGHT </t>
  </si>
  <si>
    <t>Little Library is on which side of mailboxes?</t>
  </si>
  <si>
    <t xml:space="preserve">Fairwinds @ Anchor  </t>
  </si>
  <si>
    <t>Number of portapotties in lot?</t>
  </si>
  <si>
    <t>PentaC Cruise Reprise</t>
  </si>
  <si>
    <t>‭(250) 213-3724‬</t>
  </si>
  <si>
    <r>
      <t xml:space="preserve">Fairwinds sign </t>
    </r>
    <r>
      <rPr>
        <b/>
        <sz val="10"/>
        <rFont val="Arial"/>
        <family val="2"/>
      </rPr>
      <t>BEHIND</t>
    </r>
    <r>
      <rPr>
        <sz val="10"/>
        <rFont val="Arial"/>
        <family val="2"/>
      </rPr>
      <t xml:space="preserve"> you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</si>
</sst>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numFmts>
  <fonts count="39"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
      <b/>
      <sz val="12"/>
      <name val="Arial"/>
      <family val="2"/>
    </font>
    <font>
      <b/>
      <sz val="18"/>
      <name val="Arial Narrow"/>
      <family val="2"/>
    </font>
    <font>
      <b/>
      <sz val="10"/>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45">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0" fontId="10" fillId="0" borderId="0" xfId="0" applyFont="1" applyAlignment="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Alignment="1">
      <alignment horizontal="center"/>
    </xf>
    <xf numFmtId="0" fontId="10" fillId="0" borderId="0" xfId="0" applyFont="1" applyAlignment="1">
      <alignment horizontal="center"/>
    </xf>
    <xf numFmtId="18" fontId="20" fillId="0" borderId="0" xfId="0" applyNumberFormat="1" applyFont="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167" fontId="0" fillId="0" borderId="0" xfId="0" applyNumberFormat="1"/>
    <xf numFmtId="0" fontId="9" fillId="0" borderId="0" xfId="0" applyFo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xf numFmtId="0" fontId="10" fillId="0" borderId="0" xfId="0" applyFo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Alignment="1">
      <alignment vertical="top"/>
    </xf>
    <xf numFmtId="0" fontId="0" fillId="0" borderId="0" xfId="0" applyAlignment="1">
      <alignment vertical="top"/>
    </xf>
    <xf numFmtId="0" fontId="11" fillId="0" borderId="0" xfId="0" applyFont="1" applyAlignment="1">
      <alignment horizontal="right" vertical="center"/>
    </xf>
    <xf numFmtId="0" fontId="5" fillId="0" borderId="0" xfId="0" applyFont="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0" fillId="0" borderId="18" xfId="0" applyBorder="1" applyProtection="1">
      <protection locked="0"/>
    </xf>
    <xf numFmtId="0" fontId="28" fillId="0" borderId="0" xfId="0" applyFont="1" applyAlignment="1">
      <alignment horizontal="right" vertical="center"/>
    </xf>
    <xf numFmtId="0" fontId="16" fillId="0" borderId="0" xfId="0" applyFont="1" applyAlignment="1">
      <alignment vertical="top"/>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Alignment="1" applyProtection="1">
      <alignment horizontal="center"/>
      <protection locked="0"/>
    </xf>
    <xf numFmtId="0" fontId="16" fillId="0" borderId="0" xfId="0" applyFont="1" applyAlignment="1">
      <alignment vertical="center" wrapText="1"/>
    </xf>
    <xf numFmtId="0" fontId="0" fillId="0" borderId="0" xfId="0" applyAlignment="1">
      <alignment horizontal="left"/>
    </xf>
    <xf numFmtId="0" fontId="5" fillId="0" borderId="0" xfId="0" applyFont="1" applyAlignment="1">
      <alignment horizontal="right" vertical="top"/>
    </xf>
    <xf numFmtId="15" fontId="5" fillId="0" borderId="0" xfId="0" applyNumberFormat="1" applyFont="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169" fontId="5" fillId="0" borderId="25" xfId="0" applyNumberFormat="1" applyFont="1" applyBorder="1" applyAlignment="1" applyProtection="1">
      <alignment horizontal="left"/>
      <protection locked="0"/>
    </xf>
    <xf numFmtId="0" fontId="37" fillId="0" borderId="7" xfId="0" applyFont="1" applyBorder="1" applyAlignment="1">
      <alignment horizontal="center" vertical="center" wrapText="1"/>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right" vertical="center"/>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10" fillId="0" borderId="0" xfId="0" applyFont="1" applyAlignment="1">
      <alignment horizontal="center"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Alignment="1">
      <alignment horizontal="right"/>
    </xf>
    <xf numFmtId="0" fontId="36" fillId="0" borderId="20" xfId="0" applyFont="1" applyBorder="1" applyAlignment="1">
      <alignment horizontal="center" vertical="top"/>
    </xf>
    <xf numFmtId="15" fontId="0" fillId="0" borderId="0" xfId="0" applyNumberFormat="1" applyAlignment="1">
      <alignment horizontal="left" vertical="top"/>
    </xf>
    <xf numFmtId="0" fontId="0" fillId="0" borderId="0" xfId="0" applyAlignment="1">
      <alignment horizontal="left" vertical="top"/>
    </xf>
    <xf numFmtId="0" fontId="35" fillId="0" borderId="6" xfId="0" applyFont="1" applyBorder="1" applyAlignment="1" applyProtection="1">
      <alignment horizontal="center" vertical="top" wrapText="1"/>
      <protection locked="0"/>
    </xf>
    <xf numFmtId="0" fontId="35" fillId="0" borderId="0" xfId="0" applyFont="1" applyAlignment="1" applyProtection="1">
      <alignment horizontal="center" vertical="top" wrapText="1"/>
      <protection locked="0"/>
    </xf>
    <xf numFmtId="0" fontId="35" fillId="0" borderId="17" xfId="0" applyFont="1" applyBorder="1" applyAlignment="1" applyProtection="1">
      <alignment horizontal="center" vertical="top" wrapText="1"/>
      <protection locked="0"/>
    </xf>
    <xf numFmtId="0" fontId="29" fillId="0" borderId="0" xfId="0" applyFont="1" applyAlignment="1">
      <alignment horizontal="left" vertical="center"/>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5"/>
  <sheetViews>
    <sheetView showGridLines="0" tabSelected="1" zoomScale="140" zoomScaleNormal="140" zoomScalePageLayoutView="135" workbookViewId="0">
      <selection activeCell="B4" sqref="B4"/>
    </sheetView>
  </sheetViews>
  <sheetFormatPr baseColWidth="10" defaultColWidth="8.83203125" defaultRowHeight="13" x14ac:dyDescent="0.15"/>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x14ac:dyDescent="0.2">
      <c r="A1" s="104" t="s">
        <v>56</v>
      </c>
      <c r="B1" s="104"/>
      <c r="C1" s="104"/>
      <c r="D1" s="104"/>
      <c r="E1" s="104"/>
      <c r="F1" s="104"/>
      <c r="G1" s="104"/>
      <c r="H1" s="40" t="s">
        <v>53</v>
      </c>
      <c r="Q1" s="106" t="s">
        <v>55</v>
      </c>
      <c r="R1" s="106"/>
      <c r="S1" s="106"/>
      <c r="T1" s="106"/>
      <c r="U1" s="106"/>
      <c r="V1" s="106"/>
      <c r="W1" s="106"/>
      <c r="X1" s="106"/>
      <c r="Y1" s="106"/>
      <c r="Z1" s="106"/>
      <c r="AA1" s="106"/>
      <c r="AB1" s="106"/>
      <c r="AC1" s="106"/>
      <c r="AD1" s="106"/>
      <c r="AE1" s="106"/>
      <c r="AF1" s="106"/>
      <c r="AG1" s="87"/>
    </row>
    <row r="2" spans="1:33" ht="13" customHeight="1" thickBot="1" x14ac:dyDescent="0.2">
      <c r="H2" s="44"/>
      <c r="I2" s="44"/>
      <c r="Q2" s="106"/>
      <c r="R2" s="106"/>
      <c r="S2" s="106"/>
      <c r="T2" s="106"/>
      <c r="U2" s="106"/>
      <c r="V2" s="106"/>
      <c r="W2" s="106"/>
      <c r="X2" s="106"/>
      <c r="Y2" s="106"/>
      <c r="Z2" s="106"/>
      <c r="AA2" s="106"/>
      <c r="AB2" s="106"/>
      <c r="AC2" s="106"/>
      <c r="AD2" s="106"/>
      <c r="AE2" s="106"/>
      <c r="AF2" s="106"/>
      <c r="AG2" s="87"/>
    </row>
    <row r="3" spans="1:33" s="48" customFormat="1" ht="13" customHeight="1" thickBot="1" x14ac:dyDescent="0.2">
      <c r="A3" s="47" t="s">
        <v>52</v>
      </c>
      <c r="B3" s="72">
        <v>45167</v>
      </c>
      <c r="H3" s="49"/>
      <c r="I3" s="49"/>
      <c r="Q3" s="106"/>
      <c r="R3" s="106"/>
      <c r="S3" s="106"/>
      <c r="T3" s="106"/>
      <c r="U3" s="106"/>
      <c r="V3" s="106"/>
      <c r="W3" s="106"/>
      <c r="X3" s="106"/>
      <c r="Y3" s="106"/>
      <c r="Z3" s="106"/>
      <c r="AA3" s="106"/>
      <c r="AB3" s="106"/>
      <c r="AC3" s="106"/>
      <c r="AD3" s="106"/>
      <c r="AE3" s="106"/>
      <c r="AF3" s="106"/>
      <c r="AG3" s="87"/>
    </row>
    <row r="4" spans="1:33" ht="13" customHeight="1" x14ac:dyDescent="0.15">
      <c r="A4" s="43" t="s">
        <v>54</v>
      </c>
      <c r="B4" s="46">
        <v>45874</v>
      </c>
      <c r="C4"/>
      <c r="H4" s="44"/>
      <c r="I4" s="44"/>
      <c r="Q4" s="106"/>
      <c r="R4" s="106"/>
      <c r="S4" s="106"/>
      <c r="T4" s="106"/>
      <c r="U4" s="106"/>
      <c r="V4" s="106"/>
      <c r="W4" s="106"/>
      <c r="X4" s="106"/>
      <c r="Y4" s="106"/>
      <c r="Z4" s="106"/>
      <c r="AA4" s="106"/>
      <c r="AB4" s="106"/>
      <c r="AC4" s="106"/>
      <c r="AD4" s="106"/>
      <c r="AE4" s="106"/>
      <c r="AF4" s="106"/>
      <c r="AG4" s="87"/>
    </row>
    <row r="5" spans="1:33" ht="7" customHeight="1" thickBot="1" x14ac:dyDescent="0.2">
      <c r="H5" s="44"/>
      <c r="I5" s="44"/>
      <c r="Q5" s="87"/>
      <c r="R5" s="87"/>
      <c r="S5" s="87"/>
      <c r="T5" s="87"/>
      <c r="U5" s="87"/>
      <c r="V5" s="87"/>
      <c r="W5" s="87"/>
      <c r="X5" s="87"/>
      <c r="Y5" s="87"/>
      <c r="Z5" s="87"/>
      <c r="AA5" s="87"/>
      <c r="AB5" s="87"/>
      <c r="AC5" s="87"/>
      <c r="AD5" s="87"/>
      <c r="AE5" s="87"/>
      <c r="AF5" s="87"/>
      <c r="AG5" s="87"/>
    </row>
    <row r="6" spans="1:33" ht="18" x14ac:dyDescent="0.2">
      <c r="A6" s="10" t="s">
        <v>15</v>
      </c>
      <c r="B6" s="30">
        <v>400</v>
      </c>
      <c r="C6">
        <f>IF(Brevet_Length&gt;=1200,Brevet_Length,IF(Brevet_Length&gt;=1000,1000,IF(Brevet_Length&gt;=600,600,IF(Brevet_Length&gt;=400,400,IF(Brevet_Length&gt;=300,300,IF(Brevet_Length&gt;=200,200,100))))))</f>
        <v>400</v>
      </c>
      <c r="J6" s="107" t="s">
        <v>40</v>
      </c>
      <c r="K6" s="107"/>
      <c r="Q6" s="85" t="s">
        <v>41</v>
      </c>
      <c r="R6" s="85"/>
      <c r="S6" s="85"/>
      <c r="T6" s="85"/>
      <c r="U6" s="85"/>
      <c r="V6" s="85"/>
      <c r="W6" s="85"/>
      <c r="X6" s="86"/>
      <c r="Y6" s="86"/>
      <c r="Z6" s="86"/>
    </row>
    <row r="7" spans="1:33" ht="14" x14ac:dyDescent="0.15">
      <c r="A7" s="11" t="s">
        <v>16</v>
      </c>
      <c r="B7" s="83">
        <f>IF(brevet=1200,90,IF(brevet=1000,75,IF(brevet=600,40,IF(brevet=400,27,IF(brevet=300,20,IF(brevet=200,13.5,IF(brevet&lt;200,L7,0)))))))</f>
        <v>27</v>
      </c>
      <c r="L7">
        <f>IF(Brevet_Length=150,10.5,IF(Brevet_Length=100,7,IF(Brevet_Length=50,3.5,IF(Brevet_Length=25, 2,0))))</f>
        <v>0</v>
      </c>
      <c r="Q7" s="86" t="s">
        <v>42</v>
      </c>
      <c r="R7" s="86"/>
      <c r="S7" s="86"/>
      <c r="T7" s="86"/>
      <c r="U7" s="86"/>
      <c r="V7" s="86"/>
      <c r="W7" s="86"/>
      <c r="X7" s="86"/>
      <c r="Y7" s="86"/>
      <c r="Z7" s="86"/>
    </row>
    <row r="8" spans="1:33" ht="18" x14ac:dyDescent="0.2">
      <c r="A8" s="82" t="s">
        <v>17</v>
      </c>
      <c r="B8" s="105" t="s">
        <v>106</v>
      </c>
      <c r="C8" s="105"/>
      <c r="D8" s="105"/>
      <c r="E8" s="105"/>
      <c r="F8" s="105"/>
      <c r="G8" s="84"/>
      <c r="H8" s="84"/>
      <c r="I8" s="16"/>
      <c r="J8" s="16"/>
      <c r="K8" s="16"/>
      <c r="Q8" s="85" t="s">
        <v>43</v>
      </c>
      <c r="R8" s="86"/>
      <c r="S8" s="86"/>
      <c r="T8" s="86"/>
      <c r="U8" s="86"/>
      <c r="V8" s="86"/>
      <c r="W8" s="86"/>
      <c r="X8" s="86"/>
      <c r="Y8" s="86"/>
      <c r="Z8" s="86"/>
    </row>
    <row r="9" spans="1:33" ht="18" x14ac:dyDescent="0.2">
      <c r="A9" s="11" t="s">
        <v>18</v>
      </c>
      <c r="B9" s="31">
        <v>5491</v>
      </c>
      <c r="C9" s="13"/>
      <c r="F9" s="14"/>
      <c r="G9" s="14"/>
      <c r="H9" s="14"/>
      <c r="I9" s="14"/>
      <c r="J9" s="14"/>
      <c r="K9" s="14"/>
      <c r="Q9" s="85" t="s">
        <v>44</v>
      </c>
      <c r="R9" s="86"/>
      <c r="S9" s="86"/>
      <c r="T9" s="86"/>
      <c r="U9" s="86"/>
      <c r="V9" s="86"/>
      <c r="W9" s="86"/>
      <c r="X9" s="86"/>
      <c r="Y9" s="86"/>
      <c r="Z9" s="86"/>
    </row>
    <row r="10" spans="1:33" ht="18" x14ac:dyDescent="0.2">
      <c r="A10" s="18" t="s">
        <v>32</v>
      </c>
      <c r="B10" s="32">
        <v>45878</v>
      </c>
      <c r="E10" s="80" t="s">
        <v>67</v>
      </c>
      <c r="F10" s="102" t="s">
        <v>107</v>
      </c>
      <c r="Q10" s="85" t="s">
        <v>45</v>
      </c>
      <c r="R10" s="86"/>
      <c r="S10" s="86"/>
      <c r="T10" s="86"/>
      <c r="U10" s="86"/>
      <c r="V10" s="86"/>
      <c r="W10" s="86"/>
      <c r="X10" s="86"/>
      <c r="Y10" s="86"/>
      <c r="Z10" s="86"/>
    </row>
    <row r="11" spans="1:33" ht="6" customHeight="1" x14ac:dyDescent="0.15">
      <c r="B11" s="45"/>
      <c r="Q11" s="86"/>
      <c r="R11" s="86"/>
      <c r="S11" s="86"/>
      <c r="T11" s="86"/>
      <c r="U11" s="86"/>
      <c r="V11" s="86"/>
      <c r="W11" s="86"/>
      <c r="X11" s="86"/>
      <c r="Y11" s="86"/>
      <c r="Z11" s="86"/>
    </row>
    <row r="12" spans="1:33" ht="18" customHeight="1" thickBot="1" x14ac:dyDescent="0.25">
      <c r="A12" s="41" t="s">
        <v>19</v>
      </c>
      <c r="B12" s="42">
        <v>45878</v>
      </c>
      <c r="Q12" s="85" t="s">
        <v>49</v>
      </c>
      <c r="R12" s="86"/>
      <c r="S12" s="86"/>
      <c r="T12" s="86"/>
      <c r="U12" s="86"/>
      <c r="V12" s="86"/>
      <c r="W12" s="86"/>
      <c r="X12" s="86"/>
      <c r="Y12" s="86"/>
      <c r="Z12" s="86"/>
    </row>
    <row r="13" spans="1:33" ht="19" thickBot="1" x14ac:dyDescent="0.25">
      <c r="A13" s="9" t="s">
        <v>20</v>
      </c>
      <c r="B13" s="33">
        <v>0.25</v>
      </c>
      <c r="D13" s="108" t="s">
        <v>51</v>
      </c>
      <c r="E13" s="109"/>
      <c r="F13" s="109"/>
      <c r="G13" s="109"/>
      <c r="H13" s="109"/>
      <c r="I13" s="110" t="s">
        <v>47</v>
      </c>
      <c r="J13" s="109"/>
      <c r="K13" s="111"/>
      <c r="Q13" s="85" t="s">
        <v>48</v>
      </c>
      <c r="R13" s="86"/>
      <c r="S13" s="86"/>
      <c r="T13" s="86"/>
      <c r="U13" s="86"/>
      <c r="V13" s="86"/>
      <c r="W13" s="86"/>
      <c r="X13" s="86"/>
      <c r="Y13" s="86"/>
      <c r="Z13" s="86"/>
    </row>
    <row r="14" spans="1:33" ht="15" thickBot="1" x14ac:dyDescent="0.2">
      <c r="D14" s="5" t="s">
        <v>21</v>
      </c>
      <c r="E14" s="6" t="s">
        <v>22</v>
      </c>
      <c r="F14" s="24" t="s">
        <v>23</v>
      </c>
      <c r="G14" s="24" t="s">
        <v>24</v>
      </c>
      <c r="H14" s="25" t="s">
        <v>25</v>
      </c>
      <c r="I14" s="6" t="s">
        <v>37</v>
      </c>
      <c r="J14" s="6" t="s">
        <v>38</v>
      </c>
      <c r="K14" s="7" t="s">
        <v>39</v>
      </c>
      <c r="L14" t="s">
        <v>0</v>
      </c>
      <c r="M14" t="s">
        <v>1</v>
      </c>
      <c r="N14" t="s">
        <v>2</v>
      </c>
      <c r="O14" t="s">
        <v>3</v>
      </c>
      <c r="Q14" s="85" t="s">
        <v>68</v>
      </c>
      <c r="R14" s="86"/>
      <c r="S14" s="86"/>
      <c r="T14" s="86"/>
      <c r="U14" s="86"/>
      <c r="V14" s="86"/>
      <c r="W14" s="86"/>
      <c r="X14" s="86"/>
      <c r="Y14" s="86"/>
      <c r="Z14" s="86"/>
    </row>
    <row r="15" spans="1:33" ht="17" customHeight="1" x14ac:dyDescent="0.15">
      <c r="C15" s="2" t="s">
        <v>4</v>
      </c>
      <c r="D15" s="15">
        <v>0</v>
      </c>
      <c r="E15" s="34" t="s">
        <v>74</v>
      </c>
      <c r="F15" s="35" t="s">
        <v>72</v>
      </c>
      <c r="G15" s="35" t="s">
        <v>75</v>
      </c>
      <c r="H15" s="36"/>
      <c r="I15" s="35"/>
      <c r="J15" s="35"/>
      <c r="K15" s="36"/>
      <c r="L15" s="3">
        <f>Start_date+Start_time</f>
        <v>45878.25</v>
      </c>
      <c r="M15" s="3">
        <f>L15+"1:00"</f>
        <v>45878.291666666664</v>
      </c>
      <c r="N15" s="4">
        <f>IF(ISBLANK(Distance),"",Open Control_1)</f>
        <v>45878.25</v>
      </c>
      <c r="O15" s="4">
        <f>IF(ISBLANK(Distance),"",Close Control_1)</f>
        <v>45878.291666666664</v>
      </c>
      <c r="Q15" s="85" t="s">
        <v>70</v>
      </c>
      <c r="R15" s="86"/>
      <c r="S15" s="86"/>
      <c r="T15" s="86"/>
      <c r="U15" s="86"/>
      <c r="V15" s="86"/>
      <c r="W15" s="86"/>
      <c r="X15" s="86"/>
      <c r="Y15" s="86"/>
      <c r="Z15" s="86"/>
    </row>
    <row r="16" spans="1:33" ht="17" customHeight="1" x14ac:dyDescent="0.15">
      <c r="B16" s="38"/>
      <c r="C16" s="2" t="s">
        <v>5</v>
      </c>
      <c r="D16" s="15">
        <v>45</v>
      </c>
      <c r="E16" s="34" t="s">
        <v>76</v>
      </c>
      <c r="F16" s="35" t="s">
        <v>71</v>
      </c>
      <c r="G16" s="35" t="s">
        <v>77</v>
      </c>
      <c r="H16" s="36" t="s">
        <v>78</v>
      </c>
      <c r="I16" s="35" t="s">
        <v>103</v>
      </c>
      <c r="J16" s="35"/>
      <c r="K16" s="36" t="s">
        <v>102</v>
      </c>
      <c r="L16">
        <f>IF(ISBLANK(Distance),"",IF(Distance&gt;1000,(Distance-1000)/26+33.0847,(IF(Distance&gt;600,(Distance-600)/28+18.799,(IF(Distance&gt;400,(Distance-400)/30+12.1324,(IF(Distance&gt;200,(Distance-200)/32+5.8824,Distance/34))))))))</f>
        <v>1.3235294117647058</v>
      </c>
      <c r="M16">
        <f>IF(ISBLANK(Distance),"",IF(Distance&gt;=brevet,D16200IF(brevet&gt;1200,(brevet-1200)*75/1000+90,Max_time),IF(Distance&gt;1200,(Distance-1200)*75/1000+90,IF(Distance&gt;1000,(Distance-1000)/(1000/75)+75,IF(Distance&gt;600,(Distance-600)/(400/35)+40,IF(Distance&lt;=60,(Distance/20+1),Distance/15))))))</f>
        <v>3.25</v>
      </c>
      <c r="N16" s="4">
        <f>IF(ISBLANK(Distance),"",Open_time Control_1+(INT(Open)&amp;":"&amp;IF(ROUND(((Open-INT(Open))*60),0)&lt;10,0,"")&amp;ROUND(((Open-INT(Open))*60),0)))</f>
        <v>45878.304861111108</v>
      </c>
      <c r="O16" s="4">
        <f>IF(ISBLANK(Distance),"",Open_time Control_1+(INT(Close)&amp;":"&amp;IF(ROUND(((Close-INT(Close))*60),0)&lt;10,0,"")&amp;ROUND(((Close-INT(Close))*60),0)))</f>
        <v>45878.385416666664</v>
      </c>
      <c r="Q16" s="85" t="s">
        <v>69</v>
      </c>
      <c r="R16" s="86"/>
      <c r="S16" s="86"/>
      <c r="T16" s="86"/>
      <c r="U16" s="86"/>
      <c r="V16" s="86"/>
      <c r="W16" s="86"/>
      <c r="X16" s="86"/>
      <c r="Y16" s="86"/>
      <c r="Z16" s="86"/>
    </row>
    <row r="17" spans="2:26" ht="17" customHeight="1" x14ac:dyDescent="0.15">
      <c r="B17" s="38"/>
      <c r="C17" s="2" t="s">
        <v>6</v>
      </c>
      <c r="D17" s="15">
        <v>121.8</v>
      </c>
      <c r="E17" s="34" t="s">
        <v>79</v>
      </c>
      <c r="F17" s="35" t="s">
        <v>71</v>
      </c>
      <c r="G17" s="35" t="s">
        <v>80</v>
      </c>
      <c r="H17" s="36"/>
      <c r="I17" s="35" t="s">
        <v>105</v>
      </c>
      <c r="J17" s="35"/>
      <c r="K17" s="36" t="s">
        <v>81</v>
      </c>
      <c r="L17">
        <f>IF(ISBLANK(Distance),"",IF(Distance&gt;1000,(Distance-1000)/26+33.0847,(IF(Distance&gt;600,(Distance-600)/28+18.799,(IF(Distance&gt;400,(Distance-400)/30+12.1324,(IF(Distance&gt;200,(Distance-200)/32+5.8824,Distance/34))))))))</f>
        <v>3.5823529411764703</v>
      </c>
      <c r="M17">
        <f t="shared" ref="M17:M24" si="0">IF(ISBLANK(Distance),"",IF(Distance&gt;=brevet,IF(brevet&gt;1200,(brevet-1200)*75/1000+90,Max_time),IF(Distance&gt;1200,(Distance-1200)*75/1000+90,IF(Distance&gt;1000,(Distance-1000)/(1000/75)+75,IF(Distance&gt;600,(Distance-600)/(400/35)+40,IF(Distance&lt;=60,(Distance/20+1),Distance/15))))))</f>
        <v>8.1199999999999992</v>
      </c>
      <c r="N17" s="4">
        <f>IF(ISBLANK(Distance),"",Open_time Control_1+(INT(Open)&amp;":"&amp;IF(ROUND(((Open-INT(Open))*60),0)&lt;10,0,"")&amp;ROUND(((Open-INT(Open))*60),0)))</f>
        <v>45878.399305555555</v>
      </c>
      <c r="O17" s="4">
        <f>IF(ISBLANK(Distance),"",Open_time Control_1+(INT(Close)&amp;":"&amp;IF(ROUND(((Close-INT(Close))*60),0)&lt;10,0,"")&amp;ROUND(((Close-INT(Close))*60),0)))</f>
        <v>45878.588194444441</v>
      </c>
      <c r="Q17" s="85" t="s">
        <v>46</v>
      </c>
      <c r="R17" s="86"/>
      <c r="S17" s="86"/>
      <c r="T17" s="86"/>
      <c r="U17" s="86"/>
      <c r="V17" s="86"/>
      <c r="W17" s="86"/>
      <c r="X17" s="86"/>
      <c r="Y17" s="86"/>
      <c r="Z17" s="86"/>
    </row>
    <row r="18" spans="2:26" ht="17" customHeight="1" x14ac:dyDescent="0.15">
      <c r="B18" s="38"/>
      <c r="C18" s="2" t="s">
        <v>7</v>
      </c>
      <c r="D18" s="15">
        <v>152.9</v>
      </c>
      <c r="E18" s="34" t="s">
        <v>82</v>
      </c>
      <c r="F18" s="35" t="s">
        <v>71</v>
      </c>
      <c r="G18" s="35" t="s">
        <v>83</v>
      </c>
      <c r="H18" s="36" t="s">
        <v>84</v>
      </c>
      <c r="I18" s="35" t="s">
        <v>85</v>
      </c>
      <c r="J18" s="35"/>
      <c r="K18" s="36" t="s">
        <v>86</v>
      </c>
      <c r="L18">
        <f t="shared" ref="L18:L24" si="1">IF(ISBLANK(Distance),"",IF(Distance&gt;1000,(Distance-1000)/26+33.0847,(IF(Distance&gt;600,(Distance-600)/28+18.799,(IF(Distance&gt;400,(Distance-400)/30+12.1324,(IF(Distance&gt;200,(Distance-200)/32+5.8824,Distance/34))))))))</f>
        <v>4.4970588235294118</v>
      </c>
      <c r="M18">
        <f t="shared" si="0"/>
        <v>10.193333333333333</v>
      </c>
      <c r="N18" s="4">
        <f>IF(ISBLANK(Distance),"",Open_time Control_1+(INT(Open)&amp;":"&amp;IF(ROUND(((Open-INT(Open))*60),0)&lt;10,0,"")&amp;ROUND(((Open-INT(Open))*60),0)))</f>
        <v>45878.4375</v>
      </c>
      <c r="O18" s="4">
        <f>IF(ISBLANK(Distance),"",Open_time Control_1+(INT(Close)&amp;":"&amp;IF(ROUND(((Close-INT(Close))*60),0)&lt;10,0,"")&amp;ROUND(((Close-INT(Close))*60),0)))</f>
        <v>45878.675000000003</v>
      </c>
    </row>
    <row r="19" spans="2:26" ht="17" customHeight="1" x14ac:dyDescent="0.15">
      <c r="B19" s="38"/>
      <c r="C19" s="2" t="s">
        <v>8</v>
      </c>
      <c r="D19" s="15">
        <v>201.6</v>
      </c>
      <c r="E19" s="34" t="s">
        <v>87</v>
      </c>
      <c r="F19" s="35" t="s">
        <v>71</v>
      </c>
      <c r="G19" s="35" t="s">
        <v>88</v>
      </c>
      <c r="H19" s="36" t="s">
        <v>90</v>
      </c>
      <c r="I19" s="35" t="s">
        <v>89</v>
      </c>
      <c r="J19" s="35"/>
      <c r="K19" s="36"/>
      <c r="L19">
        <f t="shared" si="1"/>
        <v>5.9323999999999995</v>
      </c>
      <c r="M19">
        <f t="shared" si="0"/>
        <v>13.44</v>
      </c>
      <c r="N19" s="4">
        <f>IF(ISBLANK(Distance),"",Open_time Control_1+(INT(Open)&amp;":"&amp;IF(ROUND(((Open-INT(Open))*60),0)&lt;10,0,"")&amp;ROUND(((Open-INT(Open))*60),0)))</f>
        <v>45878.49722222222</v>
      </c>
      <c r="O19" s="4">
        <f>IF(ISBLANK(Distance),"",Open_time Control_1+(INT(Close)&amp;":"&amp;IF(ROUND(((Close-INT(Close))*60),0)&lt;10,0,"")&amp;ROUND(((Close-INT(Close))*60),0)))</f>
        <v>45878.80972222222</v>
      </c>
      <c r="Q19" s="40"/>
    </row>
    <row r="20" spans="2:26" ht="17" customHeight="1" x14ac:dyDescent="0.15">
      <c r="B20" s="38"/>
      <c r="C20" s="2" t="s">
        <v>9</v>
      </c>
      <c r="D20" s="15">
        <v>254.1</v>
      </c>
      <c r="E20" s="34" t="s">
        <v>82</v>
      </c>
      <c r="F20" s="35" t="s">
        <v>71</v>
      </c>
      <c r="G20" s="35" t="s">
        <v>91</v>
      </c>
      <c r="H20" s="36" t="s">
        <v>92</v>
      </c>
      <c r="I20" s="35" t="s">
        <v>93</v>
      </c>
      <c r="J20" s="35"/>
      <c r="K20" s="36"/>
      <c r="L20">
        <f t="shared" si="1"/>
        <v>7.5730249999999995</v>
      </c>
      <c r="M20">
        <f t="shared" si="0"/>
        <v>16.940000000000001</v>
      </c>
      <c r="N20" s="4">
        <f>IF(ISBLANK(Distance),"",Open_time Control_1+(INT(Open)&amp;":"&amp;IF(ROUND(((Open-INT(Open))*60),0)&lt;10,0,"")&amp;ROUND(((Open-INT(Open))*60),0)))</f>
        <v>45878.56527777778</v>
      </c>
      <c r="O20" s="4">
        <f>IF(ISBLANK(Distance),"",Open_time Control_1+(INT(Close)&amp;":"&amp;IF(ROUND(((Close-INT(Close))*60),0)&lt;10,0,"")&amp;ROUND(((Close-INT(Close))*60),0)))</f>
        <v>45878.955555555556</v>
      </c>
    </row>
    <row r="21" spans="2:26" ht="17" customHeight="1" x14ac:dyDescent="0.15">
      <c r="B21" s="38"/>
      <c r="C21" s="2" t="s">
        <v>10</v>
      </c>
      <c r="D21" s="15">
        <v>360.8</v>
      </c>
      <c r="E21" s="34" t="s">
        <v>99</v>
      </c>
      <c r="F21" s="35" t="s">
        <v>71</v>
      </c>
      <c r="G21" s="35" t="s">
        <v>104</v>
      </c>
      <c r="H21" s="36" t="s">
        <v>108</v>
      </c>
      <c r="I21" s="35" t="s">
        <v>100</v>
      </c>
      <c r="J21" s="35"/>
      <c r="K21" s="36" t="s">
        <v>101</v>
      </c>
      <c r="L21">
        <f t="shared" si="1"/>
        <v>10.907399999999999</v>
      </c>
      <c r="M21">
        <f t="shared" si="0"/>
        <v>24.053333333333335</v>
      </c>
      <c r="N21" s="4">
        <f>IF(ISBLANK(Distance),"",Open_time Control_1+(INT(Open)&amp;":"&amp;IF(ROUND(((Open-INT(Open))*60),0)&lt;10,0,"")&amp;ROUND(((Open-INT(Open))*60),0)))</f>
        <v>45878.70416666667</v>
      </c>
      <c r="O21" s="4">
        <f>IF(ISBLANK(Distance),"",Open_time Control_1+(INT(Close)&amp;":"&amp;IF(ROUND(((Close-INT(Close))*60),0)&lt;10,0,"")&amp;ROUND(((Close-INT(Close))*60),0)))</f>
        <v>45879.252083333333</v>
      </c>
    </row>
    <row r="22" spans="2:26" ht="17" customHeight="1" x14ac:dyDescent="0.15">
      <c r="B22" s="38"/>
      <c r="C22" s="2" t="s">
        <v>11</v>
      </c>
      <c r="D22" s="15">
        <v>393.6</v>
      </c>
      <c r="E22" s="34" t="s">
        <v>94</v>
      </c>
      <c r="F22" s="35" t="s">
        <v>71</v>
      </c>
      <c r="G22" s="35" t="s">
        <v>95</v>
      </c>
      <c r="H22" s="36" t="s">
        <v>96</v>
      </c>
      <c r="I22" s="35" t="s">
        <v>98</v>
      </c>
      <c r="J22" s="35"/>
      <c r="K22" s="36" t="s">
        <v>97</v>
      </c>
      <c r="L22">
        <f t="shared" si="1"/>
        <v>11.932400000000001</v>
      </c>
      <c r="M22">
        <f t="shared" si="0"/>
        <v>26.240000000000002</v>
      </c>
      <c r="N22" s="4">
        <f>IF(ISBLANK(Distance),"",Open_time Control_1+(INT(Open)&amp;":"&amp;IF(ROUND(((Open-INT(Open))*60),0)&lt;10,0,"")&amp;ROUND(((Open-INT(Open))*60),0)))</f>
        <v>45878.74722222222</v>
      </c>
      <c r="O22" s="4">
        <f>IF(ISBLANK(Distance),"",Open_time Control_1+(INT(Close)&amp;":"&amp;IF(ROUND(((Close-INT(Close))*60),0)&lt;10,0,"")&amp;ROUND(((Close-INT(Close))*60),0)))</f>
        <v>45879.343055555553</v>
      </c>
    </row>
    <row r="23" spans="2:26" ht="17" customHeight="1" x14ac:dyDescent="0.15">
      <c r="B23" s="38"/>
      <c r="C23" s="2" t="s">
        <v>12</v>
      </c>
      <c r="D23" s="15">
        <v>402.6</v>
      </c>
      <c r="E23" s="34" t="s">
        <v>74</v>
      </c>
      <c r="F23" s="35" t="s">
        <v>72</v>
      </c>
      <c r="G23" s="35" t="s">
        <v>75</v>
      </c>
      <c r="H23" s="36"/>
      <c r="I23" s="36" t="s">
        <v>73</v>
      </c>
      <c r="J23" s="35"/>
      <c r="K23" s="36"/>
      <c r="L23">
        <f t="shared" si="1"/>
        <v>12.219066666666668</v>
      </c>
      <c r="M23">
        <f t="shared" si="0"/>
        <v>27</v>
      </c>
      <c r="N23" s="4">
        <f>IF(ISBLANK(Distance),"",Open_time Control_1+(INT(Open)&amp;":"&amp;IF(ROUND(((Open-INT(Open))*60),0)&lt;10,0,"")&amp;ROUND(((Open-INT(Open))*60),0)))</f>
        <v>45878.759027777778</v>
      </c>
      <c r="O23" s="4">
        <f>IF(ISBLANK(Distance),"",Open_time Control_1+(INT(Close)&amp;":"&amp;IF(ROUND(((Close-INT(Close))*60),0)&lt;10,0,"")&amp;ROUND(((Close-INT(Close))*60),0)))</f>
        <v>45879.375</v>
      </c>
    </row>
    <row r="24" spans="2:26" ht="17" customHeight="1" thickBot="1" x14ac:dyDescent="0.2">
      <c r="B24" s="38"/>
      <c r="C24" s="2" t="s">
        <v>13</v>
      </c>
      <c r="D24" s="20"/>
      <c r="E24" s="37"/>
      <c r="F24" s="35"/>
      <c r="G24" s="35"/>
      <c r="H24" s="36"/>
      <c r="I24" s="36"/>
      <c r="J24" s="35"/>
      <c r="K24" s="36"/>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x14ac:dyDescent="0.25">
      <c r="D25" s="26"/>
      <c r="E25" s="27"/>
      <c r="F25" s="28"/>
      <c r="G25" s="28"/>
      <c r="H25" s="28"/>
      <c r="I25" s="28"/>
      <c r="J25" s="28"/>
      <c r="K25" s="29"/>
      <c r="N25" s="4"/>
      <c r="O25" s="4"/>
    </row>
  </sheetData>
  <sheetProtection formatCells="0" selectLockedCells="1"/>
  <mergeCells count="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4ED8-B2B3-3C4A-953E-40C153A6C07C}">
  <sheetPr>
    <pageSetUpPr fitToPage="1"/>
  </sheetPr>
  <dimension ref="B1:O57"/>
  <sheetViews>
    <sheetView view="pageLayout" topLeftCell="A25" zoomScale="75" zoomScaleNormal="115" zoomScalePageLayoutView="75" workbookViewId="0">
      <selection activeCell="F35" sqref="F35"/>
    </sheetView>
  </sheetViews>
  <sheetFormatPr baseColWidth="10" defaultColWidth="8.83203125" defaultRowHeight="13" x14ac:dyDescent="0.15"/>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x14ac:dyDescent="0.15">
      <c r="K1" s="75"/>
      <c r="L1" s="75"/>
      <c r="M1" s="75"/>
    </row>
    <row r="2" spans="2:15" ht="18" x14ac:dyDescent="0.2">
      <c r="C2" s="112" t="s">
        <v>33</v>
      </c>
      <c r="D2" s="112"/>
      <c r="E2" s="112"/>
      <c r="F2" s="112"/>
      <c r="G2" s="55"/>
      <c r="H2" s="55"/>
      <c r="I2" s="78" t="s">
        <v>59</v>
      </c>
      <c r="J2" s="79">
        <f>'Control Entry'!B4</f>
        <v>45874</v>
      </c>
      <c r="K2" s="55"/>
      <c r="L2" s="55"/>
    </row>
    <row r="3" spans="2:15" ht="45" customHeight="1" x14ac:dyDescent="0.45">
      <c r="D3" s="12"/>
      <c r="E3" s="121" t="s">
        <v>29</v>
      </c>
      <c r="F3" s="121"/>
      <c r="G3" s="121"/>
      <c r="H3" s="121"/>
      <c r="I3" s="66" t="s">
        <v>61</v>
      </c>
      <c r="J3" s="71">
        <f>IF(ISBLANK(Brevet_Number),"",Brevet_Number)</f>
        <v>5491</v>
      </c>
      <c r="K3" s="39"/>
      <c r="L3" s="39"/>
    </row>
    <row r="4" spans="2:15" ht="20" customHeight="1" x14ac:dyDescent="0.15">
      <c r="C4" s="12"/>
      <c r="E4" s="122" t="str">
        <f>IF(ISBLANK(Brevet_Length),"",Brevet_Length&amp;" km Randonnée")</f>
        <v>400 km Randonnée</v>
      </c>
      <c r="F4" s="122"/>
      <c r="G4" s="122"/>
      <c r="H4" s="122"/>
      <c r="K4" s="51"/>
      <c r="L4" s="51"/>
    </row>
    <row r="5" spans="2:15" ht="20" customHeight="1" x14ac:dyDescent="0.2">
      <c r="D5" s="52"/>
      <c r="E5" s="120" t="str">
        <f>IF(ISBLANK(Brevet_Description),"",Brevet_Description)</f>
        <v>PentaC Cruise Reprise</v>
      </c>
      <c r="F5" s="120"/>
      <c r="G5" s="120"/>
      <c r="H5" s="120"/>
      <c r="I5" s="74"/>
      <c r="J5" s="52"/>
      <c r="K5" s="52"/>
      <c r="L5" s="52"/>
    </row>
    <row r="6" spans="2:15" ht="20" x14ac:dyDescent="0.2">
      <c r="D6" s="67"/>
      <c r="E6" s="120"/>
      <c r="F6" s="120"/>
      <c r="G6" s="120"/>
      <c r="H6" s="120"/>
      <c r="I6" s="74"/>
      <c r="J6" s="67"/>
      <c r="K6" s="52"/>
      <c r="L6" s="52"/>
    </row>
    <row r="7" spans="2:15" ht="25" customHeight="1" x14ac:dyDescent="0.15">
      <c r="C7" s="116"/>
      <c r="D7" s="116"/>
      <c r="E7" s="116"/>
      <c r="F7" s="116"/>
      <c r="H7" s="118"/>
    </row>
    <row r="8" spans="2:15" ht="21" thickBot="1" x14ac:dyDescent="0.25">
      <c r="B8" s="17" t="s">
        <v>62</v>
      </c>
      <c r="C8" s="117"/>
      <c r="D8" s="117"/>
      <c r="E8" s="117"/>
      <c r="F8" s="117"/>
      <c r="G8" s="17" t="s">
        <v>31</v>
      </c>
      <c r="H8" s="119"/>
      <c r="I8" s="53"/>
      <c r="J8" s="53"/>
      <c r="K8" s="53"/>
    </row>
    <row r="9" spans="2:15" ht="22" customHeight="1" x14ac:dyDescent="0.15">
      <c r="B9" s="58"/>
      <c r="C9" s="58"/>
      <c r="D9" s="58"/>
      <c r="E9" s="58"/>
      <c r="F9" s="54"/>
      <c r="G9" s="60"/>
      <c r="H9" s="60"/>
      <c r="I9" s="60"/>
      <c r="J9" s="54"/>
    </row>
    <row r="10" spans="2:15" ht="20" customHeight="1" x14ac:dyDescent="0.15">
      <c r="B10" s="114" t="s">
        <v>34</v>
      </c>
      <c r="C10" s="114"/>
      <c r="D10" s="64" t="s">
        <v>35</v>
      </c>
      <c r="E10" s="115" t="s">
        <v>58</v>
      </c>
      <c r="F10" s="115"/>
      <c r="G10" s="115"/>
      <c r="H10" s="70"/>
      <c r="I10" s="59"/>
      <c r="J10" s="59"/>
      <c r="K10" s="19"/>
      <c r="L10" s="123"/>
      <c r="M10" s="123"/>
      <c r="N10" s="123"/>
      <c r="O10" s="123"/>
    </row>
    <row r="11" spans="2:15" ht="23" x14ac:dyDescent="0.15">
      <c r="B11" s="58"/>
      <c r="C11" s="58"/>
      <c r="D11" s="58"/>
      <c r="E11" s="58"/>
      <c r="F11" s="54"/>
      <c r="G11" s="60"/>
      <c r="H11" s="60"/>
      <c r="I11" s="60"/>
      <c r="J11" s="54"/>
    </row>
    <row r="12" spans="2:15" ht="21" thickBot="1" x14ac:dyDescent="0.25">
      <c r="D12" s="137" t="s">
        <v>19</v>
      </c>
      <c r="E12" s="137"/>
      <c r="F12" s="69">
        <f>IF(ISBLANK('Control Entry'!B12),"",'Control Entry'!B12)</f>
        <v>45878</v>
      </c>
      <c r="G12" s="73"/>
      <c r="H12" s="17" t="s">
        <v>64</v>
      </c>
      <c r="I12" s="68">
        <f>IF(ISBLANK('Control Entry'!B13),"",'Control Entry'!B13)</f>
        <v>0.25</v>
      </c>
      <c r="J12" s="23"/>
    </row>
    <row r="13" spans="2:15" ht="20" x14ac:dyDescent="0.2">
      <c r="D13" s="22"/>
      <c r="E13" s="22"/>
      <c r="F13" s="21"/>
      <c r="G13" s="21"/>
      <c r="H13" s="21"/>
      <c r="L13" s="23"/>
      <c r="M13" s="23"/>
      <c r="N13" s="23"/>
    </row>
    <row r="14" spans="2:15" ht="21" thickBot="1" x14ac:dyDescent="0.25">
      <c r="D14" s="137" t="s">
        <v>63</v>
      </c>
      <c r="E14" s="137"/>
      <c r="F14" s="69"/>
      <c r="G14" s="73"/>
      <c r="H14" s="17" t="s">
        <v>65</v>
      </c>
      <c r="I14" s="68"/>
      <c r="J14" s="23"/>
      <c r="L14" s="45"/>
      <c r="M14" s="45"/>
      <c r="N14" s="45"/>
    </row>
    <row r="15" spans="2:15" ht="20" x14ac:dyDescent="0.2">
      <c r="B15" s="22"/>
      <c r="C15" s="22"/>
      <c r="D15" s="21"/>
      <c r="E15" s="21"/>
      <c r="H15" s="21"/>
    </row>
    <row r="16" spans="2:15" ht="21" thickBot="1" x14ac:dyDescent="0.25">
      <c r="C16" s="65"/>
      <c r="D16" s="65"/>
      <c r="E16" s="65"/>
      <c r="F16" s="65"/>
      <c r="H16" s="17" t="s">
        <v>66</v>
      </c>
      <c r="I16" s="68"/>
      <c r="J16" s="23"/>
      <c r="L16" s="45"/>
      <c r="M16" s="45"/>
      <c r="N16" s="45"/>
    </row>
    <row r="17" spans="2:15" ht="20" x14ac:dyDescent="0.15">
      <c r="C17" s="138" t="s">
        <v>14</v>
      </c>
      <c r="D17" s="138"/>
      <c r="E17" s="138"/>
      <c r="F17" s="138"/>
      <c r="G17" s="19"/>
      <c r="H17" s="19"/>
      <c r="I17" s="133"/>
      <c r="J17" s="133"/>
      <c r="K17" s="19"/>
      <c r="L17" s="123"/>
      <c r="M17" s="123"/>
      <c r="N17" s="123"/>
      <c r="O17" s="123"/>
    </row>
    <row r="18" spans="2:15" ht="6" customHeight="1" thickBot="1" x14ac:dyDescent="0.2">
      <c r="B18" s="61"/>
      <c r="C18" s="61"/>
      <c r="D18" s="61"/>
      <c r="E18" s="61"/>
      <c r="F18" s="62"/>
      <c r="G18" s="63"/>
      <c r="H18" s="63"/>
      <c r="I18" s="63"/>
      <c r="J18" s="62"/>
    </row>
    <row r="19" spans="2:15" ht="22" thickTop="1" thickBot="1" x14ac:dyDescent="0.2">
      <c r="B19" s="113" t="s">
        <v>50</v>
      </c>
      <c r="C19" s="113"/>
      <c r="D19" s="113"/>
      <c r="E19" s="113"/>
      <c r="F19" s="113"/>
      <c r="G19" s="113"/>
      <c r="H19" s="113"/>
      <c r="I19" s="113"/>
      <c r="J19" s="113"/>
    </row>
    <row r="20" spans="2:15" ht="20" thickBot="1" x14ac:dyDescent="0.25">
      <c r="B20" s="50" t="s">
        <v>26</v>
      </c>
      <c r="C20" s="8" t="s">
        <v>0</v>
      </c>
      <c r="D20" s="8" t="s">
        <v>1</v>
      </c>
      <c r="E20" s="8" t="s">
        <v>22</v>
      </c>
      <c r="F20" s="8" t="s">
        <v>27</v>
      </c>
      <c r="G20" s="134" t="s">
        <v>36</v>
      </c>
      <c r="H20" s="135"/>
      <c r="I20" s="136"/>
      <c r="J20" s="50" t="s">
        <v>28</v>
      </c>
    </row>
    <row r="21" spans="2:15" ht="40" customHeight="1" x14ac:dyDescent="0.25">
      <c r="B21" s="88"/>
      <c r="C21" s="100">
        <f>Control_1 Open_time</f>
        <v>45878.25</v>
      </c>
      <c r="D21" s="100">
        <f>Control_1 Close_time</f>
        <v>45878.291666666664</v>
      </c>
      <c r="E21" s="89"/>
      <c r="F21" s="90" t="str">
        <f>IF(ISBLANK(Control_1 Establishment_1),"",Control_1 Establishment_1)</f>
        <v>Tim Hortons</v>
      </c>
      <c r="G21" s="127" t="str">
        <f>IF(ISBLANK('Control Entry'!I15),"",'Control Entry'!I15)</f>
        <v/>
      </c>
      <c r="H21" s="128"/>
      <c r="I21" s="129"/>
      <c r="J21" s="91"/>
    </row>
    <row r="22" spans="2:15" ht="40" customHeight="1" x14ac:dyDescent="0.25">
      <c r="B22" s="92">
        <f>IF(ISBLANK(Distance Control_1),"",Control_1 Distance)</f>
        <v>0</v>
      </c>
      <c r="C22" s="93">
        <f>Control_1 Open_time</f>
        <v>45878.25</v>
      </c>
      <c r="D22" s="93">
        <f>Control_1 Close_time</f>
        <v>45878.291666666664</v>
      </c>
      <c r="E22" s="90" t="str">
        <f>IF(ISBLANK(Locale Control_1),"",Locale Control_1)</f>
        <v>NANAIMO</v>
      </c>
      <c r="F22" s="90" t="str">
        <f>IF(ISBLANK(Control_1 Establishment_2),"",Control_1 Establishment_2)</f>
        <v>1980 Island Highway North</v>
      </c>
      <c r="G22" s="130" t="str">
        <f>IF(ISBLANK('Control Entry'!J15),"",'Control Entry'!J15)</f>
        <v/>
      </c>
      <c r="H22" s="131"/>
      <c r="I22" s="132"/>
      <c r="J22" s="94"/>
    </row>
    <row r="23" spans="2:15" ht="40" customHeight="1" thickBot="1" x14ac:dyDescent="0.3">
      <c r="B23" s="95"/>
      <c r="C23" s="101">
        <f>Control_1 Open_time</f>
        <v>45878.25</v>
      </c>
      <c r="D23" s="101">
        <f>Control_1 Close_time</f>
        <v>45878.291666666664</v>
      </c>
      <c r="E23" s="96"/>
      <c r="F23" s="97" t="str">
        <f>IF(ISBLANK(Control_1 Establishment_3),"",Control_1 Establishment_3)</f>
        <v/>
      </c>
      <c r="G23" s="124" t="str">
        <f>IF(ISBLANK('Control Entry'!K15),"",'Control Entry'!K15)</f>
        <v/>
      </c>
      <c r="H23" s="125"/>
      <c r="I23" s="126"/>
      <c r="J23" s="98"/>
    </row>
    <row r="24" spans="2:15" ht="40" customHeight="1" x14ac:dyDescent="0.25">
      <c r="B24" s="88"/>
      <c r="C24" s="100">
        <f>Control_2 Open_time</f>
        <v>45878.304861111108</v>
      </c>
      <c r="D24" s="100">
        <f>Control_2 Close_time</f>
        <v>45878.385416666664</v>
      </c>
      <c r="E24" s="99"/>
      <c r="F24" s="90" t="str">
        <f>IF(ISBLANK(Control_2 Establishment_1),"",Control_2 Establishment_1)</f>
        <v>Information Control</v>
      </c>
      <c r="G24" s="127" t="str">
        <f>IF(ISBLANK('Control Entry'!I16),"",'Control Entry'!I16)</f>
        <v>Little Library is on which side of mailboxes?</v>
      </c>
      <c r="H24" s="128"/>
      <c r="I24" s="129"/>
      <c r="J24" s="91"/>
    </row>
    <row r="25" spans="2:15" ht="40" customHeight="1" x14ac:dyDescent="0.25">
      <c r="B25" s="92">
        <f>IF(ISBLANK(Distance Control_2),"",Control_2 Distance)</f>
        <v>45</v>
      </c>
      <c r="C25" s="93">
        <f>Control_2 Open_time</f>
        <v>45878.304861111108</v>
      </c>
      <c r="D25" s="93">
        <f>Control_2 Close_time</f>
        <v>45878.385416666664</v>
      </c>
      <c r="E25" s="90" t="str">
        <f>IF(ISBLANK(Locale Control_2),"",Locale Control_2)</f>
        <v>COOMBS</v>
      </c>
      <c r="F25" s="90" t="str">
        <f>IF(ISBLANK(Control_2 Establishment_2),"",Control_2 Establishment_2)</f>
        <v>Mailboxes</v>
      </c>
      <c r="G25" s="130" t="str">
        <f>IF(ISBLANK('Control Entry'!J16),"",'Control Entry'!J16)</f>
        <v/>
      </c>
      <c r="H25" s="131"/>
      <c r="I25" s="132"/>
      <c r="J25" s="94"/>
    </row>
    <row r="26" spans="2:15" ht="40" customHeight="1" thickBot="1" x14ac:dyDescent="0.3">
      <c r="B26" s="95"/>
      <c r="C26" s="101">
        <f>Control_2 Open_time</f>
        <v>45878.304861111108</v>
      </c>
      <c r="D26" s="101">
        <f>Control_2 Close_time</f>
        <v>45878.385416666664</v>
      </c>
      <c r="E26" s="96"/>
      <c r="F26" s="97" t="str">
        <f>IF(ISBLANK(Control_2 Establishment_3),"",Control_2 Establishment_3)</f>
        <v>Pratt @ Grafton</v>
      </c>
      <c r="G26" s="124" t="str">
        <f>IF(ISBLANK('Control Entry'!K16),"",'Control Entry'!K16)</f>
        <v xml:space="preserve">BOTH      LEFT       RIGHT </v>
      </c>
      <c r="H26" s="125"/>
      <c r="I26" s="126"/>
      <c r="J26" s="98"/>
    </row>
    <row r="27" spans="2:15" ht="40" customHeight="1" x14ac:dyDescent="0.25">
      <c r="B27" s="88"/>
      <c r="C27" s="100">
        <f>Control_3 Open_time</f>
        <v>45878.399305555555</v>
      </c>
      <c r="D27" s="100">
        <f>Control_3 Close_time</f>
        <v>45878.588194444441</v>
      </c>
      <c r="E27" s="99"/>
      <c r="F27" s="90" t="str">
        <f>IF(ISBLANK(Control_3 Establishment_1),"",Control_3 Establishment_1)</f>
        <v>Information Control</v>
      </c>
      <c r="G27" s="127" t="str">
        <f>IF(ISBLANK('Control Entry'!I17),"",'Control Entry'!I17)</f>
        <v>Number of portapotties in lot?</v>
      </c>
      <c r="H27" s="128"/>
      <c r="I27" s="129"/>
      <c r="J27" s="91"/>
    </row>
    <row r="28" spans="2:15" ht="40" customHeight="1" x14ac:dyDescent="0.25">
      <c r="B28" s="92">
        <f>IF(ISBLANK(Distance Control_3),"",Control_3 Distance)</f>
        <v>121.8</v>
      </c>
      <c r="C28" s="93">
        <f>Control_3 Open_time</f>
        <v>45878.399305555555</v>
      </c>
      <c r="D28" s="93">
        <f>Control_3 Close_time</f>
        <v>45878.588194444441</v>
      </c>
      <c r="E28" s="90" t="str">
        <f>IF(ISBLANK(Locale Control_3),"",Locale Control_3)</f>
        <v>CUMBERLAND</v>
      </c>
      <c r="F28" s="90" t="str">
        <f>IF(ISBLANK(Control_3 Establishment_2),"",Control_3 Establishment_2)</f>
        <v>Comox Lake Boat Launch</v>
      </c>
      <c r="G28" s="130" t="str">
        <f>IF(ISBLANK('Control Entry'!J17),"",'Control Entry'!J17)</f>
        <v/>
      </c>
      <c r="H28" s="131"/>
      <c r="I28" s="132"/>
      <c r="J28" s="94"/>
    </row>
    <row r="29" spans="2:15" ht="40" customHeight="1" thickBot="1" x14ac:dyDescent="0.3">
      <c r="B29" s="95"/>
      <c r="C29" s="101">
        <f>Control_3 Open_time</f>
        <v>45878.399305555555</v>
      </c>
      <c r="D29" s="101">
        <f>Control_3 Close_time</f>
        <v>45878.588194444441</v>
      </c>
      <c r="E29" s="96"/>
      <c r="F29" s="97" t="str">
        <f>IF(ISBLANK(Control_3 Establishment_3),"",Control_3 Establishment_3)</f>
        <v/>
      </c>
      <c r="G29" s="124" t="str">
        <f>IF(ISBLANK('Control Entry'!K17),"",'Control Entry'!K17)</f>
        <v>0        1       2</v>
      </c>
      <c r="H29" s="125"/>
      <c r="I29" s="126"/>
      <c r="J29" s="98"/>
    </row>
    <row r="30" spans="2:15" ht="40" customHeight="1" x14ac:dyDescent="0.25">
      <c r="B30" s="88"/>
      <c r="C30" s="100">
        <f>Control_4 Open_time</f>
        <v>45878.4375</v>
      </c>
      <c r="D30" s="100">
        <f>Control_4 Close_time</f>
        <v>45878.675000000003</v>
      </c>
      <c r="E30" s="99"/>
      <c r="F30" s="90" t="str">
        <f>IF(ISBLANK(Control_4 Establishment_1),"",Control_4 Establishment_1)</f>
        <v>Information Control</v>
      </c>
      <c r="G30" s="127" t="str">
        <f>IF(ISBLANK('Control Entry'!I18),"",'Control Entry'!I18)</f>
        <v>What is mural on building?</v>
      </c>
      <c r="H30" s="128"/>
      <c r="I30" s="129"/>
      <c r="J30" s="91"/>
    </row>
    <row r="31" spans="2:15" ht="40" customHeight="1" x14ac:dyDescent="0.25">
      <c r="B31" s="92">
        <f>IF(ISBLANK(Distance Control_4),"",Control_4 Distance)</f>
        <v>152.9</v>
      </c>
      <c r="C31" s="93">
        <f>Control_4 Open_time</f>
        <v>45878.4375</v>
      </c>
      <c r="D31" s="93">
        <f>Control_4 Close_time</f>
        <v>45878.675000000003</v>
      </c>
      <c r="E31" s="90" t="str">
        <f>IF(ISBLANK(Locale Control_4),"",Locale Control_4)</f>
        <v>COURTENAY</v>
      </c>
      <c r="F31" s="90" t="str">
        <f>IF(ISBLANK(Control_4 Establishment_2),"",Control_4 Establishment_2)</f>
        <v>Kitty Coleman Provincial Park</v>
      </c>
      <c r="G31" s="141" t="str">
        <f>IF(ISBLANK('Control Entry'!J18),"",'Control Entry'!J18)</f>
        <v/>
      </c>
      <c r="H31" s="142"/>
      <c r="I31" s="143"/>
      <c r="J31" s="94"/>
    </row>
    <row r="32" spans="2:15" ht="40" customHeight="1" thickBot="1" x14ac:dyDescent="0.3">
      <c r="B32" s="95"/>
      <c r="C32" s="101">
        <f>Control_4 Open_time</f>
        <v>45878.4375</v>
      </c>
      <c r="D32" s="101">
        <f>Control_4 Close_time</f>
        <v>45878.675000000003</v>
      </c>
      <c r="E32" s="96"/>
      <c r="F32" s="97" t="str">
        <f>IF(ISBLANK(Control_4 Establishment_3),"",Control_4 Establishment_3)</f>
        <v>Main parking lot</v>
      </c>
      <c r="G32" s="124" t="str">
        <f>IF(ISBLANK('Control Entry'!K18),"",'Control Entry'!K18)</f>
        <v xml:space="preserve">EAGLE        BEAR        ORCA      </v>
      </c>
      <c r="H32" s="125"/>
      <c r="I32" s="126"/>
      <c r="J32" s="98"/>
    </row>
    <row r="33" spans="2:10" ht="40" customHeight="1" x14ac:dyDescent="0.25">
      <c r="B33" s="88"/>
      <c r="C33" s="100">
        <f>Control_5 Open_time</f>
        <v>45878.49722222222</v>
      </c>
      <c r="D33" s="100">
        <f>Control_5 Close_time</f>
        <v>45878.80972222222</v>
      </c>
      <c r="E33" s="99"/>
      <c r="F33" s="90" t="str">
        <f>IF(ISBLANK(Control_5 Establishment_1),"",Control_5 Establishment_1)</f>
        <v>Information Control</v>
      </c>
      <c r="G33" s="127" t="str">
        <f>IF(ISBLANK('Control Entry'!I19),"",'Control Entry'!I19)</f>
        <v>Island Ready ______?</v>
      </c>
      <c r="H33" s="128"/>
      <c r="I33" s="129"/>
      <c r="J33" s="91"/>
    </row>
    <row r="34" spans="2:10" ht="40" customHeight="1" x14ac:dyDescent="0.25">
      <c r="B34" s="92">
        <f>IF(ISBLANK(Distance Control_5),"",Control_5 Distance)</f>
        <v>201.6</v>
      </c>
      <c r="C34" s="93">
        <f>Control_5 Open_time</f>
        <v>45878.49722222222</v>
      </c>
      <c r="D34" s="93">
        <f>Control_5 Close_time</f>
        <v>45878.80972222222</v>
      </c>
      <c r="E34" s="90" t="str">
        <f>IF(ISBLANK(Locale Control_5),"",Locale Control_5)</f>
        <v>CAMPBELL RIVER</v>
      </c>
      <c r="F34" s="90" t="str">
        <f>IF(ISBLANK(Control_5 Establishment_2),"",Control_5 Establishment_2)</f>
        <v>Argonaut @ Gold River Hwy</v>
      </c>
      <c r="G34" s="130" t="str">
        <f>IF(ISBLANK('Control Entry'!J19),"",'Control Entry'!J19)</f>
        <v/>
      </c>
      <c r="H34" s="131"/>
      <c r="I34" s="132"/>
      <c r="J34" s="94"/>
    </row>
    <row r="35" spans="2:10" ht="40" customHeight="1" thickBot="1" x14ac:dyDescent="0.3">
      <c r="B35" s="95"/>
      <c r="C35" s="101">
        <f>Control_5 Open_time</f>
        <v>45878.49722222222</v>
      </c>
      <c r="D35" s="101">
        <f>Control_5 Close_time</f>
        <v>45878.80972222222</v>
      </c>
      <c r="E35" s="96"/>
      <c r="F35" s="103" t="str">
        <f>IF(ISBLANK(Control_5 Establishment_3),"",Control_5 Establishment_3)</f>
        <v>Sign on west side of Argonaut</v>
      </c>
      <c r="G35" s="124" t="str">
        <f>IF(ISBLANK('Control Entry'!K19),"",'Control Entry'!K19)</f>
        <v/>
      </c>
      <c r="H35" s="125"/>
      <c r="I35" s="126"/>
      <c r="J35" s="98"/>
    </row>
    <row r="36" spans="2:10" ht="40" customHeight="1" x14ac:dyDescent="0.25">
      <c r="B36" s="88"/>
      <c r="C36" s="100">
        <f>Control_6 Open_time</f>
        <v>45878.56527777778</v>
      </c>
      <c r="D36" s="100">
        <f>Control_6 Close_time</f>
        <v>45878.955555555556</v>
      </c>
      <c r="E36" s="99"/>
      <c r="F36" s="90" t="str">
        <f>IF(ISBLANK(Control_6 Establishment_1),"",Control_6 Establishment_1)</f>
        <v>Information Control</v>
      </c>
      <c r="G36" s="127" t="str">
        <f>IF(ISBLANK('Control Entry'!I20),"",'Control Entry'!I20)</f>
        <v>__?__&amp; Stone Tree Care</v>
      </c>
      <c r="H36" s="128"/>
      <c r="I36" s="129"/>
      <c r="J36" s="91"/>
    </row>
    <row r="37" spans="2:10" ht="40" customHeight="1" x14ac:dyDescent="0.25">
      <c r="B37" s="92">
        <f>IF(ISBLANK(Distance Control_6),"",Control_6 Distance)</f>
        <v>254.1</v>
      </c>
      <c r="C37" s="93">
        <f>Control_6 Open_time</f>
        <v>45878.56527777778</v>
      </c>
      <c r="D37" s="93">
        <f>Control_6 Close_time</f>
        <v>45878.955555555556</v>
      </c>
      <c r="E37" s="90" t="str">
        <f>IF(ISBLANK(Locale Control_6),"",Locale Control_6)</f>
        <v>COURTENAY</v>
      </c>
      <c r="F37" s="90" t="str">
        <f>IF(ISBLANK(Control_6 Establishment_2),"",Control_6 Establishment_2)</f>
        <v>S Farnham @ Dove Ck</v>
      </c>
      <c r="G37" s="130" t="str">
        <f>IF(ISBLANK('Control Entry'!J20),"",'Control Entry'!J20)</f>
        <v/>
      </c>
      <c r="H37" s="131"/>
      <c r="I37" s="132"/>
      <c r="J37" s="94"/>
    </row>
    <row r="38" spans="2:10" ht="40" customHeight="1" thickBot="1" x14ac:dyDescent="0.3">
      <c r="B38" s="95"/>
      <c r="C38" s="101">
        <f>Control_6 Open_time</f>
        <v>45878.56527777778</v>
      </c>
      <c r="D38" s="101">
        <f>Control_6 Close_time</f>
        <v>45878.955555555556</v>
      </c>
      <c r="E38" s="96"/>
      <c r="F38" s="97" t="str">
        <f>IF(ISBLANK(Control_6 Establishment_3),"",Control_6 Establishment_3)</f>
        <v>Back of stop sign</v>
      </c>
      <c r="G38" s="124" t="str">
        <f>IF(ISBLANK('Control Entry'!K20),"",'Control Entry'!K20)</f>
        <v/>
      </c>
      <c r="H38" s="125"/>
      <c r="I38" s="126"/>
      <c r="J38" s="98"/>
    </row>
    <row r="39" spans="2:10" ht="40" customHeight="1" x14ac:dyDescent="0.25">
      <c r="B39" s="88"/>
      <c r="C39" s="100">
        <f>Control_7 Open_time</f>
        <v>45878.70416666667</v>
      </c>
      <c r="D39" s="100">
        <f>Control_7 Close_time</f>
        <v>45879.252083333333</v>
      </c>
      <c r="E39" s="99"/>
      <c r="F39" s="90" t="str">
        <f>IF(ISBLANK(Control_7 Establishment_1),"",Control_7 Establishment_1)</f>
        <v>Information Control</v>
      </c>
      <c r="G39" s="127" t="str">
        <f>IF(ISBLANK('Control Entry'!I21),"",'Control Entry'!I21)</f>
        <v>Live your _____?</v>
      </c>
      <c r="H39" s="128"/>
      <c r="I39" s="129"/>
      <c r="J39" s="91"/>
    </row>
    <row r="40" spans="2:10" ht="40" customHeight="1" x14ac:dyDescent="0.25">
      <c r="B40" s="92">
        <f>IF(ISBLANK(Distance Control_7),"",Control_7 Distance)</f>
        <v>360.8</v>
      </c>
      <c r="C40" s="93">
        <f>Control_7 Open_time</f>
        <v>45878.70416666667</v>
      </c>
      <c r="D40" s="93">
        <f>Control_7 Close_time</f>
        <v>45879.252083333333</v>
      </c>
      <c r="E40" s="90" t="str">
        <f>IF(ISBLANK(Locale Control_7),"",Locale Control_7)</f>
        <v>NANOOSE</v>
      </c>
      <c r="F40" s="90" t="str">
        <f>IF(ISBLANK(Control_7 Establishment_2),"",Control_7 Establishment_2)</f>
        <v xml:space="preserve">Fairwinds @ Anchor  </v>
      </c>
      <c r="G40" s="130" t="str">
        <f>IF(ISBLANK('Control Entry'!J21),"",'Control Entry'!J21)</f>
        <v/>
      </c>
      <c r="H40" s="131"/>
      <c r="I40" s="132"/>
      <c r="J40" s="94"/>
    </row>
    <row r="41" spans="2:10" ht="40" customHeight="1" thickBot="1" x14ac:dyDescent="0.3">
      <c r="B41" s="95"/>
      <c r="C41" s="101">
        <f>Control_7 Open_time</f>
        <v>45878.70416666667</v>
      </c>
      <c r="D41" s="101">
        <f>Control_7 Close_time</f>
        <v>45879.252083333333</v>
      </c>
      <c r="E41" s="96"/>
      <c r="F41" s="97" t="str">
        <f>IF(ISBLANK(Control_7 Establishment_3),"",Control_7 Establishment_3)</f>
        <v>Fairwinds sign BEHIND you</v>
      </c>
      <c r="G41" s="124" t="str">
        <f>IF(ISBLANK('Control Entry'!K21),"",'Control Entry'!K21)</f>
        <v>DREAM       PASSION       LIFE</v>
      </c>
      <c r="H41" s="125"/>
      <c r="I41" s="126"/>
      <c r="J41" s="98"/>
    </row>
    <row r="42" spans="2:10" ht="40" customHeight="1" x14ac:dyDescent="0.25">
      <c r="B42" s="88"/>
      <c r="C42" s="100">
        <f>Control_8 Open_time</f>
        <v>45878.74722222222</v>
      </c>
      <c r="D42" s="100">
        <f>Control_8 Close_time</f>
        <v>45879.343055555553</v>
      </c>
      <c r="E42" s="99"/>
      <c r="F42" s="90" t="str">
        <f>IF(ISBLANK(Control_8 Establishment_1),"",Control_8 Establishment_1)</f>
        <v>Information Control</v>
      </c>
      <c r="G42" s="127" t="str">
        <f>IF(ISBLANK('Control Entry'!I22),"",'Control Entry'!I22)</f>
        <v>Diesel at pump 8?</v>
      </c>
      <c r="H42" s="128"/>
      <c r="I42" s="129"/>
      <c r="J42" s="91"/>
    </row>
    <row r="43" spans="2:10" ht="40" customHeight="1" x14ac:dyDescent="0.25">
      <c r="B43" s="92">
        <f>IF(ISBLANK(Distance Control_8),"",Control_8 Distance)</f>
        <v>393.6</v>
      </c>
      <c r="C43" s="93">
        <f>Control_8 Open_time</f>
        <v>45878.74722222222</v>
      </c>
      <c r="D43" s="93">
        <f>Control_8 Close_time</f>
        <v>45879.343055555553</v>
      </c>
      <c r="E43" s="90" t="str">
        <f>IF(ISBLANK(Locale Control_8),"",Locale Control_8)</f>
        <v>CHASE RIVER</v>
      </c>
      <c r="F43" s="90" t="str">
        <f>IF(ISBLANK(Control_8 Establishment_2),"",Control_8 Establishment_2)</f>
        <v>Petrocan</v>
      </c>
      <c r="G43" s="130" t="str">
        <f>IF(ISBLANK('Control Entry'!J22),"",'Control Entry'!J22)</f>
        <v/>
      </c>
      <c r="H43" s="131"/>
      <c r="I43" s="132"/>
      <c r="J43" s="94"/>
    </row>
    <row r="44" spans="2:10" ht="40" customHeight="1" thickBot="1" x14ac:dyDescent="0.3">
      <c r="B44" s="95"/>
      <c r="C44" s="101">
        <f>Control_8 Open_time</f>
        <v>45878.74722222222</v>
      </c>
      <c r="D44" s="101">
        <f>Control_8 Close_time</f>
        <v>45879.343055555553</v>
      </c>
      <c r="E44" s="96"/>
      <c r="F44" s="97" t="str">
        <f>IF(ISBLANK(Control_8 Establishment_3),"",Control_8 Establishment_3)</f>
        <v>South Parkway Plaza</v>
      </c>
      <c r="G44" s="124" t="str">
        <f>IF(ISBLANK('Control Entry'!K22),"",'Control Entry'!K22)</f>
        <v xml:space="preserve">YES       NO       </v>
      </c>
      <c r="H44" s="125"/>
      <c r="I44" s="126"/>
      <c r="J44" s="98"/>
    </row>
    <row r="45" spans="2:10" ht="40" customHeight="1" x14ac:dyDescent="0.25">
      <c r="B45" s="88"/>
      <c r="C45" s="100">
        <f>Control_9 Open_time</f>
        <v>45878.759027777778</v>
      </c>
      <c r="D45" s="100">
        <f>Control_9 Close_time</f>
        <v>45879.375</v>
      </c>
      <c r="E45" s="99"/>
      <c r="F45" s="90" t="str">
        <f>IF(ISBLANK(Control_9 Establishment_1),"",Control_9 Establishment_1)</f>
        <v>Tim Hortons</v>
      </c>
      <c r="G45" s="127" t="str">
        <f>IF(ISBLANK('Control Entry'!I23),"",'Control Entry'!I23)</f>
        <v>self sign if closed</v>
      </c>
      <c r="H45" s="128"/>
      <c r="I45" s="129"/>
      <c r="J45" s="91"/>
    </row>
    <row r="46" spans="2:10" ht="40" customHeight="1" x14ac:dyDescent="0.25">
      <c r="B46" s="92">
        <f>IF(ISBLANK(Distance Control_9),"",Control_9 Distance)</f>
        <v>402.6</v>
      </c>
      <c r="C46" s="93">
        <f>Control_9 Open_time</f>
        <v>45878.759027777778</v>
      </c>
      <c r="D46" s="93">
        <f>Control_9 Close_time</f>
        <v>45879.375</v>
      </c>
      <c r="E46" s="90" t="str">
        <f>IF(ISBLANK(Locale Control_9),"",Locale Control_9)</f>
        <v>NANAIMO</v>
      </c>
      <c r="F46" s="90" t="str">
        <f>IF(ISBLANK(Control_9 Establishment_2),"",Control_9 Establishment_2)</f>
        <v>1980 Island Highway North</v>
      </c>
      <c r="G46" s="130" t="str">
        <f>IF(ISBLANK('Control Entry'!J23),"",'Control Entry'!J23)</f>
        <v/>
      </c>
      <c r="H46" s="131"/>
      <c r="I46" s="132"/>
      <c r="J46" s="94"/>
    </row>
    <row r="47" spans="2:10" ht="40" customHeight="1" thickBot="1" x14ac:dyDescent="0.3">
      <c r="B47" s="95"/>
      <c r="C47" s="101">
        <f>Control_9 Open_time</f>
        <v>45878.759027777778</v>
      </c>
      <c r="D47" s="101">
        <f>Control_9 Close_time</f>
        <v>45879.375</v>
      </c>
      <c r="E47" s="96"/>
      <c r="F47" s="97" t="str">
        <f>IF(ISBLANK(Control_9 Establishment_3),"",Control_9 Establishment_3)</f>
        <v/>
      </c>
      <c r="G47" s="124" t="str">
        <f>IF(ISBLANK('Control Entry'!K23),"",'Control Entry'!K23)</f>
        <v/>
      </c>
      <c r="H47" s="125"/>
      <c r="I47" s="126"/>
      <c r="J47" s="98"/>
    </row>
    <row r="48" spans="2:10" ht="40" customHeight="1" x14ac:dyDescent="0.25">
      <c r="B48" s="88"/>
      <c r="C48" s="100" t="str">
        <f>Control_10 Open_time</f>
        <v/>
      </c>
      <c r="D48" s="100" t="str">
        <f>Control_10 Close_time</f>
        <v/>
      </c>
      <c r="E48" s="99"/>
      <c r="F48" s="90" t="str">
        <f>IF(ISBLANK(Control_10 Establishment_1),"",Control_10 Establishment_1)</f>
        <v/>
      </c>
      <c r="G48" s="127" t="str">
        <f>IF(ISBLANK('Control Entry'!I24),"",'Control Entry'!I24)</f>
        <v/>
      </c>
      <c r="H48" s="128"/>
      <c r="I48" s="129"/>
      <c r="J48" s="91"/>
    </row>
    <row r="49" spans="2:11" ht="40" customHeight="1" x14ac:dyDescent="0.25">
      <c r="B49" s="92" t="str">
        <f>IF(ISBLANK(Distance Control_10),"",Control_10 Distance)</f>
        <v/>
      </c>
      <c r="C49" s="93" t="str">
        <f>Control_10 Open_time</f>
        <v/>
      </c>
      <c r="D49" s="93" t="str">
        <f>Control_10 Close_time</f>
        <v/>
      </c>
      <c r="E49" s="90" t="str">
        <f>IF(ISBLANK(Locale Control_10),"",Locale Control_10)</f>
        <v/>
      </c>
      <c r="F49" s="90" t="str">
        <f>IF(ISBLANK(Control_10 Establishment_2),"",Control_10 Establishment_2)</f>
        <v/>
      </c>
      <c r="G49" s="130" t="str">
        <f>IF(ISBLANK('Control Entry'!J24),"",'Control Entry'!J24)</f>
        <v/>
      </c>
      <c r="H49" s="131"/>
      <c r="I49" s="132"/>
      <c r="J49" s="94"/>
    </row>
    <row r="50" spans="2:11" ht="40" customHeight="1" thickBot="1" x14ac:dyDescent="0.3">
      <c r="B50" s="95"/>
      <c r="C50" s="101" t="str">
        <f>Control_10 Open_time</f>
        <v/>
      </c>
      <c r="D50" s="101" t="str">
        <f>Control_10 Close_time</f>
        <v/>
      </c>
      <c r="E50" s="96"/>
      <c r="F50" s="97" t="str">
        <f>IF(ISBLANK(Control_10 Establishment_3),"",Control_10 Establishment_3)</f>
        <v/>
      </c>
      <c r="G50" s="124" t="str">
        <f>IF(ISBLANK('Control Entry'!K24),"",'Control Entry'!K24)</f>
        <v/>
      </c>
      <c r="H50" s="125"/>
      <c r="I50" s="126"/>
      <c r="J50" s="98"/>
    </row>
    <row r="52" spans="2:11" ht="24" customHeight="1" x14ac:dyDescent="0.15">
      <c r="B52" s="144" t="s">
        <v>30</v>
      </c>
      <c r="C52" s="144"/>
      <c r="D52" s="144"/>
      <c r="E52" s="144"/>
      <c r="F52" s="144"/>
      <c r="I52" s="58" t="s">
        <v>57</v>
      </c>
      <c r="J52" s="81" t="str">
        <f>IF(ISBLANK('Control Entry'!F10),"",'Control Entry'!F10)</f>
        <v>‭(250) 213-3724‬</v>
      </c>
      <c r="K52" s="54"/>
    </row>
    <row r="54" spans="2:11" x14ac:dyDescent="0.15">
      <c r="B54" s="76" t="s">
        <v>60</v>
      </c>
      <c r="C54" s="77">
        <f>'Control Entry'!B3</f>
        <v>45167</v>
      </c>
    </row>
    <row r="55" spans="2:11" ht="23" x14ac:dyDescent="0.15">
      <c r="B55" s="58"/>
      <c r="C55" s="58"/>
      <c r="D55" s="58"/>
      <c r="E55" s="58"/>
      <c r="F55" s="54"/>
      <c r="G55" s="60"/>
      <c r="H55" s="60"/>
      <c r="I55" s="60"/>
      <c r="J55" s="54"/>
    </row>
    <row r="56" spans="2:11" x14ac:dyDescent="0.15">
      <c r="E56" s="1"/>
    </row>
    <row r="57" spans="2:11" x14ac:dyDescent="0.15">
      <c r="B57" s="56"/>
      <c r="C57" s="57"/>
      <c r="D57" s="57"/>
      <c r="E57" s="57"/>
      <c r="F57" s="139"/>
      <c r="G57" s="140"/>
      <c r="H57" s="140"/>
      <c r="I57" s="140"/>
      <c r="J57" s="140"/>
    </row>
  </sheetData>
  <mergeCells count="50">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 ref="G47:I47"/>
    <mergeCell ref="G20:I20"/>
    <mergeCell ref="D12:E12"/>
    <mergeCell ref="D14:E14"/>
    <mergeCell ref="G27:I27"/>
    <mergeCell ref="G28:I28"/>
    <mergeCell ref="G26:I26"/>
    <mergeCell ref="C17:F17"/>
    <mergeCell ref="G37:I37"/>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C2:F2"/>
    <mergeCell ref="B19:J19"/>
    <mergeCell ref="B10:C10"/>
    <mergeCell ref="E10:G10"/>
    <mergeCell ref="C7:F8"/>
    <mergeCell ref="H7:H8"/>
    <mergeCell ref="E5:H6"/>
    <mergeCell ref="E3:H3"/>
    <mergeCell ref="E4:H4"/>
  </mergeCells>
  <printOptions horizontalCentered="1" verticalCentered="1"/>
  <pageMargins left="0.39370078740157483" right="0.39370078740157483" top="0.39370078740157483" bottom="0.39370078740157483" header="0.15748031496062992" footer="0.15748031496062992"/>
  <pageSetup scale="43"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27</vt:i4>
      </vt:variant>
    </vt:vector>
  </HeadingPairs>
  <TitlesOfParts>
    <vt:vector size="29" baseType="lpstr">
      <vt:lpstr>Control Entry</vt:lpstr>
      <vt:lpstr>Card #1</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2025-05-06T17:38:09Z</cp:lastPrinted>
  <dcterms:created xsi:type="dcterms:W3CDTF">1997-11-12T04:43:39Z</dcterms:created>
  <dcterms:modified xsi:type="dcterms:W3CDTF">2025-08-06T00:31:40Z</dcterms:modified>
</cp:coreProperties>
</file>