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autoCompressPictures="0"/>
  <mc:AlternateContent xmlns:mc="http://schemas.openxmlformats.org/markup-compatibility/2006">
    <mc:Choice Requires="x15">
      <x15ac:absPath xmlns:x15ac="http://schemas.microsoft.com/office/spreadsheetml/2010/11/ac" url="C:\Users\mpayt\Dropbox\Cycling\Randonneuring\2024\5279 Remembrance Day 2023\Rider Documents\"/>
    </mc:Choice>
  </mc:AlternateContent>
  <xr:revisionPtr revIDLastSave="0" documentId="13_ncr:1_{17091A95-C8FF-407A-B3C9-0007C57410DF}" xr6:coauthVersionLast="47" xr6:coauthVersionMax="47" xr10:uidLastSave="{00000000-0000-0000-0000-000000000000}"/>
  <bookViews>
    <workbookView xWindow="-108" yWindow="-108" windowWidth="23256" windowHeight="13176" tabRatio="509" xr2:uid="{00000000-000D-0000-FFFF-FFFF00000000}"/>
  </bookViews>
  <sheets>
    <sheet name="Control Entry" sheetId="1" r:id="rId1"/>
    <sheet name="Card #1" sheetId="7" r:id="rId2"/>
    <sheet name="Control Card #1" sheetId="2" r:id="rId3"/>
    <sheet name="Control Card #2" sheetId="3" r:id="rId4"/>
    <sheet name="Control Card #3" sheetId="4" r:id="rId5"/>
    <sheet name="Control Card #4" sheetId="5" r:id="rId6"/>
  </sheets>
  <definedNames>
    <definedName name="Address_1" localSheetId="1">#REF!</definedName>
    <definedName name="Address_1" localSheetId="3">#REF!</definedName>
    <definedName name="Address_1" localSheetId="4">#REF!</definedName>
    <definedName name="Address_1" localSheetId="5">#REF!</definedName>
    <definedName name="Address_1">#REF!</definedName>
    <definedName name="Address_2" localSheetId="1">#REF!</definedName>
    <definedName name="Address_2" localSheetId="3">#REF!</definedName>
    <definedName name="Address_2" localSheetId="4">#REF!</definedName>
    <definedName name="Address_2" localSheetId="5">#REF!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3">#REF!</definedName>
    <definedName name="City" localSheetId="4">#REF!</definedName>
    <definedName name="City" localSheetId="5">#REF!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3">'Control Entry'!#REF!</definedName>
    <definedName name="Control_11" localSheetId="4">'Control Entry'!#REF!</definedName>
    <definedName name="Control_11" localSheetId="5">'Control Entry'!#REF!</definedName>
    <definedName name="Control_11">'Control Entry'!#REF!</definedName>
    <definedName name="Control_12" localSheetId="1">'Control Entry'!#REF!</definedName>
    <definedName name="Control_12" localSheetId="3">'Control Entry'!#REF!</definedName>
    <definedName name="Control_12" localSheetId="4">'Control Entry'!#REF!</definedName>
    <definedName name="Control_12" localSheetId="5">'Control Entry'!#REF!</definedName>
    <definedName name="Control_12">'Control Entry'!#REF!</definedName>
    <definedName name="Control_13" localSheetId="1">'Control Entry'!#REF!</definedName>
    <definedName name="Control_13" localSheetId="3">'Control Entry'!#REF!</definedName>
    <definedName name="Control_13" localSheetId="4">'Control Entry'!#REF!</definedName>
    <definedName name="Control_13" localSheetId="5">'Control Entry'!#REF!</definedName>
    <definedName name="Control_13">'Control Entry'!#REF!</definedName>
    <definedName name="Control_14" localSheetId="1">'Control Entry'!#REF!</definedName>
    <definedName name="Control_14" localSheetId="3">'Control Entry'!#REF!</definedName>
    <definedName name="Control_14" localSheetId="4">'Control Entry'!#REF!</definedName>
    <definedName name="Control_14" localSheetId="5">'Control Entry'!#REF!</definedName>
    <definedName name="Control_14">'Control Entry'!#REF!</definedName>
    <definedName name="Control_15" localSheetId="1">'Control Entry'!#REF!</definedName>
    <definedName name="Control_15" localSheetId="3">'Control Entry'!#REF!</definedName>
    <definedName name="Control_15" localSheetId="4">'Control Entry'!#REF!</definedName>
    <definedName name="Control_15" localSheetId="5">'Control Entry'!#REF!</definedName>
    <definedName name="Control_15">'Control Entry'!#REF!</definedName>
    <definedName name="Control_16" localSheetId="1">'Control Entry'!#REF!</definedName>
    <definedName name="Control_16" localSheetId="3">'Control Entry'!#REF!</definedName>
    <definedName name="Control_16" localSheetId="4">'Control Entry'!#REF!</definedName>
    <definedName name="Control_16" localSheetId="5">'Control Entry'!#REF!</definedName>
    <definedName name="Control_16">'Control Entry'!#REF!</definedName>
    <definedName name="Control_17" localSheetId="1">'Control Entry'!#REF!</definedName>
    <definedName name="Control_17" localSheetId="3">'Control Entry'!#REF!</definedName>
    <definedName name="Control_17" localSheetId="4">'Control Entry'!#REF!</definedName>
    <definedName name="Control_17" localSheetId="5">'Control Entry'!#REF!</definedName>
    <definedName name="Control_17">'Control Entry'!#REF!</definedName>
    <definedName name="Control_18" localSheetId="1">'Control Entry'!#REF!</definedName>
    <definedName name="Control_18" localSheetId="3">'Control Entry'!#REF!</definedName>
    <definedName name="Control_18" localSheetId="4">'Control Entry'!#REF!</definedName>
    <definedName name="Control_18" localSheetId="5">'Control Entry'!#REF!</definedName>
    <definedName name="Control_18">'Control Entry'!#REF!</definedName>
    <definedName name="Control_19" localSheetId="1">'Control Entry'!#REF!</definedName>
    <definedName name="Control_19" localSheetId="3">'Control Entry'!#REF!</definedName>
    <definedName name="Control_19" localSheetId="4">'Control Entry'!#REF!</definedName>
    <definedName name="Control_19" localSheetId="5">'Control Entry'!#REF!</definedName>
    <definedName name="Control_19">'Control Entry'!#REF!</definedName>
    <definedName name="Control_2">'Control Entry'!$D$16:$O$16</definedName>
    <definedName name="Control_20" localSheetId="1">'Control Entry'!#REF!</definedName>
    <definedName name="Control_20" localSheetId="3">'Control Entry'!#REF!</definedName>
    <definedName name="Control_20" localSheetId="4">'Control Entry'!#REF!</definedName>
    <definedName name="Control_20" localSheetId="5">'Control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3">#REF!</definedName>
    <definedName name="Country" localSheetId="4">#REF!</definedName>
    <definedName name="Country" localSheetId="5">#REF!</definedName>
    <definedName name="Country">#REF!</definedName>
    <definedName name="Distance">'Control Entry'!$D$15:$D$24</definedName>
    <definedName name="email" localSheetId="1">#REF!</definedName>
    <definedName name="email" localSheetId="3">#REF!</definedName>
    <definedName name="email" localSheetId="4">#REF!</definedName>
    <definedName name="email" localSheetId="5">#REF!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3">#REF!</definedName>
    <definedName name="Fax" localSheetId="4">#REF!</definedName>
    <definedName name="Fax" localSheetId="5">#REF!</definedName>
    <definedName name="Fax">#REF!</definedName>
    <definedName name="First_Name" localSheetId="1">#REF!</definedName>
    <definedName name="First_Name" localSheetId="3">#REF!</definedName>
    <definedName name="First_Name" localSheetId="4">#REF!</definedName>
    <definedName name="First_Name" localSheetId="5">#REF!</definedName>
    <definedName name="First_Name">#REF!</definedName>
    <definedName name="Home_telephone" localSheetId="1">#REF!</definedName>
    <definedName name="Home_telephone" localSheetId="3">#REF!</definedName>
    <definedName name="Home_telephone" localSheetId="4">#REF!</definedName>
    <definedName name="Home_telephone" localSheetId="5">#REF!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3">#REF!</definedName>
    <definedName name="Initial" localSheetId="4">#REF!</definedName>
    <definedName name="Initial" localSheetId="5">#REF!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3">#REF!</definedName>
    <definedName name="Postal_Code" localSheetId="4">#REF!</definedName>
    <definedName name="Postal_Code" localSheetId="5">#REF!</definedName>
    <definedName name="Postal_Code">#REF!</definedName>
    <definedName name="_xlnm.Print_Area" localSheetId="1">'Card #1'!$A$1:$K$55</definedName>
    <definedName name="_xlnm.Print_Titles" localSheetId="2">'Control Card #1'!$1:$2</definedName>
    <definedName name="_xlnm.Print_Titles" localSheetId="3">'Control Card #2'!$1:$2</definedName>
    <definedName name="_xlnm.Print_Titles" localSheetId="4">'Control Card #3'!$1:$2</definedName>
    <definedName name="_xlnm.Print_Titles" localSheetId="5">'Control Card #4'!$1:$2</definedName>
    <definedName name="Province_State" localSheetId="1">#REF!</definedName>
    <definedName name="Province_State" localSheetId="3">#REF!</definedName>
    <definedName name="Province_State" localSheetId="4">#REF!</definedName>
    <definedName name="Province_State" localSheetId="5">#REF!</definedName>
    <definedName name="Province_State">#REF!</definedName>
    <definedName name="Start_date">'Control Entry'!$B$12</definedName>
    <definedName name="Start_time">'Control Entry'!$B$13</definedName>
    <definedName name="surname" localSheetId="1">#REF!</definedName>
    <definedName name="surname" localSheetId="3">#REF!</definedName>
    <definedName name="surname" localSheetId="4">#REF!</definedName>
    <definedName name="surname" localSheetId="5">#REF!</definedName>
    <definedName name="surname">#REF!</definedName>
    <definedName name="Work_telephone" localSheetId="1">#REF!</definedName>
    <definedName name="Work_telephone" localSheetId="3">#REF!</definedName>
    <definedName name="Work_telephone" localSheetId="4">#REF!</definedName>
    <definedName name="Work_telephone" localSheetId="5">#REF!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7" l="1"/>
  <c r="G45" i="7"/>
  <c r="G30" i="7"/>
  <c r="L7" i="1"/>
  <c r="E5" i="7" l="1"/>
  <c r="G50" i="7"/>
  <c r="G49" i="7"/>
  <c r="G48" i="7"/>
  <c r="G47" i="7"/>
  <c r="G46" i="7"/>
  <c r="G44" i="7"/>
  <c r="G43" i="7"/>
  <c r="G42" i="7"/>
  <c r="G41" i="7"/>
  <c r="G40" i="7"/>
  <c r="G39" i="7"/>
  <c r="G38" i="7"/>
  <c r="G37" i="7"/>
  <c r="G36" i="7"/>
  <c r="G35" i="7"/>
  <c r="G34" i="7"/>
  <c r="G32" i="7"/>
  <c r="G31" i="7"/>
  <c r="G29" i="7"/>
  <c r="G28" i="7"/>
  <c r="G26" i="7"/>
  <c r="G25" i="7"/>
  <c r="G24" i="7"/>
  <c r="G23" i="7"/>
  <c r="G22"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6" i="7"/>
  <c r="F25" i="7"/>
  <c r="E25" i="7"/>
  <c r="F24" i="7"/>
  <c r="F23" i="7"/>
  <c r="F22" i="7"/>
  <c r="E22" i="7"/>
  <c r="B22" i="7"/>
  <c r="F21" i="7"/>
  <c r="J52" i="7" l="1"/>
  <c r="I12" i="7"/>
  <c r="F12" i="7"/>
  <c r="J2" i="7"/>
  <c r="C54" i="7"/>
  <c r="J3" i="7"/>
  <c r="S3" i="2"/>
  <c r="E4" i="7" l="1"/>
  <c r="M4" i="5" l="1"/>
  <c r="M4" i="4"/>
  <c r="M4" i="3"/>
  <c r="M4" i="2"/>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Q33" i="5"/>
  <c r="Q32" i="5"/>
  <c r="S20" i="5"/>
  <c r="L20" i="5"/>
  <c r="L6" i="5"/>
  <c r="R5" i="5"/>
  <c r="P5" i="5"/>
  <c r="L63" i="1"/>
  <c r="L62" i="1"/>
  <c r="L61" i="1"/>
  <c r="L60" i="1"/>
  <c r="L59" i="1"/>
  <c r="L58" i="1"/>
  <c r="L57" i="1"/>
  <c r="L56" i="1"/>
  <c r="L55" i="1"/>
  <c r="M54" i="1"/>
  <c r="L54" i="1"/>
  <c r="Q33" i="4"/>
  <c r="Q32" i="4"/>
  <c r="Q33" i="3"/>
  <c r="Q32" i="3"/>
  <c r="Q33" i="2"/>
  <c r="Q32" i="2"/>
  <c r="M46" i="1" l="1"/>
  <c r="M47" i="1"/>
  <c r="M48" i="1"/>
  <c r="M49" i="1"/>
  <c r="M50" i="1"/>
  <c r="M41" i="1"/>
  <c r="M33" i="1"/>
  <c r="M34" i="1"/>
  <c r="M35" i="1"/>
  <c r="M36" i="1"/>
  <c r="M37"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16" i="1" l="1"/>
  <c r="O16" i="1" s="1"/>
  <c r="C22" i="7"/>
  <c r="C23" i="7"/>
  <c r="C21" i="7"/>
  <c r="B7" i="1"/>
  <c r="M21" i="1" s="1"/>
  <c r="O21" i="1" s="1"/>
  <c r="O50" i="1"/>
  <c r="N50" i="1"/>
  <c r="N61" i="1"/>
  <c r="N60" i="1"/>
  <c r="N59" i="1"/>
  <c r="N63" i="1"/>
  <c r="N58" i="1"/>
  <c r="N62" i="1"/>
  <c r="M63" i="1"/>
  <c r="O63" i="1" s="1"/>
  <c r="M61" i="1"/>
  <c r="O61" i="1" s="1"/>
  <c r="M59" i="1"/>
  <c r="O59" i="1" s="1"/>
  <c r="M62" i="1"/>
  <c r="O62" i="1" s="1"/>
  <c r="M60" i="1"/>
  <c r="O60" i="1" s="1"/>
  <c r="M58" i="1"/>
  <c r="O58" i="1" s="1"/>
  <c r="M28" i="1"/>
  <c r="O28" i="1" s="1"/>
  <c r="M57" i="1"/>
  <c r="O57" i="1" s="1"/>
  <c r="M55" i="1"/>
  <c r="O55" i="1" s="1"/>
  <c r="M56" i="1"/>
  <c r="O56" i="1"/>
  <c r="N56" i="1"/>
  <c r="N57" i="1"/>
  <c r="N55" i="1"/>
  <c r="O54" i="1"/>
  <c r="N54" i="1"/>
  <c r="M42" i="1"/>
  <c r="M31" i="1"/>
  <c r="M43" i="1"/>
  <c r="O43" i="1" s="1"/>
  <c r="M32" i="1"/>
  <c r="M19" i="1"/>
  <c r="O19" i="1" s="1"/>
  <c r="M44" i="1"/>
  <c r="O44" i="1" s="1"/>
  <c r="M29" i="1"/>
  <c r="M18" i="1"/>
  <c r="O18" i="1" s="1"/>
  <c r="M45" i="1"/>
  <c r="M30" i="1"/>
  <c r="M17" i="1"/>
  <c r="O17" i="1" s="1"/>
  <c r="O46" i="1"/>
  <c r="O45" i="1"/>
  <c r="O47" i="1"/>
  <c r="O48" i="1"/>
  <c r="O49" i="1"/>
  <c r="N48" i="1"/>
  <c r="N42" i="1"/>
  <c r="N47" i="1"/>
  <c r="N43" i="1"/>
  <c r="N45" i="1"/>
  <c r="N49" i="1"/>
  <c r="N46" i="1"/>
  <c r="N44" i="1"/>
  <c r="O42" i="1"/>
  <c r="N41" i="1"/>
  <c r="O41" i="1"/>
  <c r="M15" i="1"/>
  <c r="O15" i="1" s="1"/>
  <c r="N31" i="1"/>
  <c r="B4" i="2"/>
  <c r="N18" i="1"/>
  <c r="N28" i="1"/>
  <c r="N34" i="1"/>
  <c r="N22" i="1"/>
  <c r="O34" i="1"/>
  <c r="B3" i="2"/>
  <c r="O33" i="1"/>
  <c r="B5" i="2"/>
  <c r="N17" i="1"/>
  <c r="N21" i="1"/>
  <c r="N24" i="1"/>
  <c r="N35" i="1"/>
  <c r="O37" i="1"/>
  <c r="N37" i="1"/>
  <c r="N16" i="1"/>
  <c r="N20" i="1"/>
  <c r="N29" i="1"/>
  <c r="N32" i="1"/>
  <c r="N19" i="1"/>
  <c r="N23" i="1"/>
  <c r="N30" i="1"/>
  <c r="N33" i="1"/>
  <c r="N36" i="1"/>
  <c r="O30" i="1"/>
  <c r="O29" i="1"/>
  <c r="O36" i="1"/>
  <c r="O32" i="1"/>
  <c r="O35" i="1"/>
  <c r="O31" i="1"/>
  <c r="M24" i="1" l="1"/>
  <c r="O24" i="1" s="1"/>
  <c r="D50" i="7" s="1"/>
  <c r="M23" i="1"/>
  <c r="O23" i="1" s="1"/>
  <c r="D47" i="7" s="1"/>
  <c r="M20" i="1"/>
  <c r="O20" i="1" s="1"/>
  <c r="D37" i="7" s="1"/>
  <c r="M22" i="1"/>
  <c r="O22" i="1" s="1"/>
  <c r="D44" i="7" s="1"/>
  <c r="D29" i="7"/>
  <c r="D28" i="7"/>
  <c r="D27" i="7"/>
  <c r="B6" i="2"/>
  <c r="C26" i="7"/>
  <c r="C25" i="7"/>
  <c r="C24" i="7"/>
  <c r="D26" i="7"/>
  <c r="D24" i="7"/>
  <c r="D25" i="7"/>
  <c r="B27" i="2"/>
  <c r="C47" i="7"/>
  <c r="C45" i="7"/>
  <c r="C46" i="7"/>
  <c r="C23" i="2"/>
  <c r="D41" i="7"/>
  <c r="D40" i="7"/>
  <c r="D39" i="7"/>
  <c r="B22" i="2"/>
  <c r="C39" i="7"/>
  <c r="C41" i="7"/>
  <c r="C40" i="7"/>
  <c r="B25" i="2"/>
  <c r="C43" i="7"/>
  <c r="C42" i="7"/>
  <c r="C44" i="7"/>
  <c r="B14" i="2"/>
  <c r="C31" i="7"/>
  <c r="C32" i="7"/>
  <c r="C30" i="7"/>
  <c r="C3" i="2"/>
  <c r="D23" i="7"/>
  <c r="D21" i="7"/>
  <c r="D22" i="7"/>
  <c r="B31" i="2"/>
  <c r="C50" i="7"/>
  <c r="C49" i="7"/>
  <c r="C48" i="7"/>
  <c r="B17" i="2"/>
  <c r="C35" i="7"/>
  <c r="C33" i="7"/>
  <c r="C34" i="7"/>
  <c r="B19" i="2"/>
  <c r="C38" i="7"/>
  <c r="C37" i="7"/>
  <c r="C36" i="7"/>
  <c r="B11" i="2"/>
  <c r="C29" i="7"/>
  <c r="C27" i="7"/>
  <c r="C28" i="7"/>
  <c r="C17" i="2"/>
  <c r="D35" i="7"/>
  <c r="D33" i="7"/>
  <c r="D34" i="7"/>
  <c r="D31" i="7"/>
  <c r="D32" i="7"/>
  <c r="D30" i="7"/>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B8" i="2"/>
  <c r="B12" i="2"/>
  <c r="B13" i="2"/>
  <c r="B22" i="3"/>
  <c r="B30" i="3"/>
  <c r="B27" i="3"/>
  <c r="B8" i="3"/>
  <c r="B18" i="3"/>
  <c r="B29" i="2"/>
  <c r="B15" i="2"/>
  <c r="B31" i="3"/>
  <c r="B18" i="2"/>
  <c r="B10" i="3"/>
  <c r="B32" i="2"/>
  <c r="B20" i="2"/>
  <c r="C22" i="3"/>
  <c r="B24" i="3"/>
  <c r="B28" i="3"/>
  <c r="B7" i="3"/>
  <c r="B4" i="3"/>
  <c r="B16" i="2"/>
  <c r="B7" i="2"/>
  <c r="C13" i="2"/>
  <c r="C12" i="2"/>
  <c r="C14" i="2"/>
  <c r="B23" i="3"/>
  <c r="B9" i="2"/>
  <c r="B30"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 r="C32" i="2" l="1"/>
  <c r="C30" i="2"/>
  <c r="C18" i="2"/>
  <c r="D48" i="7"/>
  <c r="D49" i="7"/>
  <c r="D38" i="7"/>
  <c r="C19" i="2"/>
  <c r="D36" i="7"/>
  <c r="C31" i="2"/>
  <c r="C20" i="2"/>
  <c r="D42" i="7"/>
  <c r="C25" i="2"/>
  <c r="D46" i="7"/>
  <c r="C27" i="2"/>
  <c r="C28" i="2"/>
  <c r="C29" i="2"/>
  <c r="D45" i="7"/>
  <c r="D43" i="7"/>
  <c r="C26" i="2"/>
  <c r="C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<sst xmlns="http://schemas.openxmlformats.org/spreadsheetml/2006/main" count="468" uniqueCount="154">
  <si>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</si>
  <si>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</si>
  <si>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</si>
  <si>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</si>
  <si>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</si>
  <si>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</si>
  <si>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</si>
  <si>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</si>
  <si>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</si>
  <si>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</si>
  <si>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</si>
  <si>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</si>
  <si>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</si>
  <si>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</si>
  <si>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</si>
  <si>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</si>
  <si>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</si>
  <si>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</si>
  <si>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</si>
  <si>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</si>
  <si>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</si>
  <si>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</si>
  <si>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</si>
  <si>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</si>
  <si>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</si>
  <si>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</si>
  <si>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</si>
  <si>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</si>
  <si>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</si>
  <si>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</si>
  <si>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</si>
  <si>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</si>
  <si>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</si>
  <si>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</si>
  <si>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</si>
  <si>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</si>
  <si>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</si>
  <si>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</si>
  <si>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</si>
  <si>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</si>
  <si>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</si>
  <si>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</si>
  <si>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</si>
  <si>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</si>
  <si>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</si>
  <si>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</si>
  <si>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</si>
  <si>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</si>
  <si>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</si>
  <si>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</si>
  <si>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</si>
  <si>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</si>
  <si>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</si>
  <si>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</si>
  <si>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</si>
  <si>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</si>
  <si>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</si>
  <si>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</si>
  <si>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</si>
  <si>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</si>
  <si>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</si>
  <si>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</si>
  <si>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</si>
  <si>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</si>
  <si>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</si>
  <si>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</si>
  <si>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</si>
  <si>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</si>
  <si>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</si>
  <si>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</si>
  <si>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</si>
  <si>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</si>
  <si>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</si>
  <si>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</si>
  <si>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</si>
  <si>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</si>
  <si>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</si>
  <si>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</si>
  <si>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</si>
  <si>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</si>
  <si>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</si>
  <si>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</si>
  <si>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</si>
  <si>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</si>
  <si>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</si>
  <si>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</si>
  <si>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</si>
  <si>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</si>
  <si>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</si>
  <si>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</si>
  <si>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</si>
  <si>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</si>
  <si>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</si>
  <si>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</si>
  <si>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</si>
  <si>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</si>
  <si>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</si>
  <si>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</si>
  <si>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</si>
  <si>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</si>
  <si>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</si>
  <si>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</si>
  <si>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Fill in the control distance.  The opening and closing times will be automatically calculated based on the start time and the brevet distance.  If you need more than 10 controls, or need an alternate start loction, use card #2, otherwise leave that section blank. (Similarly for cards #3 and #4.)</t>
  </si>
  <si>
    <t>Galloping Goose &amp; E&amp;N Regional Trails</t>
  </si>
  <si>
    <t>VIEW ROYAL</t>
  </si>
  <si>
    <t>SAANICH</t>
  </si>
  <si>
    <t xml:space="preserve">STAFFED CONTROL </t>
  </si>
  <si>
    <t>INFORMATION CONTROL</t>
  </si>
  <si>
    <t>A RIDE OF REMEMBRANCE</t>
  </si>
  <si>
    <t>VICTORIA</t>
  </si>
  <si>
    <t>Ross Bay Cemetery</t>
  </si>
  <si>
    <t>ESQUIMALT</t>
  </si>
  <si>
    <t>St. Peter and Pauls Church</t>
  </si>
  <si>
    <t>St. Lukes Church Cemetery</t>
  </si>
  <si>
    <t>METCHOSIN</t>
  </si>
  <si>
    <t>Rocky Point Ammunition Depot</t>
  </si>
  <si>
    <t>NORTH SAANICH</t>
  </si>
  <si>
    <t>BRENTWOOD BAY</t>
  </si>
  <si>
    <t>Central Saanich Cenotaph (Pioneer Park)</t>
  </si>
  <si>
    <t>SIDNEY</t>
  </si>
  <si>
    <t>Blue Heron Park Memorial</t>
  </si>
  <si>
    <t>3821 Cedar Hill Cross Rd</t>
  </si>
  <si>
    <t>Mary Winspear Centre Memorial</t>
  </si>
  <si>
    <t>SELF CONTROL</t>
  </si>
  <si>
    <t>1379 Esquimalt Rd, Esquimalt</t>
  </si>
  <si>
    <t>1319 Mills Rd, North Saanich</t>
  </si>
  <si>
    <t>West terminus of Rocky Point Rd</t>
  </si>
  <si>
    <t xml:space="preserve"> W Saanich Rd &amp; Clarke Rd, Brentwood By</t>
  </si>
  <si>
    <t>10710 McDonald Park Rd</t>
  </si>
  <si>
    <t>2243 Beacon Ave, Sidney,</t>
  </si>
  <si>
    <t>Burnside Road &amp; Island Highway</t>
  </si>
  <si>
    <t>Approx. Dallas Rd &amp; St. Charles St lane</t>
  </si>
  <si>
    <t>Self Sign</t>
  </si>
  <si>
    <t>Gen. Pearke's Grave,Holy Trinity Cemetery</t>
  </si>
  <si>
    <r>
      <t>Consecration year? (</t>
    </r>
    <r>
      <rPr>
        <sz val="8"/>
        <rFont val="Arial"/>
        <family val="2"/>
      </rPr>
      <t>Circle correct one</t>
    </r>
    <r>
      <rPr>
        <sz val="10"/>
        <rFont val="Arial"/>
        <family val="2"/>
      </rPr>
      <t>)</t>
    </r>
  </si>
  <si>
    <t>1865   1866    1867</t>
  </si>
  <si>
    <t>Nov 15   Nov 16  Nov 17</t>
  </si>
  <si>
    <t>Date the HMCS Galiano sank?</t>
  </si>
  <si>
    <t>Oct____, 1918</t>
  </si>
  <si>
    <t>3   4   5</t>
  </si>
  <si>
    <t>1  2  3  4</t>
  </si>
  <si>
    <t>19____</t>
  </si>
  <si>
    <t>Date on brass plaque? (Circle correct one)</t>
  </si>
  <si>
    <t>250-588-0021</t>
  </si>
  <si>
    <t xml:space="preserve"> On cenatoph facing pathway</t>
  </si>
  <si>
    <t>How many maple leaves?</t>
  </si>
  <si>
    <t>Constance Emily Thompson</t>
  </si>
  <si>
    <t>1885-______</t>
  </si>
  <si>
    <t>Quote on obelisk author</t>
  </si>
  <si>
    <r>
      <t>Lawrence Bin_</t>
    </r>
    <r>
      <rPr>
        <u/>
        <sz val="10"/>
        <rFont val="Arial"/>
        <family val="2"/>
      </rPr>
      <t>?</t>
    </r>
    <r>
      <rPr>
        <sz val="10"/>
        <rFont val="Arial"/>
        <family val="2"/>
      </rPr>
      <t>__on</t>
    </r>
  </si>
  <si>
    <t>N   S   Y</t>
  </si>
  <si>
    <t>First grave on right</t>
  </si>
  <si>
    <t>BC Lieutenant Governor from 1960-????</t>
  </si>
  <si>
    <t># of 'No Trespassing' signs on 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</si>
</sst>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m/yy\ hh:mm\ AM/PM"/>
    <numFmt numFmtId="165" formatCode="d/mmm/yy"/>
    <numFmt numFmtId="166" formatCode="dddd"/>
    <numFmt numFmtId="167" formatCode="0.0"/>
    <numFmt numFmtId="168" formatCode="mmmm\ d\,\ yyyy"/>
    <numFmt numFmtId="169" formatCode="[&lt;=9999999]###\-####;\(###\)\ ###\-####"/>
    <numFmt numFmtId="170" formatCode="[&lt;=9999999]###\-####;###\-###\-####"/>
  </numFmts>
  <fonts count="41"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20"/>
      <color theme="0" tint="-0.249977111117893"/>
      <name val="Impact"/>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u/>
      <sz val="10"/>
      <name val="Arial"/>
      <family val="2"/>
    </font>
  </fonts>
  <fills count="3">
    <fill>
      <patternFill patternType="none"/>
    </fill>
    <fill>
      <patternFill patternType="gray125"/>
    </fill>
    <fill>
      <patternFill patternType="solid">
        <fgColor indexed="22"/>
        <bgColor indexed="64"/>
      </patternFill>
    </fill>
  </fills>
  <borders count="33">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212">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20" xfId="0" applyBorder="1"/>
    <xf numFmtId="0" fontId="0" fillId="0" borderId="21" xfId="0" applyBorder="1"/>
    <xf numFmtId="0" fontId="0" fillId="0" borderId="17"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5" fontId="31" fillId="0" borderId="4" xfId="0" applyNumberFormat="1" applyFont="1" applyBorder="1" applyAlignment="1" applyProtection="1">
      <alignment horizontal="center"/>
      <protection locked="0"/>
    </xf>
    <xf numFmtId="0" fontId="30" fillId="2" borderId="29" xfId="0" applyFont="1" applyFill="1" applyBorder="1" applyAlignment="1">
      <alignment horizontal="right"/>
    </xf>
    <xf numFmtId="0" fontId="30" fillId="0" borderId="0" xfId="0" applyFont="1"/>
    <xf numFmtId="0" fontId="30"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9" fillId="0" borderId="0" xfId="0" applyFont="1"/>
    <xf numFmtId="0" fontId="10" fillId="0" borderId="0" xfId="0" applyFont="1" applyProtection="1">
      <protection locked="0"/>
    </xf>
    <xf numFmtId="0" fontId="12"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2" fillId="0" borderId="0" xfId="0" applyFont="1" applyAlignment="1">
      <alignment horizontal="right" vertical="center"/>
    </xf>
    <xf numFmtId="0" fontId="5" fillId="0" borderId="0" xfId="0" applyFont="1" applyAlignment="1">
      <alignment horizontal="right"/>
    </xf>
    <xf numFmtId="0" fontId="12" fillId="0" borderId="0" xfId="0" applyFont="1" applyAlignment="1">
      <alignment horizontal="left" vertical="center"/>
    </xf>
    <xf numFmtId="0" fontId="12" fillId="0" borderId="31" xfId="0" applyFont="1" applyBorder="1" applyAlignment="1">
      <alignment horizontal="right" vertical="center"/>
    </xf>
    <xf numFmtId="0" fontId="12" fillId="0" borderId="31" xfId="0" applyFont="1" applyBorder="1" applyAlignment="1">
      <alignment vertical="center"/>
    </xf>
    <xf numFmtId="0" fontId="12" fillId="0" borderId="31"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32" fillId="0" borderId="0" xfId="0" applyFont="1" applyAlignment="1">
      <alignment horizontal="right" vertical="center"/>
    </xf>
    <xf numFmtId="0" fontId="19" fillId="0" borderId="0" xfId="0" applyFont="1" applyAlignment="1">
      <alignment vertical="top"/>
    </xf>
    <xf numFmtId="18" fontId="23" fillId="0" borderId="18" xfId="0" applyNumberFormat="1" applyFont="1" applyBorder="1" applyAlignment="1">
      <alignment horizontal="center" wrapText="1"/>
    </xf>
    <xf numFmtId="0" fontId="32" fillId="0" borderId="0" xfId="0" applyFont="1" applyAlignment="1">
      <alignment horizontal="left" vertical="center"/>
    </xf>
    <xf numFmtId="15" fontId="30"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9"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7" xfId="0" applyFont="1" applyFill="1" applyBorder="1" applyAlignment="1">
      <alignment horizontal="right" vertical="center"/>
    </xf>
    <xf numFmtId="170" fontId="12" fillId="0" borderId="0" xfId="0" applyNumberFormat="1" applyFont="1" applyAlignment="1">
      <alignment vertical="center"/>
    </xf>
    <xf numFmtId="0" fontId="0" fillId="2" borderId="32" xfId="0" applyFill="1" applyBorder="1" applyAlignment="1">
      <alignment horizontal="right"/>
    </xf>
    <xf numFmtId="0" fontId="0" fillId="2" borderId="17" xfId="0" applyFill="1" applyBorder="1"/>
    <xf numFmtId="0" fontId="13" fillId="0" borderId="0" xfId="0" applyFont="1" applyProtection="1">
      <protection locked="0"/>
    </xf>
    <xf numFmtId="0" fontId="36" fillId="0" borderId="0" xfId="0" applyFont="1"/>
    <xf numFmtId="0" fontId="35" fillId="0" borderId="0" xfId="0" applyFont="1"/>
    <xf numFmtId="0" fontId="35" fillId="0" borderId="0" xfId="0" applyFont="1" applyAlignment="1">
      <alignment vertical="top" wrapText="1"/>
    </xf>
    <xf numFmtId="167" fontId="38" fillId="0" borderId="16" xfId="0" applyNumberFormat="1" applyFont="1" applyBorder="1" applyAlignment="1">
      <alignment horizontal="center" wrapText="1"/>
    </xf>
    <xf numFmtId="0" fontId="38" fillId="0" borderId="17" xfId="0" applyFont="1" applyBorder="1" applyAlignment="1">
      <alignment horizontal="center" vertical="center"/>
    </xf>
    <xf numFmtId="0" fontId="39" fillId="0" borderId="16" xfId="0" applyFont="1" applyBorder="1" applyAlignment="1">
      <alignment horizontal="center" vertical="center" wrapText="1"/>
    </xf>
    <xf numFmtId="0" fontId="8" fillId="0" borderId="30" xfId="0" applyFont="1" applyBorder="1"/>
    <xf numFmtId="167" fontId="39" fillId="0" borderId="16" xfId="0" applyNumberFormat="1" applyFont="1" applyBorder="1" applyAlignment="1">
      <alignment horizontal="center" vertical="center"/>
    </xf>
    <xf numFmtId="18" fontId="39" fillId="0" borderId="16" xfId="0" applyNumberFormat="1" applyFont="1" applyBorder="1" applyAlignment="1">
      <alignment horizontal="center" vertical="center" wrapText="1"/>
    </xf>
    <xf numFmtId="0" fontId="8" fillId="0" borderId="16" xfId="0" applyFont="1" applyBorder="1"/>
    <xf numFmtId="167" fontId="38" fillId="0" borderId="7" xfId="0" applyNumberFormat="1" applyFont="1" applyBorder="1"/>
    <xf numFmtId="0" fontId="38" fillId="0" borderId="18" xfId="0" applyFont="1" applyBorder="1" applyAlignment="1">
      <alignment horizontal="center" vertical="center"/>
    </xf>
    <xf numFmtId="0" fontId="8" fillId="0" borderId="7" xfId="0" applyFont="1" applyBorder="1"/>
    <xf numFmtId="0" fontId="38" fillId="0" borderId="16" xfId="0" applyFont="1" applyBorder="1" applyAlignment="1">
      <alignment horizontal="center" vertical="center"/>
    </xf>
    <xf numFmtId="166" fontId="23" fillId="0" borderId="16" xfId="0" applyNumberFormat="1" applyFont="1" applyBorder="1" applyAlignment="1">
      <alignment horizontal="center" vertical="center" wrapText="1"/>
    </xf>
    <xf numFmtId="165" fontId="23" fillId="0" borderId="7" xfId="0" applyNumberFormat="1" applyFont="1" applyBorder="1" applyAlignment="1">
      <alignment horizontal="center" vertical="center" wrapText="1"/>
    </xf>
    <xf numFmtId="49" fontId="30" fillId="0" borderId="4" xfId="0" applyNumberFormat="1" applyFont="1" applyBorder="1" applyAlignment="1" applyProtection="1">
      <alignment horizontal="center"/>
      <protection locked="0"/>
    </xf>
    <xf numFmtId="49" fontId="30" fillId="0" borderId="14" xfId="0" applyNumberFormat="1" applyFont="1" applyBorder="1" applyAlignment="1" applyProtection="1">
      <alignment horizontal="center"/>
      <protection locked="0"/>
    </xf>
    <xf numFmtId="0" fontId="15" fillId="0" borderId="7" xfId="0" applyFont="1" applyBorder="1" applyAlignment="1">
      <alignment horizontal="center" vertical="center" wrapText="1"/>
    </xf>
    <xf numFmtId="170" fontId="5" fillId="0" borderId="27" xfId="0" applyNumberFormat="1" applyFont="1" applyBorder="1" applyAlignment="1" applyProtection="1">
      <alignment horizontal="left"/>
      <protection locked="0"/>
    </xf>
    <xf numFmtId="0" fontId="29" fillId="0" borderId="0" xfId="0" applyFont="1" applyAlignment="1">
      <alignment horizontal="center"/>
    </xf>
    <xf numFmtId="0" fontId="13" fillId="0" borderId="27" xfId="0" applyFont="1" applyBorder="1" applyAlignment="1" applyProtection="1">
      <alignment horizontal="center"/>
      <protection locked="0"/>
    </xf>
    <xf numFmtId="0" fontId="35" fillId="0" borderId="0" xfId="0" applyFont="1" applyAlignment="1">
      <alignment horizontal="left" vertical="top" wrapText="1"/>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4"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9" fillId="0" borderId="19"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0" borderId="21"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33"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21"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7"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8"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167" fontId="12" fillId="0" borderId="20" xfId="0" applyNumberFormat="1" applyFont="1" applyBorder="1" applyAlignment="1">
      <alignment horizontal="center" vertical="center"/>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6" fillId="0" borderId="0" xfId="0" applyFont="1" applyAlignment="1">
      <alignment horizontal="center" wrapText="1"/>
    </xf>
    <xf numFmtId="0" fontId="5" fillId="0" borderId="0" xfId="0" applyFont="1" applyAlignment="1">
      <alignment horizontal="right" vertical="top"/>
    </xf>
    <xf numFmtId="0" fontId="0" fillId="0" borderId="0" xfId="0" applyAlignment="1">
      <alignment horizontal="right" vertical="top"/>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showGridLines="0" tabSelected="1" zoomScale="140" zoomScaleNormal="140" zoomScalePageLayoutView="135" workbookViewId="0">
      <selection activeCell="D4" sqref="D4"/>
    </sheetView>
  </sheetViews>
  <sheetFormatPr defaultColWidth="8.77734375" defaultRowHeight="13.2" x14ac:dyDescent="0.25"/>
  <cols>
    <col min="1" max="1" width="16.44140625" style="2" customWidth="1"/>
    <col min="2" max="2" width="10.77734375" customWidth="1"/>
    <col min="3" max="3" width="1" style="3" hidden="1" customWidth="1"/>
    <col min="4" max="4" width="8.33203125" customWidth="1"/>
    <col min="5" max="5" width="17" bestFit="1" customWidth="1"/>
    <col min="6" max="11" width="34.109375" customWidth="1"/>
    <col min="12" max="15" width="17.77734375" hidden="1" customWidth="1"/>
    <col min="16" max="16" width="2.109375" customWidth="1"/>
  </cols>
  <sheetData>
    <row r="1" spans="1:33" ht="19.95" customHeight="1" x14ac:dyDescent="0.35">
      <c r="A1" s="147" t="s">
        <v>88</v>
      </c>
      <c r="B1" s="147"/>
      <c r="C1" s="147"/>
      <c r="D1" s="147"/>
      <c r="E1" s="147"/>
      <c r="F1" s="147"/>
      <c r="G1" s="147"/>
      <c r="H1" s="75" t="s">
        <v>82</v>
      </c>
      <c r="Q1" s="149" t="s">
        <v>86</v>
      </c>
      <c r="R1" s="149"/>
      <c r="S1" s="149"/>
      <c r="T1" s="149"/>
      <c r="U1" s="149"/>
      <c r="V1" s="149"/>
      <c r="W1" s="149"/>
      <c r="X1" s="149"/>
      <c r="Y1" s="149"/>
      <c r="Z1" s="149"/>
      <c r="AA1" s="149"/>
      <c r="AB1" s="149"/>
      <c r="AC1" s="149"/>
      <c r="AD1" s="149"/>
      <c r="AE1" s="149"/>
      <c r="AF1" s="149"/>
      <c r="AG1" s="129"/>
    </row>
    <row r="2" spans="1:33" ht="13.05" customHeight="1" thickBot="1" x14ac:dyDescent="0.3">
      <c r="H2" s="81"/>
      <c r="I2" s="81"/>
      <c r="Q2" s="149"/>
      <c r="R2" s="149"/>
      <c r="S2" s="149"/>
      <c r="T2" s="149"/>
      <c r="U2" s="149"/>
      <c r="V2" s="149"/>
      <c r="W2" s="149"/>
      <c r="X2" s="149"/>
      <c r="Y2" s="149"/>
      <c r="Z2" s="149"/>
      <c r="AA2" s="149"/>
      <c r="AB2" s="149"/>
      <c r="AC2" s="149"/>
      <c r="AD2" s="149"/>
      <c r="AE2" s="149"/>
      <c r="AF2" s="149"/>
      <c r="AG2" s="129"/>
    </row>
    <row r="3" spans="1:33" s="92" customFormat="1" ht="13.05" customHeight="1" thickBot="1" x14ac:dyDescent="0.25">
      <c r="A3" s="91" t="s">
        <v>81</v>
      </c>
      <c r="B3" s="114">
        <v>45167</v>
      </c>
      <c r="H3" s="93"/>
      <c r="I3" s="93"/>
      <c r="Q3" s="149"/>
      <c r="R3" s="149"/>
      <c r="S3" s="149"/>
      <c r="T3" s="149"/>
      <c r="U3" s="149"/>
      <c r="V3" s="149"/>
      <c r="W3" s="149"/>
      <c r="X3" s="149"/>
      <c r="Y3" s="149"/>
      <c r="Z3" s="149"/>
      <c r="AA3" s="149"/>
      <c r="AB3" s="149"/>
      <c r="AC3" s="149"/>
      <c r="AD3" s="149"/>
      <c r="AE3" s="149"/>
      <c r="AF3" s="149"/>
      <c r="AG3" s="129"/>
    </row>
    <row r="4" spans="1:33" ht="13.05" customHeight="1" x14ac:dyDescent="0.25">
      <c r="A4" s="79" t="s">
        <v>83</v>
      </c>
      <c r="B4" s="90">
        <v>45237</v>
      </c>
      <c r="C4"/>
      <c r="H4" s="81"/>
      <c r="I4" s="81"/>
      <c r="Q4" s="149"/>
      <c r="R4" s="149"/>
      <c r="S4" s="149"/>
      <c r="T4" s="149"/>
      <c r="U4" s="149"/>
      <c r="V4" s="149"/>
      <c r="W4" s="149"/>
      <c r="X4" s="149"/>
      <c r="Y4" s="149"/>
      <c r="Z4" s="149"/>
      <c r="AA4" s="149"/>
      <c r="AB4" s="149"/>
      <c r="AC4" s="149"/>
      <c r="AD4" s="149"/>
      <c r="AE4" s="149"/>
      <c r="AF4" s="149"/>
      <c r="AG4" s="129"/>
    </row>
    <row r="5" spans="1:33" ht="7.05" customHeight="1" thickBot="1" x14ac:dyDescent="0.3">
      <c r="H5" s="81"/>
      <c r="I5" s="81"/>
      <c r="Q5" s="129"/>
      <c r="R5" s="129"/>
      <c r="S5" s="129"/>
      <c r="T5" s="129"/>
      <c r="U5" s="129"/>
      <c r="V5" s="129"/>
      <c r="W5" s="129"/>
      <c r="X5" s="129"/>
      <c r="Y5" s="129"/>
      <c r="Z5" s="129"/>
      <c r="AA5" s="129"/>
      <c r="AB5" s="129"/>
      <c r="AC5" s="129"/>
      <c r="AD5" s="129"/>
      <c r="AE5" s="129"/>
      <c r="AF5" s="129"/>
      <c r="AG5" s="129"/>
    </row>
    <row r="6" spans="1:33" ht="18" x14ac:dyDescent="0.35">
      <c r="A6" s="11" t="s">
        <v>18</v>
      </c>
      <c r="B6" s="59">
        <v>200</v>
      </c>
      <c r="C6">
        <f>IF(Brevet_Length&gt;=1200,Brevet_Length,IF(Brevet_Length&gt;=1000,1000,IF(Brevet_Length&gt;=600,600,IF(Brevet_Length&gt;=400,400,IF(Brevet_Length&gt;=300,300,IF(Brevet_Length&gt;=200,200,100))))))</f>
        <v>200</v>
      </c>
      <c r="J6" s="153" t="s">
        <v>63</v>
      </c>
      <c r="K6" s="153"/>
      <c r="Q6" s="127" t="s">
        <v>64</v>
      </c>
      <c r="R6" s="127"/>
      <c r="S6" s="127"/>
      <c r="T6" s="127"/>
      <c r="U6" s="127"/>
      <c r="V6" s="127"/>
      <c r="W6" s="127"/>
      <c r="X6" s="128"/>
      <c r="Y6" s="128"/>
      <c r="Z6" s="128"/>
    </row>
    <row r="7" spans="1:33" ht="13.8" x14ac:dyDescent="0.25">
      <c r="A7" s="12" t="s">
        <v>19</v>
      </c>
      <c r="B7" s="125">
        <f>IF(brevet=1200,90,IF(brevet=1000,75,IF(brevet=600,40,IF(brevet=400,27,IF(brevet=300,20,IF(brevet=200,13.5,IF(brevet&lt;200,L7,0)))))))</f>
        <v>13.5</v>
      </c>
      <c r="L7">
        <f>IF(Brevet_Length=150,10.5,IF(Brevet_Length=100,7,IF(Brevet_Length=50,3.5,IF(Brevet_Length=25, 2,0))))</f>
        <v>0</v>
      </c>
      <c r="Q7" s="128" t="s">
        <v>65</v>
      </c>
      <c r="R7" s="128"/>
      <c r="S7" s="128"/>
      <c r="T7" s="128"/>
      <c r="U7" s="128"/>
      <c r="V7" s="128"/>
      <c r="W7" s="128"/>
      <c r="X7" s="128"/>
      <c r="Y7" s="128"/>
      <c r="Z7" s="128"/>
    </row>
    <row r="8" spans="1:33" ht="18" x14ac:dyDescent="0.35">
      <c r="A8" s="124" t="s">
        <v>20</v>
      </c>
      <c r="B8" s="148" t="s">
        <v>108</v>
      </c>
      <c r="C8" s="148"/>
      <c r="D8" s="148"/>
      <c r="E8" s="148"/>
      <c r="F8" s="148"/>
      <c r="G8" s="126"/>
      <c r="H8" s="126"/>
      <c r="I8" s="23"/>
      <c r="J8" s="23"/>
      <c r="K8" s="23"/>
      <c r="Q8" s="127" t="s">
        <v>66</v>
      </c>
      <c r="R8" s="128"/>
      <c r="S8" s="128"/>
      <c r="T8" s="128"/>
      <c r="U8" s="128"/>
      <c r="V8" s="128"/>
      <c r="W8" s="128"/>
      <c r="X8" s="128"/>
      <c r="Y8" s="128"/>
      <c r="Z8" s="128"/>
    </row>
    <row r="9" spans="1:33" ht="18" x14ac:dyDescent="0.35">
      <c r="A9" s="12" t="s">
        <v>21</v>
      </c>
      <c r="B9" s="60">
        <v>5279</v>
      </c>
      <c r="C9" s="20"/>
      <c r="F9" s="21"/>
      <c r="G9" s="21"/>
      <c r="H9" s="21"/>
      <c r="I9" s="21"/>
      <c r="J9" s="21"/>
      <c r="K9" s="21"/>
      <c r="Q9" s="127" t="s">
        <v>67</v>
      </c>
      <c r="R9" s="128"/>
      <c r="S9" s="128"/>
      <c r="T9" s="128"/>
      <c r="U9" s="128"/>
      <c r="V9" s="128"/>
      <c r="W9" s="128"/>
      <c r="X9" s="128"/>
      <c r="Y9" s="128"/>
      <c r="Z9" s="128"/>
    </row>
    <row r="10" spans="1:33" ht="18" x14ac:dyDescent="0.35">
      <c r="A10" s="42" t="s">
        <v>48</v>
      </c>
      <c r="B10" s="61">
        <v>45241</v>
      </c>
      <c r="E10" s="122" t="s">
        <v>99</v>
      </c>
      <c r="F10" s="146" t="s">
        <v>143</v>
      </c>
      <c r="Q10" s="127" t="s">
        <v>68</v>
      </c>
      <c r="R10" s="128"/>
      <c r="S10" s="128"/>
      <c r="T10" s="128"/>
      <c r="U10" s="128"/>
      <c r="V10" s="128"/>
      <c r="W10" s="128"/>
      <c r="X10" s="128"/>
      <c r="Y10" s="128"/>
      <c r="Z10" s="128"/>
    </row>
    <row r="11" spans="1:33" ht="6" customHeight="1" x14ac:dyDescent="0.25">
      <c r="B11" s="82"/>
      <c r="Q11" s="128"/>
      <c r="R11" s="128"/>
      <c r="S11" s="128"/>
      <c r="T11" s="128"/>
      <c r="U11" s="128"/>
      <c r="V11" s="128"/>
      <c r="W11" s="128"/>
      <c r="X11" s="128"/>
      <c r="Y11" s="128"/>
      <c r="Z11" s="128"/>
    </row>
    <row r="12" spans="1:33" ht="18" customHeight="1" thickBot="1" x14ac:dyDescent="0.4">
      <c r="A12" s="77" t="s">
        <v>22</v>
      </c>
      <c r="B12" s="78">
        <v>45241</v>
      </c>
      <c r="Q12" s="127" t="s">
        <v>75</v>
      </c>
      <c r="R12" s="128"/>
      <c r="S12" s="128"/>
      <c r="T12" s="128"/>
      <c r="U12" s="128"/>
      <c r="V12" s="128"/>
      <c r="W12" s="128"/>
      <c r="X12" s="128"/>
      <c r="Y12" s="128"/>
      <c r="Z12" s="128"/>
    </row>
    <row r="13" spans="1:33" ht="18.600000000000001" thickBot="1" x14ac:dyDescent="0.4">
      <c r="A13" s="10" t="s">
        <v>23</v>
      </c>
      <c r="B13" s="62">
        <v>0.29166666666666669</v>
      </c>
      <c r="D13" s="150" t="s">
        <v>80</v>
      </c>
      <c r="E13" s="151"/>
      <c r="F13" s="151"/>
      <c r="G13" s="151"/>
      <c r="H13" s="151"/>
      <c r="I13" s="154" t="s">
        <v>70</v>
      </c>
      <c r="J13" s="151"/>
      <c r="K13" s="152"/>
      <c r="Q13" s="127" t="s">
        <v>74</v>
      </c>
      <c r="R13" s="128"/>
      <c r="S13" s="128"/>
      <c r="T13" s="128"/>
      <c r="U13" s="128"/>
      <c r="V13" s="128"/>
      <c r="W13" s="128"/>
      <c r="X13" s="128"/>
      <c r="Y13" s="128"/>
      <c r="Z13" s="128"/>
    </row>
    <row r="14" spans="1:33" ht="15" thickBot="1" x14ac:dyDescent="0.35">
      <c r="D14" s="6" t="s">
        <v>24</v>
      </c>
      <c r="E14" s="7" t="s">
        <v>25</v>
      </c>
      <c r="F14" s="53" t="s">
        <v>26</v>
      </c>
      <c r="G14" s="53" t="s">
        <v>27</v>
      </c>
      <c r="H14" s="54" t="s">
        <v>28</v>
      </c>
      <c r="I14" s="7" t="s">
        <v>60</v>
      </c>
      <c r="J14" s="7" t="s">
        <v>61</v>
      </c>
      <c r="K14" s="8" t="s">
        <v>62</v>
      </c>
      <c r="L14" t="s">
        <v>3</v>
      </c>
      <c r="M14" t="s">
        <v>4</v>
      </c>
      <c r="N14" t="s">
        <v>5</v>
      </c>
      <c r="O14" t="s">
        <v>6</v>
      </c>
      <c r="Q14" s="127" t="s">
        <v>100</v>
      </c>
      <c r="R14" s="128"/>
      <c r="S14" s="128"/>
      <c r="T14" s="128"/>
      <c r="U14" s="128"/>
      <c r="V14" s="128"/>
      <c r="W14" s="128"/>
      <c r="X14" s="128"/>
      <c r="Y14" s="128"/>
      <c r="Z14" s="128"/>
    </row>
    <row r="15" spans="1:33" ht="16.95" customHeight="1" x14ac:dyDescent="0.25">
      <c r="C15" s="3" t="s">
        <v>7</v>
      </c>
      <c r="D15" s="22">
        <v>0</v>
      </c>
      <c r="E15" s="64" t="s">
        <v>104</v>
      </c>
      <c r="F15" s="65" t="s">
        <v>106</v>
      </c>
      <c r="G15" s="144" t="s">
        <v>103</v>
      </c>
      <c r="H15" s="66" t="s">
        <v>130</v>
      </c>
      <c r="I15" s="65"/>
      <c r="J15" s="65"/>
      <c r="K15" s="66"/>
      <c r="L15" s="4">
        <f>Start_date+Start_time</f>
        <v>45241.291666666664</v>
      </c>
      <c r="M15" s="4">
        <f>L15+"1:00"</f>
        <v>45241.333333333328</v>
      </c>
      <c r="N15" s="5">
        <f>IF(ISBLANK(Distance),"",Open Control_1)</f>
        <v>45241.291666666664</v>
      </c>
      <c r="O15" s="5">
        <f>IF(ISBLANK(Distance),"",Close Control_1)</f>
        <v>45241.333333333328</v>
      </c>
      <c r="Q15" s="127" t="s">
        <v>102</v>
      </c>
      <c r="R15" s="128"/>
      <c r="S15" s="128"/>
      <c r="T15" s="128"/>
      <c r="U15" s="128"/>
      <c r="V15" s="128"/>
      <c r="W15" s="128"/>
      <c r="X15" s="128"/>
      <c r="Y15" s="128"/>
      <c r="Z15" s="128"/>
    </row>
    <row r="16" spans="1:33" ht="16.95" customHeight="1" x14ac:dyDescent="0.25">
      <c r="B16" s="70"/>
      <c r="C16" s="3" t="s">
        <v>8</v>
      </c>
      <c r="D16" s="22">
        <v>14.3</v>
      </c>
      <c r="E16" s="64" t="s">
        <v>109</v>
      </c>
      <c r="F16" s="65" t="s">
        <v>107</v>
      </c>
      <c r="G16" s="144" t="s">
        <v>110</v>
      </c>
      <c r="H16" s="66" t="s">
        <v>131</v>
      </c>
      <c r="I16" s="65" t="s">
        <v>137</v>
      </c>
      <c r="J16" s="65"/>
      <c r="K16" s="65" t="s">
        <v>138</v>
      </c>
      <c r="L16">
        <f>IF(ISBLANK(Distance),"",IF(Distance&gt;1000,(Distance-1000)/26+33.0847,(IF(Distance&gt;600,(Distance-600)/28+18.799,(IF(Distance&gt;400,(Distance-400)/30+12.1324,(IF(Distance&gt;200,(Distance-200)/32+5.8824,Distance/34))))))))</f>
        <v>0.42058823529411765</v>
      </c>
      <c r="M16">
        <f>IF(ISBLANK(Distance),"",IF(Distance&gt;=brevet,D16200IF(brevet&gt;1200,(brevet-1200)*75/1000+90,Max_time),IF(Distance&gt;1200,(Distance-1200)*75/1000+90,IF(Distance&gt;1000,(Distance-1000)/(1000/75)+75,IF(Distance&gt;600,(Distance-600)/(400/35)+40,IF(Distance&lt;=60,(Distance/20+1),Distance/15))))))</f>
        <v>1.7150000000000001</v>
      </c>
      <c r="N16" s="5">
        <f>IF(ISBLANK(Distance),"",Open_time Control_1+(INT(Open)&amp;":"&amp;IF(ROUND(((Open-INT(Open))*60),0)&lt;10,0,"")&amp;ROUND(((Open-INT(Open))*60),0)))</f>
        <v>45241.309027777774</v>
      </c>
      <c r="O16" s="5">
        <f>IF(ISBLANK(Distance),"",Open_time Control_1+(INT(Close)&amp;":"&amp;IF(ROUND(((Close-INT(Close))*60),0)&lt;10,0,"")&amp;ROUND(((Close-INT(Close))*60),0)))</f>
        <v>45241.363194444442</v>
      </c>
      <c r="Q16" s="127" t="s">
        <v>101</v>
      </c>
      <c r="R16" s="128"/>
      <c r="S16" s="128"/>
      <c r="T16" s="128"/>
      <c r="U16" s="128"/>
      <c r="V16" s="128"/>
      <c r="W16" s="128"/>
      <c r="X16" s="128"/>
      <c r="Y16" s="128"/>
      <c r="Z16" s="128"/>
    </row>
    <row r="17" spans="2:26" ht="16.95" customHeight="1" x14ac:dyDescent="0.25">
      <c r="B17" s="70"/>
      <c r="C17" s="3" t="s">
        <v>9</v>
      </c>
      <c r="D17" s="22">
        <v>27.2</v>
      </c>
      <c r="E17" s="64" t="s">
        <v>105</v>
      </c>
      <c r="F17" s="65" t="s">
        <v>107</v>
      </c>
      <c r="G17" s="144" t="s">
        <v>113</v>
      </c>
      <c r="H17" s="66" t="s">
        <v>121</v>
      </c>
      <c r="I17" s="65" t="s">
        <v>151</v>
      </c>
      <c r="J17" s="65" t="s">
        <v>146</v>
      </c>
      <c r="K17" s="66" t="s">
        <v>147</v>
      </c>
      <c r="L17">
        <f>IF(ISBLANK(Distance),"",IF(Distance&gt;1000,(Distance-1000)/26+33.0847,(IF(Distance&gt;600,(Distance-600)/28+18.799,(IF(Distance&gt;400,(Distance-400)/30+12.1324,(IF(Distance&gt;200,(Distance-200)/32+5.8824,Distance/34))))))))</f>
        <v>0.79999999999999993</v>
      </c>
      <c r="M17">
        <f t="shared" ref="M17:M24" si="0">IF(ISBLANK(Distance),"",IF(Distance&gt;=brevet,IF(brevet&gt;1200,(brevet-1200)*75/1000+90,Max_time),IF(Distance&gt;1200,(Distance-1200)*75/1000+90,IF(Distance&gt;1000,(Distance-1000)/(1000/75)+75,IF(Distance&gt;600,(Distance-600)/(400/35)+40,IF(Distance&lt;=60,(Distance/20+1),Distance/15))))))</f>
        <v>2.36</v>
      </c>
      <c r="N17" s="5">
        <f>IF(ISBLANK(Distance),"",Open_time Control_1+(INT(Open)&amp;":"&amp;IF(ROUND(((Open-INT(Open))*60),0)&lt;10,0,"")&amp;ROUND(((Open-INT(Open))*60),0)))</f>
        <v>45241.324999999997</v>
      </c>
      <c r="O17" s="5">
        <f>IF(ISBLANK(Distance),"",Open_time Control_1+(INT(Close)&amp;":"&amp;IF(ROUND(((Close-INT(Close))*60),0)&lt;10,0,"")&amp;ROUND(((Close-INT(Close))*60),0)))</f>
        <v>45241.390277777777</v>
      </c>
      <c r="Q17" s="127" t="s">
        <v>69</v>
      </c>
      <c r="R17" s="128"/>
      <c r="S17" s="128"/>
      <c r="T17" s="128"/>
      <c r="U17" s="128"/>
      <c r="V17" s="128"/>
      <c r="W17" s="128"/>
      <c r="X17" s="128"/>
      <c r="Y17" s="128"/>
      <c r="Z17" s="128"/>
    </row>
    <row r="18" spans="2:26" ht="16.95" customHeight="1" x14ac:dyDescent="0.25">
      <c r="B18" s="70"/>
      <c r="C18" s="3" t="s">
        <v>10</v>
      </c>
      <c r="D18" s="22">
        <v>44.2</v>
      </c>
      <c r="E18" s="64" t="s">
        <v>111</v>
      </c>
      <c r="F18" s="65" t="s">
        <v>107</v>
      </c>
      <c r="G18" s="144" t="s">
        <v>112</v>
      </c>
      <c r="H18" s="66" t="s">
        <v>124</v>
      </c>
      <c r="I18" s="65" t="s">
        <v>134</v>
      </c>
      <c r="J18" s="65"/>
      <c r="K18" s="65" t="s">
        <v>135</v>
      </c>
      <c r="L18">
        <f t="shared" ref="L18:L24" si="1">IF(ISBLANK(Distance),"",IF(Distance&gt;1000,(Distance-1000)/26+33.0847,(IF(Distance&gt;600,(Distance-600)/28+18.799,(IF(Distance&gt;400,(Distance-400)/30+12.1324,(IF(Distance&gt;200,(Distance-200)/32+5.8824,Distance/34))))))))</f>
        <v>1.3</v>
      </c>
      <c r="M18">
        <f t="shared" si="0"/>
        <v>3.21</v>
      </c>
      <c r="N18" s="5">
        <f>IF(ISBLANK(Distance),"",Open_time Control_1+(INT(Open)&amp;":"&amp;IF(ROUND(((Open-INT(Open))*60),0)&lt;10,0,"")&amp;ROUND(((Open-INT(Open))*60),0)))</f>
        <v>45241.345833333333</v>
      </c>
      <c r="O18" s="5">
        <f>IF(ISBLANK(Distance),"",Open_time Control_1+(INT(Close)&amp;":"&amp;IF(ROUND(((Close-INT(Close))*60),0)&lt;10,0,"")&amp;ROUND(((Close-INT(Close))*60),0)))</f>
        <v>45241.425694444442</v>
      </c>
    </row>
    <row r="19" spans="2:26" ht="16.95" customHeight="1" x14ac:dyDescent="0.25">
      <c r="B19" s="70"/>
      <c r="C19" s="3" t="s">
        <v>11</v>
      </c>
      <c r="D19" s="22">
        <v>71.7</v>
      </c>
      <c r="E19" s="64" t="s">
        <v>114</v>
      </c>
      <c r="F19" s="65" t="s">
        <v>107</v>
      </c>
      <c r="G19" s="144" t="s">
        <v>115</v>
      </c>
      <c r="H19" s="66" t="s">
        <v>126</v>
      </c>
      <c r="I19" s="65" t="s">
        <v>153</v>
      </c>
      <c r="J19" s="65"/>
      <c r="K19" s="65" t="s">
        <v>139</v>
      </c>
      <c r="L19">
        <f t="shared" si="1"/>
        <v>2.1088235294117648</v>
      </c>
      <c r="M19">
        <f t="shared" si="0"/>
        <v>4.78</v>
      </c>
      <c r="N19" s="5">
        <f>IF(ISBLANK(Distance),"",Open_time Control_1+(INT(Open)&amp;":"&amp;IF(ROUND(((Open-INT(Open))*60),0)&lt;10,0,"")&amp;ROUND(((Open-INT(Open))*60),0)))</f>
        <v>45241.379861111105</v>
      </c>
      <c r="O19" s="5">
        <f>IF(ISBLANK(Distance),"",Open_time Control_1+(INT(Close)&amp;":"&amp;IF(ROUND(((Close-INT(Close))*60),0)&lt;10,0,"")&amp;ROUND(((Close-INT(Close))*60),0)))</f>
        <v>45241.490972222222</v>
      </c>
      <c r="Q19" s="75"/>
    </row>
    <row r="20" spans="2:26" ht="16.95" customHeight="1" x14ac:dyDescent="0.25">
      <c r="B20" s="70"/>
      <c r="C20" s="3" t="s">
        <v>12</v>
      </c>
      <c r="D20" s="22">
        <v>127.7</v>
      </c>
      <c r="E20" s="64" t="s">
        <v>116</v>
      </c>
      <c r="F20" s="65" t="s">
        <v>107</v>
      </c>
      <c r="G20" s="144" t="s">
        <v>133</v>
      </c>
      <c r="H20" s="66" t="s">
        <v>125</v>
      </c>
      <c r="I20" s="65" t="s">
        <v>152</v>
      </c>
      <c r="J20" s="65"/>
      <c r="K20" s="65" t="s">
        <v>141</v>
      </c>
      <c r="L20">
        <f t="shared" si="1"/>
        <v>3.7558823529411764</v>
      </c>
      <c r="M20">
        <f t="shared" si="0"/>
        <v>8.5133333333333336</v>
      </c>
      <c r="N20" s="5">
        <f>IF(ISBLANK(Distance),"",Open_time Control_1+(INT(Open)&amp;":"&amp;IF(ROUND(((Open-INT(Open))*60),0)&lt;10,0,"")&amp;ROUND(((Open-INT(Open))*60),0)))</f>
        <v>45241.447916666664</v>
      </c>
      <c r="O20" s="5">
        <f>IF(ISBLANK(Distance),"",Open_time Control_1+(INT(Close)&amp;":"&amp;IF(ROUND(((Close-INT(Close))*60),0)&lt;10,0,"")&amp;ROUND(((Close-INT(Close))*60),0)))</f>
        <v>45241.646527777775</v>
      </c>
    </row>
    <row r="21" spans="2:26" ht="16.95" customHeight="1" x14ac:dyDescent="0.25">
      <c r="B21" s="70"/>
      <c r="C21" s="3" t="s">
        <v>13</v>
      </c>
      <c r="D21" s="22">
        <v>138.4</v>
      </c>
      <c r="E21" s="64" t="s">
        <v>117</v>
      </c>
      <c r="F21" s="65" t="s">
        <v>107</v>
      </c>
      <c r="G21" s="144" t="s">
        <v>118</v>
      </c>
      <c r="H21" s="143" t="s">
        <v>127</v>
      </c>
      <c r="I21" s="144" t="s">
        <v>144</v>
      </c>
      <c r="J21" s="65" t="s">
        <v>145</v>
      </c>
      <c r="K21" s="65" t="s">
        <v>140</v>
      </c>
      <c r="L21">
        <f t="shared" si="1"/>
        <v>4.0705882352941174</v>
      </c>
      <c r="M21">
        <f t="shared" si="0"/>
        <v>9.2266666666666666</v>
      </c>
      <c r="N21" s="5">
        <f>IF(ISBLANK(Distance),"",Open_time Control_1+(INT(Open)&amp;":"&amp;IF(ROUND(((Open-INT(Open))*60),0)&lt;10,0,"")&amp;ROUND(((Open-INT(Open))*60),0)))</f>
        <v>45241.461111111108</v>
      </c>
      <c r="O21" s="5">
        <f>IF(ISBLANK(Distance),"",Open_time Control_1+(INT(Close)&amp;":"&amp;IF(ROUND(((Close-INT(Close))*60),0)&lt;10,0,"")&amp;ROUND(((Close-INT(Close))*60),0)))</f>
        <v>45241.676388888889</v>
      </c>
    </row>
    <row r="22" spans="2:26" ht="16.95" customHeight="1" x14ac:dyDescent="0.25">
      <c r="B22" s="70"/>
      <c r="C22" s="3" t="s">
        <v>14</v>
      </c>
      <c r="D22" s="22">
        <v>162.80000000000001</v>
      </c>
      <c r="E22" s="64" t="s">
        <v>116</v>
      </c>
      <c r="F22" s="65" t="s">
        <v>107</v>
      </c>
      <c r="G22" s="144" t="s">
        <v>120</v>
      </c>
      <c r="H22" s="66" t="s">
        <v>128</v>
      </c>
      <c r="I22" s="65" t="s">
        <v>142</v>
      </c>
      <c r="J22" s="65"/>
      <c r="K22" s="65" t="s">
        <v>136</v>
      </c>
      <c r="L22">
        <f t="shared" si="1"/>
        <v>4.7882352941176478</v>
      </c>
      <c r="M22">
        <f t="shared" si="0"/>
        <v>10.853333333333333</v>
      </c>
      <c r="N22" s="5">
        <f>IF(ISBLANK(Distance),"",Open_time Control_1+(INT(Open)&amp;":"&amp;IF(ROUND(((Open-INT(Open))*60),0)&lt;10,0,"")&amp;ROUND(((Open-INT(Open))*60),0)))</f>
        <v>45241.490972222222</v>
      </c>
      <c r="O22" s="5">
        <f>IF(ISBLANK(Distance),"",Open_time Control_1+(INT(Close)&amp;":"&amp;IF(ROUND(((Close-INT(Close))*60),0)&lt;10,0,"")&amp;ROUND(((Close-INT(Close))*60),0)))</f>
        <v>45241.743749999994</v>
      </c>
    </row>
    <row r="23" spans="2:26" ht="16.95" customHeight="1" x14ac:dyDescent="0.25">
      <c r="B23" s="70"/>
      <c r="C23" s="3" t="s">
        <v>15</v>
      </c>
      <c r="D23" s="22">
        <v>166.2</v>
      </c>
      <c r="E23" s="64" t="s">
        <v>119</v>
      </c>
      <c r="F23" s="65" t="s">
        <v>107</v>
      </c>
      <c r="G23" s="144" t="s">
        <v>122</v>
      </c>
      <c r="H23" s="66" t="s">
        <v>129</v>
      </c>
      <c r="I23" s="65" t="s">
        <v>148</v>
      </c>
      <c r="J23" s="65" t="s">
        <v>149</v>
      </c>
      <c r="K23" s="65" t="s">
        <v>150</v>
      </c>
      <c r="L23">
        <f t="shared" si="1"/>
        <v>4.8882352941176466</v>
      </c>
      <c r="M23">
        <f t="shared" si="0"/>
        <v>11.08</v>
      </c>
      <c r="N23" s="5">
        <f>IF(ISBLANK(Distance),"",Open_time Control_1+(INT(Open)&amp;":"&amp;IF(ROUND(((Open-INT(Open))*60),0)&lt;10,0,"")&amp;ROUND(((Open-INT(Open))*60),0)))</f>
        <v>45241.495138888888</v>
      </c>
      <c r="O23" s="5">
        <f>IF(ISBLANK(Distance),"",Open_time Control_1+(INT(Close)&amp;":"&amp;IF(ROUND(((Close-INT(Close))*60),0)&lt;10,0,"")&amp;ROUND(((Close-INT(Close))*60),0)))</f>
        <v>45241.753472222219</v>
      </c>
    </row>
    <row r="24" spans="2:26" ht="16.95" customHeight="1" thickBot="1" x14ac:dyDescent="0.3">
      <c r="B24" s="70"/>
      <c r="C24" s="3" t="s">
        <v>16</v>
      </c>
      <c r="D24" s="46">
        <v>201.3</v>
      </c>
      <c r="E24" s="67" t="s">
        <v>104</v>
      </c>
      <c r="F24" s="65" t="s">
        <v>123</v>
      </c>
      <c r="G24" s="144" t="s">
        <v>103</v>
      </c>
      <c r="H24" s="66" t="s">
        <v>130</v>
      </c>
      <c r="I24" s="65" t="s">
        <v>132</v>
      </c>
      <c r="J24" s="65"/>
      <c r="K24" s="66"/>
      <c r="L24">
        <f t="shared" si="1"/>
        <v>5.923025</v>
      </c>
      <c r="M24">
        <f t="shared" si="0"/>
        <v>13.5</v>
      </c>
      <c r="N24" s="5">
        <f>IF(ISBLANK(Distance),"",Open_time Control_1+(INT(Open)&amp;":"&amp;IF(ROUND(((Open-INT(Open))*60),0)&lt;10,0,"")&amp;ROUND(((Open-INT(Open))*60),0)))</f>
        <v>45241.538194444445</v>
      </c>
      <c r="O24" s="5">
        <f>IF(ISBLANK(Distance),"",Open_time Control_1+(INT(Close)&amp;":"&amp;IF(ROUND(((Close-INT(Close))*60),0)&lt;10,0,"")&amp;ROUND(((Close-INT(Close))*60),0)))</f>
        <v>45241.854166666664</v>
      </c>
    </row>
    <row r="25" spans="2:26" ht="7.05" customHeight="1" thickBot="1" x14ac:dyDescent="0.4">
      <c r="D25" s="55"/>
      <c r="E25" s="56"/>
      <c r="F25" s="57"/>
      <c r="G25" s="57"/>
      <c r="H25" s="57"/>
      <c r="I25" s="57"/>
      <c r="J25" s="57"/>
      <c r="K25" s="58"/>
      <c r="N25" s="5"/>
      <c r="O25" s="5"/>
    </row>
    <row r="26" spans="2:26" ht="13.8" thickBot="1" x14ac:dyDescent="0.3">
      <c r="D26" s="150" t="s">
        <v>76</v>
      </c>
      <c r="E26" s="151"/>
      <c r="F26" s="151"/>
      <c r="G26" s="151"/>
      <c r="H26" s="151"/>
      <c r="I26" s="154" t="s">
        <v>71</v>
      </c>
      <c r="J26" s="151"/>
      <c r="K26" s="152"/>
    </row>
    <row r="27" spans="2:26" ht="14.4" thickBot="1" x14ac:dyDescent="0.35">
      <c r="D27" s="6" t="s">
        <v>24</v>
      </c>
      <c r="E27" s="7" t="s">
        <v>25</v>
      </c>
      <c r="F27" s="53" t="s">
        <v>26</v>
      </c>
      <c r="G27" s="53" t="s">
        <v>27</v>
      </c>
      <c r="H27" s="54" t="s">
        <v>28</v>
      </c>
      <c r="I27" s="7" t="s">
        <v>60</v>
      </c>
      <c r="J27" s="7" t="s">
        <v>61</v>
      </c>
      <c r="K27" s="8" t="s">
        <v>62</v>
      </c>
      <c r="L27" t="s">
        <v>3</v>
      </c>
      <c r="M27" t="s">
        <v>4</v>
      </c>
      <c r="N27" t="s">
        <v>5</v>
      </c>
      <c r="O27" t="s">
        <v>6</v>
      </c>
    </row>
    <row r="28" spans="2:26" ht="16.95" customHeight="1" x14ac:dyDescent="0.25">
      <c r="D28" s="22"/>
      <c r="E28" s="64"/>
      <c r="F28" s="65"/>
      <c r="G28" s="65"/>
      <c r="H28" s="66"/>
      <c r="I28" s="65"/>
      <c r="J28" s="65"/>
      <c r="K28" s="6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26" ht="16.95" customHeight="1" x14ac:dyDescent="0.25">
      <c r="D29" s="22"/>
      <c r="E29" s="64"/>
      <c r="F29" s="65"/>
      <c r="G29" s="65"/>
      <c r="H29" s="66"/>
      <c r="I29" s="65"/>
      <c r="J29" s="65"/>
      <c r="K29" s="66"/>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26" ht="16.95" customHeight="1" x14ac:dyDescent="0.25">
      <c r="D30" s="22"/>
      <c r="E30" s="64"/>
      <c r="F30" s="65"/>
      <c r="G30" s="65"/>
      <c r="H30" s="66"/>
      <c r="I30" s="65"/>
      <c r="J30" s="65"/>
      <c r="K30" s="66"/>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26" ht="16.95" customHeight="1" x14ac:dyDescent="0.25">
      <c r="D31" s="22"/>
      <c r="E31" s="64"/>
      <c r="F31" s="65"/>
      <c r="G31" s="65"/>
      <c r="H31" s="66"/>
      <c r="I31" s="65"/>
      <c r="J31" s="65"/>
      <c r="K31" s="66"/>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26" ht="16.95" customHeight="1" x14ac:dyDescent="0.25">
      <c r="D32" s="22"/>
      <c r="E32" s="64"/>
      <c r="F32" s="65"/>
      <c r="G32" s="65"/>
      <c r="H32" s="66"/>
      <c r="I32" s="65"/>
      <c r="J32" s="65"/>
      <c r="K32" s="66"/>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6.95" customHeight="1" x14ac:dyDescent="0.25">
      <c r="D33" s="22"/>
      <c r="E33" s="64"/>
      <c r="F33" s="65"/>
      <c r="G33" s="65"/>
      <c r="H33" s="66"/>
      <c r="I33" s="65"/>
      <c r="J33" s="65"/>
      <c r="K33" s="66"/>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6.95" customHeight="1" x14ac:dyDescent="0.25">
      <c r="D34" s="22"/>
      <c r="E34" s="64"/>
      <c r="F34" s="65"/>
      <c r="G34" s="65"/>
      <c r="H34" s="66"/>
      <c r="I34" s="65"/>
      <c r="J34" s="65"/>
      <c r="K34" s="66"/>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6.95" customHeight="1" x14ac:dyDescent="0.25">
      <c r="D35" s="22"/>
      <c r="E35" s="64"/>
      <c r="F35" s="65"/>
      <c r="G35" s="65"/>
      <c r="H35" s="66"/>
      <c r="I35" s="65"/>
      <c r="J35" s="65"/>
      <c r="K35" s="66"/>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6.95" customHeight="1" x14ac:dyDescent="0.25">
      <c r="D36" s="22"/>
      <c r="E36" s="64"/>
      <c r="F36" s="65"/>
      <c r="G36" s="65"/>
      <c r="H36" s="66"/>
      <c r="I36" s="65"/>
      <c r="J36" s="65"/>
      <c r="K36" s="66"/>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6.95" customHeight="1" thickBot="1" x14ac:dyDescent="0.3">
      <c r="D37" s="46"/>
      <c r="E37" s="67"/>
      <c r="F37" s="68"/>
      <c r="G37" s="68"/>
      <c r="H37" s="69"/>
      <c r="I37" s="68"/>
      <c r="J37" s="68"/>
      <c r="K37" s="69"/>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05" customHeight="1" thickBot="1" x14ac:dyDescent="0.4">
      <c r="D38" s="55"/>
      <c r="E38" s="56"/>
      <c r="F38" s="57"/>
      <c r="G38" s="57"/>
      <c r="H38" s="57"/>
      <c r="I38" s="57"/>
      <c r="J38" s="57"/>
      <c r="K38" s="58"/>
      <c r="N38" s="5"/>
      <c r="O38" s="5"/>
    </row>
    <row r="39" spans="4:15" ht="13.8" thickBot="1" x14ac:dyDescent="0.3">
      <c r="D39" s="150" t="s">
        <v>78</v>
      </c>
      <c r="E39" s="151"/>
      <c r="F39" s="151"/>
      <c r="G39" s="151"/>
      <c r="H39" s="151"/>
      <c r="I39" s="150" t="s">
        <v>77</v>
      </c>
      <c r="J39" s="151"/>
      <c r="K39" s="152"/>
    </row>
    <row r="40" spans="4:15" ht="14.4" thickBot="1" x14ac:dyDescent="0.35">
      <c r="D40" s="6" t="s">
        <v>24</v>
      </c>
      <c r="E40" s="7" t="s">
        <v>25</v>
      </c>
      <c r="F40" s="53" t="s">
        <v>26</v>
      </c>
      <c r="G40" s="53" t="s">
        <v>27</v>
      </c>
      <c r="H40" s="76" t="s">
        <v>28</v>
      </c>
      <c r="I40" s="7" t="s">
        <v>60</v>
      </c>
      <c r="J40" s="7" t="s">
        <v>61</v>
      </c>
      <c r="K40" s="8" t="s">
        <v>62</v>
      </c>
      <c r="L40" t="s">
        <v>3</v>
      </c>
      <c r="M40" t="s">
        <v>4</v>
      </c>
      <c r="N40" t="s">
        <v>5</v>
      </c>
      <c r="O40" t="s">
        <v>6</v>
      </c>
    </row>
    <row r="41" spans="4:15" ht="16.95" customHeight="1" x14ac:dyDescent="0.25">
      <c r="D41" s="22"/>
      <c r="E41" s="64"/>
      <c r="F41" s="65"/>
      <c r="G41" s="65"/>
      <c r="H41" s="66"/>
      <c r="I41" s="65"/>
      <c r="J41" s="65"/>
      <c r="K41" s="66"/>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6.95" customHeight="1" x14ac:dyDescent="0.25">
      <c r="D42" s="22"/>
      <c r="E42" s="64"/>
      <c r="F42" s="65"/>
      <c r="G42" s="65"/>
      <c r="H42" s="66"/>
      <c r="I42" s="65"/>
      <c r="J42" s="65"/>
      <c r="K42" s="66"/>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6.95" customHeight="1" x14ac:dyDescent="0.25">
      <c r="D43" s="22"/>
      <c r="E43" s="64"/>
      <c r="F43" s="65"/>
      <c r="G43" s="65"/>
      <c r="H43" s="66"/>
      <c r="I43" s="65"/>
      <c r="J43" s="65"/>
      <c r="K43" s="66"/>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6.95" customHeight="1" x14ac:dyDescent="0.25">
      <c r="D44" s="22"/>
      <c r="E44" s="64"/>
      <c r="F44" s="65"/>
      <c r="G44" s="65"/>
      <c r="H44" s="66"/>
      <c r="I44" s="65"/>
      <c r="J44" s="65"/>
      <c r="K44" s="66"/>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6.95" customHeight="1" x14ac:dyDescent="0.25">
      <c r="D45" s="22"/>
      <c r="E45" s="64"/>
      <c r="F45" s="65"/>
      <c r="G45" s="65"/>
      <c r="H45" s="66"/>
      <c r="I45" s="65"/>
      <c r="J45" s="65"/>
      <c r="K45" s="66"/>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6.95" customHeight="1" x14ac:dyDescent="0.25">
      <c r="D46" s="22"/>
      <c r="E46" s="64"/>
      <c r="F46" s="65"/>
      <c r="G46" s="65"/>
      <c r="H46" s="66"/>
      <c r="I46" s="65"/>
      <c r="J46" s="65"/>
      <c r="K46" s="66"/>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6.95" customHeight="1" x14ac:dyDescent="0.25">
      <c r="D47" s="22"/>
      <c r="E47" s="64"/>
      <c r="F47" s="65"/>
      <c r="G47" s="65"/>
      <c r="H47" s="66"/>
      <c r="I47" s="65"/>
      <c r="J47" s="65"/>
      <c r="K47" s="66"/>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6.95" customHeight="1" x14ac:dyDescent="0.25">
      <c r="D48" s="22"/>
      <c r="E48" s="64"/>
      <c r="F48" s="65"/>
      <c r="G48" s="65"/>
      <c r="H48" s="66"/>
      <c r="I48" s="65"/>
      <c r="J48" s="65"/>
      <c r="K48" s="66"/>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6.95" customHeight="1" x14ac:dyDescent="0.25">
      <c r="D49" s="22"/>
      <c r="E49" s="64"/>
      <c r="F49" s="65"/>
      <c r="G49" s="65"/>
      <c r="H49" s="66"/>
      <c r="I49" s="65"/>
      <c r="J49" s="65"/>
      <c r="K49" s="66"/>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6.95" customHeight="1" thickBot="1" x14ac:dyDescent="0.3">
      <c r="D50" s="46"/>
      <c r="E50" s="67"/>
      <c r="F50" s="68"/>
      <c r="G50" s="68"/>
      <c r="H50" s="69"/>
      <c r="I50" s="68"/>
      <c r="J50" s="68"/>
      <c r="K50" s="69"/>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05" customHeight="1" thickBot="1" x14ac:dyDescent="0.4">
      <c r="D51" s="55"/>
      <c r="E51" s="56"/>
      <c r="F51" s="57"/>
      <c r="G51" s="57"/>
      <c r="H51" s="57"/>
      <c r="I51" s="57"/>
      <c r="J51" s="57"/>
      <c r="K51" s="58"/>
      <c r="N51" s="5"/>
      <c r="O51" s="5"/>
    </row>
    <row r="52" spans="4:15" ht="13.8" thickBot="1" x14ac:dyDescent="0.3">
      <c r="D52" s="150" t="s">
        <v>84</v>
      </c>
      <c r="E52" s="151"/>
      <c r="F52" s="151"/>
      <c r="G52" s="151"/>
      <c r="H52" s="151"/>
      <c r="I52" s="150" t="s">
        <v>85</v>
      </c>
      <c r="J52" s="151"/>
      <c r="K52" s="152"/>
    </row>
    <row r="53" spans="4:15" ht="14.4" thickBot="1" x14ac:dyDescent="0.35">
      <c r="D53" s="6" t="s">
        <v>24</v>
      </c>
      <c r="E53" s="7" t="s">
        <v>25</v>
      </c>
      <c r="F53" s="53" t="s">
        <v>26</v>
      </c>
      <c r="G53" s="53" t="s">
        <v>27</v>
      </c>
      <c r="H53" s="76" t="s">
        <v>28</v>
      </c>
      <c r="I53" s="7" t="s">
        <v>60</v>
      </c>
      <c r="J53" s="7" t="s">
        <v>61</v>
      </c>
      <c r="K53" s="8" t="s">
        <v>62</v>
      </c>
      <c r="L53" t="s">
        <v>3</v>
      </c>
      <c r="M53" t="s">
        <v>4</v>
      </c>
      <c r="N53" t="s">
        <v>5</v>
      </c>
      <c r="O53" t="s">
        <v>6</v>
      </c>
    </row>
    <row r="54" spans="4:15" ht="16.95" customHeight="1" x14ac:dyDescent="0.25">
      <c r="D54" s="22"/>
      <c r="E54" s="64"/>
      <c r="F54" s="65"/>
      <c r="G54" s="65"/>
      <c r="H54" s="66"/>
      <c r="I54" s="65"/>
      <c r="J54" s="65"/>
      <c r="K54" s="66"/>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6.95" customHeight="1" x14ac:dyDescent="0.25">
      <c r="D55" s="22"/>
      <c r="E55" s="64"/>
      <c r="F55" s="65"/>
      <c r="G55" s="65"/>
      <c r="H55" s="66"/>
      <c r="I55" s="65"/>
      <c r="J55" s="65"/>
      <c r="K55" s="66"/>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6.95" customHeight="1" x14ac:dyDescent="0.25">
      <c r="D56" s="22"/>
      <c r="E56" s="64"/>
      <c r="F56" s="65"/>
      <c r="G56" s="65"/>
      <c r="H56" s="66"/>
      <c r="I56" s="65"/>
      <c r="J56" s="65"/>
      <c r="K56" s="66"/>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6.95" customHeight="1" x14ac:dyDescent="0.25">
      <c r="D57" s="22"/>
      <c r="E57" s="64"/>
      <c r="F57" s="65"/>
      <c r="G57" s="65"/>
      <c r="H57" s="66"/>
      <c r="I57" s="65"/>
      <c r="J57" s="65"/>
      <c r="K57" s="66"/>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6.95" customHeight="1" x14ac:dyDescent="0.25">
      <c r="D58" s="22"/>
      <c r="E58" s="64"/>
      <c r="F58" s="65"/>
      <c r="G58" s="65"/>
      <c r="H58" s="66"/>
      <c r="I58" s="65"/>
      <c r="J58" s="65"/>
      <c r="K58" s="66"/>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6.95" customHeight="1" x14ac:dyDescent="0.25">
      <c r="D59" s="22"/>
      <c r="E59" s="64"/>
      <c r="F59" s="65"/>
      <c r="G59" s="65"/>
      <c r="H59" s="66"/>
      <c r="I59" s="65"/>
      <c r="J59" s="65"/>
      <c r="K59" s="66"/>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6.95" customHeight="1" x14ac:dyDescent="0.25">
      <c r="D60" s="22"/>
      <c r="E60" s="64"/>
      <c r="F60" s="65"/>
      <c r="G60" s="65"/>
      <c r="H60" s="66"/>
      <c r="I60" s="65"/>
      <c r="J60" s="65"/>
      <c r="K60" s="66"/>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6.95" customHeight="1" x14ac:dyDescent="0.25">
      <c r="D61" s="22"/>
      <c r="E61" s="64"/>
      <c r="F61" s="65"/>
      <c r="G61" s="65"/>
      <c r="H61" s="66"/>
      <c r="I61" s="65"/>
      <c r="J61" s="65"/>
      <c r="K61" s="66"/>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6.95" customHeight="1" x14ac:dyDescent="0.25">
      <c r="D62" s="22"/>
      <c r="E62" s="64"/>
      <c r="F62" s="65"/>
      <c r="G62" s="65"/>
      <c r="H62" s="66"/>
      <c r="I62" s="65"/>
      <c r="J62" s="65"/>
      <c r="K62" s="66"/>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6.95" customHeight="1" thickBot="1" x14ac:dyDescent="0.3">
      <c r="D63" s="46"/>
      <c r="E63" s="67"/>
      <c r="F63" s="68"/>
      <c r="G63" s="68"/>
      <c r="H63" s="69"/>
      <c r="I63" s="68"/>
      <c r="J63" s="68"/>
      <c r="K63" s="69"/>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formatCells="0" selectLockedCells="1"/>
  <mergeCells count="12">
    <mergeCell ref="A1:G1"/>
    <mergeCell ref="B8:F8"/>
    <mergeCell ref="Q1:AF4"/>
    <mergeCell ref="D52:H52"/>
    <mergeCell ref="I52:K52"/>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r:id="rId1"/>
  <headerFooter>
    <oddHeader>&amp;A</oddHeader>
    <oddFooter>Page &amp;P</oddFoot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topLeftCell="A16" zoomScale="75" zoomScaleNormal="115" zoomScalePageLayoutView="75" workbookViewId="0">
      <selection activeCell="G27" sqref="G27:I27"/>
    </sheetView>
  </sheetViews>
  <sheetFormatPr defaultColWidth="8.77734375" defaultRowHeight="13.2" x14ac:dyDescent="0.25"/>
  <cols>
    <col min="1" max="1" width="1.77734375" customWidth="1"/>
    <col min="2" max="2" width="12.77734375" customWidth="1"/>
    <col min="3" max="4" width="15.77734375" customWidth="1"/>
    <col min="5" max="5" width="25.77734375" customWidth="1"/>
    <col min="6" max="6" width="40.77734375" customWidth="1"/>
    <col min="7" max="7" width="12.77734375" customWidth="1"/>
    <col min="8" max="8" width="25.77734375" customWidth="1"/>
    <col min="9" max="9" width="30.77734375" customWidth="1"/>
    <col min="10" max="10" width="25.77734375" customWidth="1"/>
    <col min="11" max="11" width="1.77734375" customWidth="1"/>
    <col min="12" max="12" width="8.77734375" customWidth="1"/>
  </cols>
  <sheetData>
    <row r="1" spans="2:15" x14ac:dyDescent="0.25">
      <c r="K1" s="117"/>
      <c r="L1" s="117"/>
      <c r="M1" s="117"/>
    </row>
    <row r="2" spans="2:15" ht="17.399999999999999" x14ac:dyDescent="0.3">
      <c r="C2" s="174" t="s">
        <v>55</v>
      </c>
      <c r="D2" s="174"/>
      <c r="E2" s="174"/>
      <c r="F2" s="174"/>
      <c r="G2" s="99"/>
      <c r="H2" s="99"/>
      <c r="I2" s="120" t="s">
        <v>91</v>
      </c>
      <c r="J2" s="121">
        <f>'Control Entry'!B4</f>
        <v>45237</v>
      </c>
      <c r="K2" s="99"/>
      <c r="L2" s="99"/>
    </row>
    <row r="3" spans="2:15" ht="45" customHeight="1" x14ac:dyDescent="0.7">
      <c r="D3" s="13"/>
      <c r="E3" s="183" t="s">
        <v>33</v>
      </c>
      <c r="F3" s="183"/>
      <c r="G3" s="183"/>
      <c r="H3" s="183"/>
      <c r="I3" s="110" t="s">
        <v>93</v>
      </c>
      <c r="J3" s="113">
        <f>IF(ISBLANK(Brevet_Number),"",Brevet_Number)</f>
        <v>5279</v>
      </c>
      <c r="K3" s="74"/>
      <c r="L3" s="74"/>
    </row>
    <row r="4" spans="2:15" ht="19.95" customHeight="1" x14ac:dyDescent="0.25">
      <c r="C4" s="13"/>
      <c r="E4" s="184" t="str">
        <f>IF(ISBLANK(Brevet_Length),"",Brevet_Length&amp;" km Randonnée")</f>
        <v>200 km Randonnée</v>
      </c>
      <c r="F4" s="184"/>
      <c r="G4" s="184"/>
      <c r="H4" s="184"/>
      <c r="K4" s="95"/>
      <c r="L4" s="95"/>
    </row>
    <row r="5" spans="2:15" ht="19.95" customHeight="1" x14ac:dyDescent="0.4">
      <c r="D5" s="96"/>
      <c r="E5" s="182" t="str">
        <f>IF(ISBLANK(Brevet_Description),"",Brevet_Description)</f>
        <v>A RIDE OF REMEMBRANCE</v>
      </c>
      <c r="F5" s="182"/>
      <c r="G5" s="182"/>
      <c r="H5" s="182"/>
      <c r="I5" s="116"/>
      <c r="J5" s="96"/>
      <c r="K5" s="96"/>
      <c r="L5" s="96"/>
    </row>
    <row r="6" spans="2:15" ht="21" x14ac:dyDescent="0.4">
      <c r="D6" s="111"/>
      <c r="E6" s="182"/>
      <c r="F6" s="182"/>
      <c r="G6" s="182"/>
      <c r="H6" s="182"/>
      <c r="I6" s="116"/>
      <c r="J6" s="111"/>
      <c r="K6" s="96"/>
      <c r="L6" s="96"/>
    </row>
    <row r="7" spans="2:15" ht="25.05" customHeight="1" x14ac:dyDescent="0.25">
      <c r="C7" s="178"/>
      <c r="D7" s="178"/>
      <c r="E7" s="178"/>
      <c r="F7" s="178"/>
      <c r="H7" s="180"/>
    </row>
    <row r="8" spans="2:15" ht="21" thickBot="1" x14ac:dyDescent="0.4">
      <c r="B8" s="40" t="s">
        <v>94</v>
      </c>
      <c r="C8" s="179"/>
      <c r="D8" s="179"/>
      <c r="E8" s="179"/>
      <c r="F8" s="179"/>
      <c r="G8" s="40" t="s">
        <v>46</v>
      </c>
      <c r="H8" s="181"/>
      <c r="I8" s="97"/>
      <c r="J8" s="97"/>
      <c r="K8" s="97"/>
    </row>
    <row r="9" spans="2:15" ht="22.05" customHeight="1" x14ac:dyDescent="0.25">
      <c r="B9" s="102"/>
      <c r="C9" s="102"/>
      <c r="D9" s="102"/>
      <c r="E9" s="102"/>
      <c r="F9" s="98"/>
      <c r="G9" s="104"/>
      <c r="H9" s="104"/>
      <c r="I9" s="104"/>
      <c r="J9" s="98"/>
    </row>
    <row r="10" spans="2:15" ht="19.95" customHeight="1" x14ac:dyDescent="0.25">
      <c r="B10" s="176" t="s">
        <v>56</v>
      </c>
      <c r="C10" s="176"/>
      <c r="D10" s="108" t="s">
        <v>57</v>
      </c>
      <c r="E10" s="177" t="s">
        <v>90</v>
      </c>
      <c r="F10" s="177"/>
      <c r="G10" s="177"/>
      <c r="H10" s="51"/>
      <c r="I10" s="103"/>
      <c r="J10" s="103"/>
      <c r="K10" s="45"/>
      <c r="L10" s="155"/>
      <c r="M10" s="155"/>
      <c r="N10" s="155"/>
      <c r="O10" s="155"/>
    </row>
    <row r="11" spans="2:15" ht="22.8" x14ac:dyDescent="0.25">
      <c r="B11" s="102"/>
      <c r="C11" s="102"/>
      <c r="D11" s="102"/>
      <c r="E11" s="102"/>
      <c r="F11" s="98"/>
      <c r="G11" s="104"/>
      <c r="H11" s="104"/>
      <c r="I11" s="104"/>
      <c r="J11" s="98"/>
    </row>
    <row r="12" spans="2:15" ht="21" thickBot="1" x14ac:dyDescent="0.4">
      <c r="D12" s="171" t="s">
        <v>22</v>
      </c>
      <c r="E12" s="171"/>
      <c r="F12" s="89">
        <f>IF(ISBLANK('Control Entry'!B12),"",'Control Entry'!B12)</f>
        <v>45241</v>
      </c>
      <c r="G12" s="115"/>
      <c r="H12" s="40" t="s">
        <v>96</v>
      </c>
      <c r="I12" s="112">
        <f>IF(ISBLANK('Control Entry'!B13),"",'Control Entry'!B13)</f>
        <v>0.29166666666666669</v>
      </c>
      <c r="J12" s="50"/>
    </row>
    <row r="13" spans="2:15" ht="20.399999999999999" x14ac:dyDescent="0.35">
      <c r="D13" s="49"/>
      <c r="E13" s="49"/>
      <c r="F13" s="43"/>
      <c r="G13" s="43"/>
      <c r="H13" s="43"/>
      <c r="L13" s="50"/>
      <c r="M13" s="50"/>
      <c r="N13" s="50"/>
    </row>
    <row r="14" spans="2:15" ht="21" thickBot="1" x14ac:dyDescent="0.4">
      <c r="D14" s="171" t="s">
        <v>95</v>
      </c>
      <c r="E14" s="171"/>
      <c r="F14" s="89">
        <v>45241</v>
      </c>
      <c r="G14" s="115"/>
      <c r="H14" s="40" t="s">
        <v>97</v>
      </c>
      <c r="I14" s="112"/>
      <c r="J14" s="50"/>
      <c r="L14" s="82"/>
      <c r="M14" s="82"/>
      <c r="N14" s="82"/>
    </row>
    <row r="15" spans="2:15" ht="20.399999999999999" x14ac:dyDescent="0.35">
      <c r="B15" s="49"/>
      <c r="C15" s="49"/>
      <c r="D15" s="43"/>
      <c r="E15" s="43"/>
      <c r="H15" s="43"/>
    </row>
    <row r="16" spans="2:15" ht="21" thickBot="1" x14ac:dyDescent="0.4">
      <c r="C16" s="109"/>
      <c r="D16" s="109"/>
      <c r="E16" s="109"/>
      <c r="F16" s="109"/>
      <c r="H16" s="40" t="s">
        <v>98</v>
      </c>
      <c r="I16" s="112"/>
      <c r="J16" s="50"/>
      <c r="L16" s="82"/>
      <c r="M16" s="82"/>
      <c r="N16" s="82"/>
    </row>
    <row r="17" spans="2:15" ht="20.399999999999999" x14ac:dyDescent="0.25">
      <c r="C17" s="172" t="s">
        <v>17</v>
      </c>
      <c r="D17" s="172"/>
      <c r="E17" s="172"/>
      <c r="F17" s="172"/>
      <c r="G17" s="45"/>
      <c r="H17" s="45"/>
      <c r="I17" s="173"/>
      <c r="J17" s="173"/>
      <c r="K17" s="45"/>
      <c r="L17" s="155"/>
      <c r="M17" s="155"/>
      <c r="N17" s="155"/>
      <c r="O17" s="155"/>
    </row>
    <row r="18" spans="2:15" ht="6" customHeight="1" thickBot="1" x14ac:dyDescent="0.3">
      <c r="B18" s="105"/>
      <c r="C18" s="105"/>
      <c r="D18" s="105"/>
      <c r="E18" s="105"/>
      <c r="F18" s="106"/>
      <c r="G18" s="107"/>
      <c r="H18" s="107"/>
      <c r="I18" s="107"/>
      <c r="J18" s="106"/>
    </row>
    <row r="19" spans="2:15" ht="21.6" thickTop="1" thickBot="1" x14ac:dyDescent="0.3">
      <c r="B19" s="175" t="s">
        <v>79</v>
      </c>
      <c r="C19" s="175"/>
      <c r="D19" s="175"/>
      <c r="E19" s="175"/>
      <c r="F19" s="175"/>
      <c r="G19" s="175"/>
      <c r="H19" s="175"/>
      <c r="I19" s="175"/>
      <c r="J19" s="175"/>
    </row>
    <row r="20" spans="2:15" ht="18" thickBot="1" x14ac:dyDescent="0.35">
      <c r="B20" s="94" t="s">
        <v>30</v>
      </c>
      <c r="C20" s="9" t="s">
        <v>3</v>
      </c>
      <c r="D20" s="9" t="s">
        <v>4</v>
      </c>
      <c r="E20" s="9" t="s">
        <v>25</v>
      </c>
      <c r="F20" s="9" t="s">
        <v>31</v>
      </c>
      <c r="G20" s="168" t="s">
        <v>59</v>
      </c>
      <c r="H20" s="169"/>
      <c r="I20" s="170"/>
      <c r="J20" s="94" t="s">
        <v>32</v>
      </c>
    </row>
    <row r="21" spans="2:15" ht="40.049999999999997" customHeight="1" x14ac:dyDescent="0.45">
      <c r="B21" s="130"/>
      <c r="C21" s="141">
        <f>Control_1 Open_time</f>
        <v>45241.291666666664</v>
      </c>
      <c r="D21" s="141">
        <f>Control_1 Close_time</f>
        <v>45241.333333333328</v>
      </c>
      <c r="E21" s="131"/>
      <c r="F21" s="35" t="str">
        <f>IF(ISBLANK(Control_1 Establishment_1),"",Control_1 Establishment_1)</f>
        <v xml:space="preserve">STAFFED CONTROL </v>
      </c>
      <c r="J21" s="133"/>
    </row>
    <row r="22" spans="2:15" ht="40.049999999999997" customHeight="1" x14ac:dyDescent="0.4">
      <c r="B22" s="134">
        <f>IF(ISBLANK(Distance Control_1),"",Control_1 Distance)</f>
        <v>0</v>
      </c>
      <c r="C22" s="135">
        <f>Control_1 Open_time</f>
        <v>45241.291666666664</v>
      </c>
      <c r="D22" s="135">
        <f>Control_1 Close_time</f>
        <v>45241.333333333328</v>
      </c>
      <c r="E22" s="132" t="str">
        <f>IF(ISBLANK(Locale Control_1),"",Locale Control_1)</f>
        <v>VIEW ROYAL</v>
      </c>
      <c r="F22" s="35" t="str">
        <f>IF(ISBLANK(Control_1 Establishment_2),"",Control_1 Establishment_2)</f>
        <v>Galloping Goose &amp; E&amp;N Regional Trails</v>
      </c>
      <c r="G22" s="161" t="str">
        <f>IF(ISBLANK('Control Entry'!J15),"",'Control Entry'!J15)</f>
        <v/>
      </c>
      <c r="H22" s="162"/>
      <c r="I22" s="163"/>
      <c r="J22" s="136"/>
    </row>
    <row r="23" spans="2:15" ht="40.049999999999997" customHeight="1" thickBot="1" x14ac:dyDescent="0.5">
      <c r="B23" s="137"/>
      <c r="C23" s="142">
        <f>Control_1 Open_time</f>
        <v>45241.291666666664</v>
      </c>
      <c r="D23" s="142">
        <f>Control_1 Close_time</f>
        <v>45241.333333333328</v>
      </c>
      <c r="E23" s="138"/>
      <c r="F23" s="145" t="str">
        <f>IF(ISBLANK(Control_1 Establishment_3),"",Control_1 Establishment_3)</f>
        <v>Burnside Road &amp; Island Highway</v>
      </c>
      <c r="G23" s="164" t="str">
        <f>IF(ISBLANK('Control Entry'!K15),"",'Control Entry'!K15)</f>
        <v/>
      </c>
      <c r="H23" s="165"/>
      <c r="I23" s="166"/>
      <c r="J23" s="139"/>
    </row>
    <row r="24" spans="2:15" ht="40.049999999999997" customHeight="1" x14ac:dyDescent="0.45">
      <c r="B24" s="130"/>
      <c r="C24" s="141">
        <f>Control_2 Open_time</f>
        <v>45241.309027777774</v>
      </c>
      <c r="D24" s="141">
        <f>Control_2 Close_time</f>
        <v>45241.363194444442</v>
      </c>
      <c r="E24" s="140"/>
      <c r="F24" s="35" t="str">
        <f>IF(ISBLANK(Control_2 Establishment_1),"",Control_2 Establishment_1)</f>
        <v>INFORMATION CONTROL</v>
      </c>
      <c r="G24" s="158" t="str">
        <f>IF(ISBLANK('Control Entry'!I16),"",'Control Entry'!I16)</f>
        <v>Date the HMCS Galiano sank?</v>
      </c>
      <c r="H24" s="159"/>
      <c r="I24" s="160"/>
      <c r="J24" s="133"/>
    </row>
    <row r="25" spans="2:15" ht="40.049999999999997" customHeight="1" x14ac:dyDescent="0.4">
      <c r="B25" s="134">
        <v>14.3</v>
      </c>
      <c r="C25" s="135">
        <f>Control_2 Open_time</f>
        <v>45241.309027777774</v>
      </c>
      <c r="D25" s="135">
        <f>Control_2 Close_time</f>
        <v>45241.363194444442</v>
      </c>
      <c r="E25" s="132" t="str">
        <f>IF(ISBLANK(Locale Control_2),"",Locale Control_2)</f>
        <v>VICTORIA</v>
      </c>
      <c r="F25" s="35" t="str">
        <f>IF(ISBLANK(Control_2 Establishment_2),"",Control_2 Establishment_2)</f>
        <v>Ross Bay Cemetery</v>
      </c>
      <c r="G25" s="161" t="str">
        <f>IF(ISBLANK('Control Entry'!J16),"",'Control Entry'!J16)</f>
        <v/>
      </c>
      <c r="H25" s="162"/>
      <c r="I25" s="163"/>
      <c r="J25" s="136"/>
    </row>
    <row r="26" spans="2:15" ht="40.049999999999997" customHeight="1" thickBot="1" x14ac:dyDescent="0.5">
      <c r="B26" s="137"/>
      <c r="C26" s="142">
        <f>Control_2 Open_time</f>
        <v>45241.309027777774</v>
      </c>
      <c r="D26" s="142">
        <f>Control_2 Close_time</f>
        <v>45241.363194444442</v>
      </c>
      <c r="E26" s="138"/>
      <c r="F26" s="145" t="str">
        <f>IF(ISBLANK(Control_2 Establishment_3),"",Control_2 Establishment_3)</f>
        <v>Approx. Dallas Rd &amp; St. Charles St lane</v>
      </c>
      <c r="G26" s="164" t="str">
        <f>IF(ISBLANK('Control Entry'!K16),"",'Control Entry'!K16)</f>
        <v>Oct____, 1918</v>
      </c>
      <c r="H26" s="165"/>
      <c r="I26" s="166"/>
      <c r="J26" s="139"/>
    </row>
    <row r="27" spans="2:15" ht="40.049999999999997" customHeight="1" x14ac:dyDescent="0.45">
      <c r="B27" s="130"/>
      <c r="C27" s="141">
        <f>Control_3 Open_time</f>
        <v>45241.324999999997</v>
      </c>
      <c r="D27" s="141">
        <f>Control_3 Close_time</f>
        <v>45241.390277777777</v>
      </c>
      <c r="E27" s="140"/>
      <c r="F27" s="35" t="s">
        <v>107</v>
      </c>
      <c r="G27" s="158" t="s">
        <v>151</v>
      </c>
      <c r="H27" s="159"/>
      <c r="I27" s="160"/>
      <c r="J27" s="133"/>
    </row>
    <row r="28" spans="2:15" ht="40.049999999999997" customHeight="1" x14ac:dyDescent="0.4">
      <c r="B28" s="134">
        <f>IF(ISBLANK(Distance Control_3),"",Control_3 Distance)</f>
        <v>27.2</v>
      </c>
      <c r="C28" s="135">
        <f>Control_3 Open_time</f>
        <v>45241.324999999997</v>
      </c>
      <c r="D28" s="135">
        <f>Control_3 Close_time</f>
        <v>45241.390277777777</v>
      </c>
      <c r="E28" s="132" t="str">
        <f>IF(ISBLANK(Locale Control_3),"",Locale Control_3)</f>
        <v>SAANICH</v>
      </c>
      <c r="F28" s="35" t="str">
        <f>IF(ISBLANK(Control_3 Establishment_2),"",Control_3 Establishment_2)</f>
        <v>St. Lukes Church Cemetery</v>
      </c>
      <c r="G28" s="161" t="str">
        <f>IF(ISBLANK('Control Entry'!J17),"",'Control Entry'!J17)</f>
        <v>Constance Emily Thompson</v>
      </c>
      <c r="H28" s="162"/>
      <c r="I28" s="163"/>
      <c r="J28" s="136"/>
    </row>
    <row r="29" spans="2:15" ht="40.049999999999997" customHeight="1" thickBot="1" x14ac:dyDescent="0.5">
      <c r="B29" s="137"/>
      <c r="C29" s="142">
        <f>Control_3 Open_time</f>
        <v>45241.324999999997</v>
      </c>
      <c r="D29" s="142">
        <f>Control_3 Close_time</f>
        <v>45241.390277777777</v>
      </c>
      <c r="E29" s="138"/>
      <c r="F29" s="145" t="str">
        <f>IF(ISBLANK(Control_3 Establishment_3),"",Control_3 Establishment_3)</f>
        <v>3821 Cedar Hill Cross Rd</v>
      </c>
      <c r="G29" s="164" t="str">
        <f>IF(ISBLANK('Control Entry'!K17),"",'Control Entry'!K17)</f>
        <v>1885-______</v>
      </c>
      <c r="H29" s="165"/>
      <c r="I29" s="166"/>
      <c r="J29" s="139"/>
    </row>
    <row r="30" spans="2:15" ht="40.049999999999997" customHeight="1" x14ac:dyDescent="0.45">
      <c r="B30" s="130"/>
      <c r="C30" s="141">
        <f>Control_4 Open_time</f>
        <v>45241.345833333333</v>
      </c>
      <c r="D30" s="141">
        <f>Control_4 Close_time</f>
        <v>45241.425694444442</v>
      </c>
      <c r="E30" s="140"/>
      <c r="F30" s="35" t="str">
        <f>IF(ISBLANK(Control_4 Establishment_1),"",Control_4 Establishment_1)</f>
        <v>INFORMATION CONTROL</v>
      </c>
      <c r="G30" s="158" t="str">
        <f>IF(ISBLANK('Control Entry'!I18),"",'Control Entry'!I18)</f>
        <v>Consecration year? (Circle correct one)</v>
      </c>
      <c r="H30" s="159"/>
      <c r="I30" s="160"/>
      <c r="J30" s="133"/>
    </row>
    <row r="31" spans="2:15" ht="40.049999999999997" customHeight="1" x14ac:dyDescent="0.4">
      <c r="B31" s="134">
        <f>IF(ISBLANK(Distance Control_4),"",Control_4 Distance)</f>
        <v>44.2</v>
      </c>
      <c r="C31" s="135">
        <f>Control_4 Open_time</f>
        <v>45241.345833333333</v>
      </c>
      <c r="D31" s="135">
        <f>Control_4 Close_time</f>
        <v>45241.425694444442</v>
      </c>
      <c r="E31" s="132" t="str">
        <f>IF(ISBLANK(Locale Control_4),"",Locale Control_4)</f>
        <v>ESQUIMALT</v>
      </c>
      <c r="F31" s="35" t="str">
        <f>IF(ISBLANK(Control_4 Establishment_2),"",Control_4 Establishment_2)</f>
        <v>St. Peter and Pauls Church</v>
      </c>
      <c r="G31" s="161" t="str">
        <f>IF(ISBLANK('Control Entry'!J18),"",'Control Entry'!J18)</f>
        <v/>
      </c>
      <c r="H31" s="162"/>
      <c r="I31" s="163"/>
      <c r="J31" s="136"/>
    </row>
    <row r="32" spans="2:15" ht="40.049999999999997" customHeight="1" thickBot="1" x14ac:dyDescent="0.5">
      <c r="B32" s="137"/>
      <c r="C32" s="142">
        <f>Control_4 Open_time</f>
        <v>45241.345833333333</v>
      </c>
      <c r="D32" s="142">
        <f>Control_4 Close_time</f>
        <v>45241.425694444442</v>
      </c>
      <c r="E32" s="138"/>
      <c r="F32" s="145" t="str">
        <f>IF(ISBLANK(Control_4 Establishment_3),"",Control_4 Establishment_3)</f>
        <v>1379 Esquimalt Rd, Esquimalt</v>
      </c>
      <c r="G32" s="164" t="str">
        <f>IF(ISBLANK('Control Entry'!K18),"",'Control Entry'!K18)</f>
        <v>1865   1866    1867</v>
      </c>
      <c r="H32" s="165"/>
      <c r="I32" s="166"/>
      <c r="J32" s="139"/>
    </row>
    <row r="33" spans="2:10" ht="40.049999999999997" customHeight="1" x14ac:dyDescent="0.45">
      <c r="B33" s="130"/>
      <c r="C33" s="141">
        <f>Control_5 Open_time</f>
        <v>45241.379861111105</v>
      </c>
      <c r="D33" s="141">
        <f>Control_5 Close_time</f>
        <v>45241.490972222222</v>
      </c>
      <c r="E33" s="140"/>
      <c r="F33" s="35" t="str">
        <f>IF(ISBLANK(Control_5 Establishment_1),"",Control_5 Establishment_1)</f>
        <v>INFORMATION CONTROL</v>
      </c>
      <c r="G33" s="158" t="str">
        <f>IF(ISBLANK('Control Entry'!I19),"",'Control Entry'!I19)</f>
        <v># of 'No Trespassing' signs on fence?</v>
      </c>
      <c r="H33" s="159"/>
      <c r="I33" s="160"/>
      <c r="J33" s="133"/>
    </row>
    <row r="34" spans="2:10" ht="40.049999999999997" customHeight="1" x14ac:dyDescent="0.4">
      <c r="B34" s="134">
        <f>IF(ISBLANK(Distance Control_5),"",Control_5 Distance)</f>
        <v>71.7</v>
      </c>
      <c r="C34" s="135">
        <f>Control_5 Open_time</f>
        <v>45241.379861111105</v>
      </c>
      <c r="D34" s="135">
        <f>Control_5 Close_time</f>
        <v>45241.490972222222</v>
      </c>
      <c r="E34" s="132" t="str">
        <f>IF(ISBLANK(Locale Control_5),"",Locale Control_5)</f>
        <v>METCHOSIN</v>
      </c>
      <c r="F34" s="35" t="str">
        <f>IF(ISBLANK(Control_5 Establishment_2),"",Control_5 Establishment_2)</f>
        <v>Rocky Point Ammunition Depot</v>
      </c>
      <c r="G34" s="161" t="str">
        <f>IF(ISBLANK('Control Entry'!J19),"",'Control Entry'!J19)</f>
        <v/>
      </c>
      <c r="H34" s="162"/>
      <c r="I34" s="163"/>
      <c r="J34" s="136"/>
    </row>
    <row r="35" spans="2:10" ht="40.049999999999997" customHeight="1" thickBot="1" x14ac:dyDescent="0.5">
      <c r="B35" s="137"/>
      <c r="C35" s="142">
        <f>Control_5 Open_time</f>
        <v>45241.379861111105</v>
      </c>
      <c r="D35" s="142">
        <f>Control_5 Close_time</f>
        <v>45241.490972222222</v>
      </c>
      <c r="E35" s="138"/>
      <c r="F35" s="145" t="str">
        <f>IF(ISBLANK(Control_5 Establishment_3),"",Control_5 Establishment_3)</f>
        <v>West terminus of Rocky Point Rd</v>
      </c>
      <c r="G35" s="164" t="str">
        <f>IF(ISBLANK('Control Entry'!K19),"",'Control Entry'!K19)</f>
        <v>3   4   5</v>
      </c>
      <c r="H35" s="165"/>
      <c r="I35" s="166"/>
      <c r="J35" s="139"/>
    </row>
    <row r="36" spans="2:10" ht="40.049999999999997" customHeight="1" x14ac:dyDescent="0.45">
      <c r="B36" s="130"/>
      <c r="C36" s="141">
        <f>Control_6 Open_time</f>
        <v>45241.447916666664</v>
      </c>
      <c r="D36" s="141">
        <f>Control_6 Close_time</f>
        <v>45241.646527777775</v>
      </c>
      <c r="E36" s="140"/>
      <c r="F36" s="35" t="str">
        <f>IF(ISBLANK(Control_6 Establishment_1),"",Control_6 Establishment_1)</f>
        <v>INFORMATION CONTROL</v>
      </c>
      <c r="G36" s="158" t="str">
        <f>IF(ISBLANK('Control Entry'!I20),"",'Control Entry'!I20)</f>
        <v>BC Lieutenant Governor from 1960-????</v>
      </c>
      <c r="H36" s="159"/>
      <c r="I36" s="160"/>
      <c r="J36" s="133"/>
    </row>
    <row r="37" spans="2:10" ht="40.049999999999997" customHeight="1" x14ac:dyDescent="0.4">
      <c r="B37" s="134">
        <f>IF(ISBLANK(Distance Control_6),"",Control_6 Distance)</f>
        <v>127.7</v>
      </c>
      <c r="C37" s="135">
        <f>Control_6 Open_time</f>
        <v>45241.447916666664</v>
      </c>
      <c r="D37" s="135">
        <f>Control_6 Close_time</f>
        <v>45241.646527777775</v>
      </c>
      <c r="E37" s="132" t="str">
        <f>IF(ISBLANK(Locale Control_6),"",Locale Control_6)</f>
        <v>NORTH SAANICH</v>
      </c>
      <c r="F37" s="35" t="str">
        <f>IF(ISBLANK(Control_6 Establishment_2),"",Control_6 Establishment_2)</f>
        <v>Gen. Pearke's Grave,Holy Trinity Cemetery</v>
      </c>
      <c r="G37" s="161" t="str">
        <f>IF(ISBLANK('Control Entry'!J20),"",'Control Entry'!J20)</f>
        <v/>
      </c>
      <c r="H37" s="162"/>
      <c r="I37" s="163"/>
      <c r="J37" s="136"/>
    </row>
    <row r="38" spans="2:10" ht="40.049999999999997" customHeight="1" thickBot="1" x14ac:dyDescent="0.5">
      <c r="B38" s="137"/>
      <c r="C38" s="142">
        <f>Control_6 Open_time</f>
        <v>45241.447916666664</v>
      </c>
      <c r="D38" s="142">
        <f>Control_6 Close_time</f>
        <v>45241.646527777775</v>
      </c>
      <c r="E38" s="138"/>
      <c r="F38" s="145" t="str">
        <f>IF(ISBLANK(Control_6 Establishment_3),"",Control_6 Establishment_3)</f>
        <v>1319 Mills Rd, North Saanich</v>
      </c>
      <c r="G38" s="164" t="str">
        <f>IF(ISBLANK('Control Entry'!K20),"",'Control Entry'!K20)</f>
        <v>19____</v>
      </c>
      <c r="H38" s="165"/>
      <c r="I38" s="166"/>
      <c r="J38" s="139"/>
    </row>
    <row r="39" spans="2:10" ht="40.049999999999997" customHeight="1" x14ac:dyDescent="0.45">
      <c r="B39" s="130"/>
      <c r="C39" s="141">
        <f>Control_7 Open_time</f>
        <v>45241.461111111108</v>
      </c>
      <c r="D39" s="141">
        <f>Control_7 Close_time</f>
        <v>45241.676388888889</v>
      </c>
      <c r="E39" s="140"/>
      <c r="F39" s="35" t="str">
        <f>IF(ISBLANK(Control_7 Establishment_1),"",Control_7 Establishment_1)</f>
        <v>INFORMATION CONTROL</v>
      </c>
      <c r="G39" s="158" t="str">
        <f>IF(ISBLANK('Control Entry'!I21),"",'Control Entry'!I21)</f>
        <v xml:space="preserve"> On cenatoph facing pathway</v>
      </c>
      <c r="H39" s="159"/>
      <c r="I39" s="160"/>
      <c r="J39" s="133"/>
    </row>
    <row r="40" spans="2:10" ht="40.049999999999997" customHeight="1" x14ac:dyDescent="0.4">
      <c r="B40" s="134">
        <f>IF(ISBLANK(Distance Control_7),"",Control_7 Distance)</f>
        <v>138.4</v>
      </c>
      <c r="C40" s="135">
        <f>Control_7 Open_time</f>
        <v>45241.461111111108</v>
      </c>
      <c r="D40" s="135">
        <f>Control_7 Close_time</f>
        <v>45241.676388888889</v>
      </c>
      <c r="E40" s="132" t="str">
        <f>IF(ISBLANK(Locale Control_7),"",Locale Control_7)</f>
        <v>BRENTWOOD BAY</v>
      </c>
      <c r="F40" s="35" t="str">
        <f>IF(ISBLANK(Control_7 Establishment_2),"",Control_7 Establishment_2)</f>
        <v>Central Saanich Cenotaph (Pioneer Park)</v>
      </c>
      <c r="G40" s="161" t="str">
        <f>IF(ISBLANK('Control Entry'!J21),"",'Control Entry'!J21)</f>
        <v>How many maple leaves?</v>
      </c>
      <c r="H40" s="162"/>
      <c r="I40" s="163"/>
      <c r="J40" s="136"/>
    </row>
    <row r="41" spans="2:10" ht="40.049999999999997" customHeight="1" thickBot="1" x14ac:dyDescent="0.5">
      <c r="B41" s="137"/>
      <c r="C41" s="142">
        <f>Control_7 Open_time</f>
        <v>45241.461111111108</v>
      </c>
      <c r="D41" s="142">
        <f>Control_7 Close_time</f>
        <v>45241.676388888889</v>
      </c>
      <c r="E41" s="138"/>
      <c r="F41" s="145" t="str">
        <f>IF(ISBLANK(Control_7 Establishment_3),"",Control_7 Establishment_3)</f>
        <v xml:space="preserve"> W Saanich Rd &amp; Clarke Rd, Brentwood By</v>
      </c>
      <c r="G41" s="164" t="str">
        <f>IF(ISBLANK('Control Entry'!K21),"",'Control Entry'!K21)</f>
        <v>1  2  3  4</v>
      </c>
      <c r="H41" s="165"/>
      <c r="I41" s="166"/>
      <c r="J41" s="139"/>
    </row>
    <row r="42" spans="2:10" ht="40.049999999999997" customHeight="1" x14ac:dyDescent="0.45">
      <c r="B42" s="130"/>
      <c r="C42" s="141">
        <f>Control_8 Open_time</f>
        <v>45241.490972222222</v>
      </c>
      <c r="D42" s="141">
        <f>Control_8 Close_time</f>
        <v>45241.743749999994</v>
      </c>
      <c r="E42" s="140"/>
      <c r="F42" s="35" t="str">
        <f>IF(ISBLANK(Control_8 Establishment_1),"",Control_8 Establishment_1)</f>
        <v>INFORMATION CONTROL</v>
      </c>
      <c r="G42" s="158" t="str">
        <f>IF(ISBLANK('Control Entry'!I22),"",'Control Entry'!I22)</f>
        <v>Date on brass plaque? (Circle correct one)</v>
      </c>
      <c r="H42" s="159"/>
      <c r="I42" s="160"/>
      <c r="J42" s="133"/>
    </row>
    <row r="43" spans="2:10" ht="40.049999999999997" customHeight="1" x14ac:dyDescent="0.4">
      <c r="B43" s="134">
        <f>IF(ISBLANK(Distance Control_8),"",Control_8 Distance)</f>
        <v>162.80000000000001</v>
      </c>
      <c r="C43" s="135">
        <f>Control_8 Open_time</f>
        <v>45241.490972222222</v>
      </c>
      <c r="D43" s="135">
        <f>Control_8 Close_time</f>
        <v>45241.743749999994</v>
      </c>
      <c r="E43" s="132" t="str">
        <f>IF(ISBLANK(Locale Control_8),"",Locale Control_8)</f>
        <v>NORTH SAANICH</v>
      </c>
      <c r="F43" s="35" t="str">
        <f>IF(ISBLANK(Control_8 Establishment_2),"",Control_8 Establishment_2)</f>
        <v>Blue Heron Park Memorial</v>
      </c>
      <c r="G43" s="161" t="str">
        <f>IF(ISBLANK('Control Entry'!J22),"",'Control Entry'!J22)</f>
        <v/>
      </c>
      <c r="H43" s="162"/>
      <c r="I43" s="163"/>
      <c r="J43" s="136"/>
    </row>
    <row r="44" spans="2:10" ht="40.049999999999997" customHeight="1" thickBot="1" x14ac:dyDescent="0.5">
      <c r="B44" s="137"/>
      <c r="C44" s="142">
        <f>Control_8 Open_time</f>
        <v>45241.490972222222</v>
      </c>
      <c r="D44" s="142">
        <f>Control_8 Close_time</f>
        <v>45241.743749999994</v>
      </c>
      <c r="E44" s="138"/>
      <c r="F44" s="145" t="str">
        <f>IF(ISBLANK(Control_8 Establishment_3),"",Control_8 Establishment_3)</f>
        <v>10710 McDonald Park Rd</v>
      </c>
      <c r="G44" s="164" t="str">
        <f>IF(ISBLANK('Control Entry'!K22),"",'Control Entry'!K22)</f>
        <v>Nov 15   Nov 16  Nov 17</v>
      </c>
      <c r="H44" s="165"/>
      <c r="I44" s="166"/>
      <c r="J44" s="139"/>
    </row>
    <row r="45" spans="2:10" ht="40.049999999999997" customHeight="1" x14ac:dyDescent="0.45">
      <c r="B45" s="130"/>
      <c r="C45" s="141">
        <f>Control_9 Open_time</f>
        <v>45241.495138888888</v>
      </c>
      <c r="D45" s="141">
        <f>Control_9 Close_time</f>
        <v>45241.753472222219</v>
      </c>
      <c r="E45" s="140"/>
      <c r="F45" s="35" t="str">
        <f>IF(ISBLANK(Control_9 Establishment_1),"",Control_9 Establishment_1)</f>
        <v>INFORMATION CONTROL</v>
      </c>
      <c r="G45" s="158" t="str">
        <f>IF(ISBLANK('Control Entry'!I23),"",'Control Entry'!I23)</f>
        <v>Quote on obelisk author</v>
      </c>
      <c r="H45" s="159"/>
      <c r="I45" s="160"/>
      <c r="J45" s="133"/>
    </row>
    <row r="46" spans="2:10" ht="40.049999999999997" customHeight="1" x14ac:dyDescent="0.4">
      <c r="B46" s="134">
        <f>IF(ISBLANK(Distance Control_9),"",Control_9 Distance)</f>
        <v>166.2</v>
      </c>
      <c r="C46" s="135">
        <f>Control_9 Open_time</f>
        <v>45241.495138888888</v>
      </c>
      <c r="D46" s="135">
        <f>Control_9 Close_time</f>
        <v>45241.753472222219</v>
      </c>
      <c r="E46" s="132" t="str">
        <f>IF(ISBLANK(Locale Control_9),"",Locale Control_9)</f>
        <v>SIDNEY</v>
      </c>
      <c r="F46" s="35" t="str">
        <f>IF(ISBLANK(Control_9 Establishment_2),"",Control_9 Establishment_2)</f>
        <v>Mary Winspear Centre Memorial</v>
      </c>
      <c r="G46" s="161" t="str">
        <f>IF(ISBLANK('Control Entry'!J23),"",'Control Entry'!J23)</f>
        <v>Lawrence Bin_?__on</v>
      </c>
      <c r="H46" s="162"/>
      <c r="I46" s="163"/>
      <c r="J46" s="136"/>
    </row>
    <row r="47" spans="2:10" ht="40.049999999999997" customHeight="1" thickBot="1" x14ac:dyDescent="0.5">
      <c r="B47" s="137"/>
      <c r="C47" s="142">
        <f>Control_9 Open_time</f>
        <v>45241.495138888888</v>
      </c>
      <c r="D47" s="142">
        <f>Control_9 Close_time</f>
        <v>45241.753472222219</v>
      </c>
      <c r="E47" s="138"/>
      <c r="F47" s="145" t="str">
        <f>IF(ISBLANK(Control_9 Establishment_3),"",Control_9 Establishment_3)</f>
        <v>2243 Beacon Ave, Sidney,</v>
      </c>
      <c r="G47" s="164" t="str">
        <f>IF(ISBLANK('Control Entry'!K23),"",'Control Entry'!K23)</f>
        <v>N   S   Y</v>
      </c>
      <c r="H47" s="165"/>
      <c r="I47" s="166"/>
      <c r="J47" s="139"/>
    </row>
    <row r="48" spans="2:10" ht="40.049999999999997" customHeight="1" x14ac:dyDescent="0.45">
      <c r="B48" s="130"/>
      <c r="C48" s="141">
        <f>Control_10 Open_time</f>
        <v>45241.538194444445</v>
      </c>
      <c r="D48" s="141">
        <f>Control_10 Close_time</f>
        <v>45241.854166666664</v>
      </c>
      <c r="E48" s="140"/>
      <c r="F48" s="35" t="str">
        <f>IF(ISBLANK(Control_10 Establishment_1),"",Control_10 Establishment_1)</f>
        <v>SELF CONTROL</v>
      </c>
      <c r="G48" s="158" t="str">
        <f>IF(ISBLANK('Control Entry'!I24),"",'Control Entry'!I24)</f>
        <v>Self Sign</v>
      </c>
      <c r="H48" s="159"/>
      <c r="I48" s="160"/>
      <c r="J48" s="133"/>
    </row>
    <row r="49" spans="2:11" ht="40.049999999999997" customHeight="1" x14ac:dyDescent="0.4">
      <c r="B49" s="134">
        <f>IF(ISBLANK(Distance Control_10),"",Control_10 Distance)</f>
        <v>201.3</v>
      </c>
      <c r="C49" s="135">
        <f>Control_10 Open_time</f>
        <v>45241.538194444445</v>
      </c>
      <c r="D49" s="135">
        <f>Control_10 Close_time</f>
        <v>45241.854166666664</v>
      </c>
      <c r="E49" s="132" t="str">
        <f>IF(ISBLANK(Locale Control_10),"",Locale Control_10)</f>
        <v>VIEW ROYAL</v>
      </c>
      <c r="F49" s="35" t="str">
        <f>IF(ISBLANK(Control_10 Establishment_2),"",Control_10 Establishment_2)</f>
        <v>Galloping Goose &amp; E&amp;N Regional Trails</v>
      </c>
      <c r="G49" s="161" t="str">
        <f>IF(ISBLANK('Control Entry'!J24),"",'Control Entry'!J24)</f>
        <v/>
      </c>
      <c r="H49" s="162"/>
      <c r="I49" s="163"/>
      <c r="J49" s="136"/>
    </row>
    <row r="50" spans="2:11" ht="40.049999999999997" customHeight="1" thickBot="1" x14ac:dyDescent="0.5">
      <c r="B50" s="137"/>
      <c r="C50" s="142">
        <f>Control_10 Open_time</f>
        <v>45241.538194444445</v>
      </c>
      <c r="D50" s="142">
        <f>Control_10 Close_time</f>
        <v>45241.854166666664</v>
      </c>
      <c r="E50" s="138"/>
      <c r="F50" s="145" t="str">
        <f>IF(ISBLANK(Control_10 Establishment_3),"",Control_10 Establishment_3)</f>
        <v>Burnside Road &amp; Island Highway</v>
      </c>
      <c r="G50" s="164" t="str">
        <f>IF(ISBLANK('Control Entry'!K24),"",'Control Entry'!K24)</f>
        <v/>
      </c>
      <c r="H50" s="165"/>
      <c r="I50" s="166"/>
      <c r="J50" s="139"/>
    </row>
    <row r="52" spans="2:11" ht="24" customHeight="1" x14ac:dyDescent="0.25">
      <c r="B52" s="167" t="s">
        <v>43</v>
      </c>
      <c r="C52" s="167"/>
      <c r="D52" s="167"/>
      <c r="E52" s="167"/>
      <c r="F52" s="167"/>
      <c r="I52" s="102" t="s">
        <v>89</v>
      </c>
      <c r="J52" s="123" t="str">
        <f>IF(ISBLANK('Control Entry'!F10),"",'Control Entry'!F10)</f>
        <v>250-588-0021</v>
      </c>
      <c r="K52" s="98"/>
    </row>
    <row r="54" spans="2:11" x14ac:dyDescent="0.25">
      <c r="B54" s="118" t="s">
        <v>92</v>
      </c>
      <c r="C54" s="119">
        <f>'Control Entry'!B3</f>
        <v>45167</v>
      </c>
    </row>
    <row r="55" spans="2:11" ht="22.8" x14ac:dyDescent="0.25">
      <c r="B55" s="102"/>
      <c r="C55" s="102"/>
      <c r="D55" s="102"/>
      <c r="E55" s="102"/>
      <c r="F55" s="98"/>
      <c r="G55" s="104"/>
      <c r="H55" s="104"/>
      <c r="I55" s="104"/>
      <c r="J55" s="98"/>
    </row>
    <row r="56" spans="2:11" x14ac:dyDescent="0.25">
      <c r="E56" s="2"/>
    </row>
    <row r="57" spans="2:11" x14ac:dyDescent="0.25">
      <c r="B57" s="100"/>
      <c r="C57" s="101"/>
      <c r="D57" s="101"/>
      <c r="E57" s="101"/>
      <c r="F57" s="156"/>
      <c r="G57" s="157"/>
      <c r="H57" s="157"/>
      <c r="I57" s="157"/>
      <c r="J57" s="157"/>
    </row>
  </sheetData>
  <mergeCells count="49">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8:I28"/>
    <mergeCell ref="G26:I26"/>
    <mergeCell ref="C17:F17"/>
    <mergeCell ref="G37:I37"/>
    <mergeCell ref="N17:O17"/>
    <mergeCell ref="F57:J57"/>
    <mergeCell ref="G48:I48"/>
    <mergeCell ref="G49:I49"/>
    <mergeCell ref="G50:I50"/>
    <mergeCell ref="G27:I27"/>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D1" zoomScale="92" zoomScaleNormal="92" zoomScalePageLayoutView="92" workbookViewId="0">
      <selection activeCell="L6" sqref="L6:U6"/>
    </sheetView>
  </sheetViews>
  <sheetFormatPr defaultColWidth="8.77734375" defaultRowHeight="13.2" x14ac:dyDescent="0.25"/>
  <cols>
    <col min="1" max="1" width="8.44140625" style="1" customWidth="1"/>
    <col min="2" max="3" width="11.6640625" customWidth="1"/>
    <col min="4" max="4" width="18" customWidth="1"/>
    <col min="5" max="5" width="23.77734375" customWidth="1"/>
    <col min="6" max="6" width="42" customWidth="1"/>
    <col min="7" max="7" width="13.44140625" customWidth="1"/>
    <col min="8" max="8" width="8" customWidth="1"/>
    <col min="9" max="9" width="12" customWidth="1"/>
    <col min="12" max="14" width="9" customWidth="1"/>
    <col min="18" max="18" width="8.77734375" customWidth="1"/>
    <col min="19" max="19" width="10.44140625" customWidth="1"/>
  </cols>
  <sheetData>
    <row r="1" spans="1:22" ht="21" thickBot="1" x14ac:dyDescent="0.3">
      <c r="A1" s="175" t="s">
        <v>79</v>
      </c>
      <c r="B1" s="175"/>
      <c r="C1" s="175"/>
      <c r="D1" s="175"/>
      <c r="E1" s="175"/>
      <c r="F1" s="175"/>
      <c r="G1" s="175"/>
      <c r="H1" s="23" t="s">
        <v>29</v>
      </c>
    </row>
    <row r="2" spans="1:22" ht="33.75" customHeight="1" thickBot="1" x14ac:dyDescent="0.35">
      <c r="A2" s="63" t="s">
        <v>30</v>
      </c>
      <c r="B2" s="9" t="s">
        <v>3</v>
      </c>
      <c r="C2" s="9" t="s">
        <v>4</v>
      </c>
      <c r="D2" s="9" t="s">
        <v>25</v>
      </c>
      <c r="E2" s="9" t="s">
        <v>31</v>
      </c>
      <c r="F2" s="9" t="s">
        <v>59</v>
      </c>
      <c r="G2" s="63" t="s">
        <v>32</v>
      </c>
      <c r="H2" s="23" t="s">
        <v>29</v>
      </c>
      <c r="K2" s="157" t="s">
        <v>55</v>
      </c>
      <c r="L2" s="157"/>
      <c r="M2" s="157"/>
      <c r="N2" s="157"/>
      <c r="O2" s="157"/>
      <c r="P2" s="157"/>
      <c r="Q2" s="157"/>
      <c r="R2" s="157"/>
      <c r="S2" s="157"/>
      <c r="T2" s="157"/>
      <c r="U2" s="157"/>
    </row>
    <row r="3" spans="1:22" ht="36" customHeight="1" x14ac:dyDescent="0.7">
      <c r="A3" s="24"/>
      <c r="B3" s="25">
        <f>Control_1 Open_time</f>
        <v>45241.291666666664</v>
      </c>
      <c r="C3" s="25">
        <f>Control_1 Close_time</f>
        <v>45241.333333333328</v>
      </c>
      <c r="D3" s="26"/>
      <c r="E3" s="27" t="str">
        <f>IF(ISBLANK(Control_1 Establishment_1),"",Control_1 Establishment_1)</f>
        <v xml:space="preserve">STAFFED CONTROL </v>
      </c>
      <c r="F3" s="83" t="str">
        <f>IF(ISBLANK('Control Entry'!I15),"",'Control Entry'!I15)</f>
        <v/>
      </c>
      <c r="G3" s="84"/>
      <c r="H3" s="23" t="s">
        <v>29</v>
      </c>
      <c r="K3" s="13"/>
      <c r="O3" s="183" t="s">
        <v>33</v>
      </c>
      <c r="P3" s="183"/>
      <c r="Q3" s="183"/>
      <c r="R3" s="183"/>
      <c r="S3" s="73" t="str">
        <f>IF('Control Entry'!D28=0,"","#1")</f>
        <v/>
      </c>
      <c r="U3" s="37"/>
    </row>
    <row r="4" spans="1:22" ht="36" customHeight="1" x14ac:dyDescent="0.3">
      <c r="A4" s="33">
        <f>IF(ISBLANK(Distance Control_1),"",Control_1 Distance)</f>
        <v>0</v>
      </c>
      <c r="B4" s="34">
        <f>Control_1 Open_time</f>
        <v>45241.291666666664</v>
      </c>
      <c r="C4" s="34">
        <f>Control_1 Close_time</f>
        <v>45241.333333333328</v>
      </c>
      <c r="D4" s="35" t="str">
        <f>IF(ISBLANK(Locale Control_1),"",Locale Control_1)</f>
        <v>VIEW ROYAL</v>
      </c>
      <c r="E4" s="27" t="str">
        <f>IF(ISBLANK(Control_1 Establishment_2),"",Control_1 Establishment_2)</f>
        <v>Galloping Goose &amp; E&amp;N Regional Trails</v>
      </c>
      <c r="F4" s="83" t="str">
        <f>IF(ISBLANK('Control Entry'!J15),"",'Control Entry'!J15)</f>
        <v/>
      </c>
      <c r="G4" s="84"/>
      <c r="H4" s="23" t="s">
        <v>29</v>
      </c>
      <c r="K4" s="13"/>
      <c r="M4" s="184" t="str">
        <f>IF(ISBLANK(Brevet_Length),"",Brevet_Length&amp;" km Randonnée")</f>
        <v>200 km Randonnée</v>
      </c>
      <c r="N4" s="184"/>
      <c r="O4" s="184"/>
      <c r="P4" s="184"/>
      <c r="Q4" s="184"/>
      <c r="R4" s="184"/>
      <c r="S4" s="184"/>
      <c r="T4" s="184"/>
      <c r="U4" s="38"/>
    </row>
    <row r="5" spans="1:22" ht="36" customHeight="1" thickBot="1" x14ac:dyDescent="0.4">
      <c r="A5" s="28"/>
      <c r="B5" s="29">
        <f>Control_1 Open_time</f>
        <v>45241.291666666664</v>
      </c>
      <c r="C5" s="29">
        <f>Control_1 Close_time</f>
        <v>45241.333333333328</v>
      </c>
      <c r="D5" s="30"/>
      <c r="E5" s="31" t="str">
        <f>IF(ISBLANK(Control_1 Establishment_3),"",Control_1 Establishment_3)</f>
        <v>Burnside Road &amp; Island Highway</v>
      </c>
      <c r="F5" s="88" t="str">
        <f>IF(ISBLANK('Control Entry'!K15),"",'Control Entry'!K15)</f>
        <v/>
      </c>
      <c r="G5" s="87"/>
      <c r="H5" s="23" t="s">
        <v>29</v>
      </c>
      <c r="K5" s="13"/>
      <c r="M5" s="14"/>
      <c r="N5" s="155" t="s">
        <v>47</v>
      </c>
      <c r="O5" s="155"/>
      <c r="P5" s="51">
        <f>IF(ISBLANK(Brevet_Number),"",Brevet_Number)</f>
        <v>5279</v>
      </c>
      <c r="Q5" s="52"/>
      <c r="R5" s="197">
        <f>IF(ISBLANK('Control Entry'!$B10),"",'Control Entry'!$B10)</f>
        <v>45241</v>
      </c>
      <c r="S5" s="197"/>
      <c r="T5" s="197"/>
      <c r="U5" s="197"/>
      <c r="V5" s="39"/>
    </row>
    <row r="6" spans="1:22" ht="36" customHeight="1" x14ac:dyDescent="0.4">
      <c r="A6" s="24"/>
      <c r="B6" s="25">
        <f>Control_2 Open_time</f>
        <v>45241.309027777774</v>
      </c>
      <c r="C6" s="25">
        <f>Control_2 Close_time</f>
        <v>45241.363194444442</v>
      </c>
      <c r="D6" s="32"/>
      <c r="E6" s="27" t="str">
        <f>IF(ISBLANK(Control_2 Establishment_1),"",Control_2 Establishment_1)</f>
        <v>INFORMATION CONTROL</v>
      </c>
      <c r="F6" s="83" t="str">
        <f>IF(ISBLANK('Control Entry'!I16),"",'Control Entry'!I16)</f>
        <v>Date the HMCS Galiano sank?</v>
      </c>
      <c r="G6" s="84"/>
      <c r="H6" s="23" t="s">
        <v>29</v>
      </c>
      <c r="K6" s="13"/>
      <c r="L6" s="187" t="str">
        <f>IF(ISBLANK(Brevet_Description),"",Brevet_Description)</f>
        <v>A RIDE OF REMEMBRANCE</v>
      </c>
      <c r="M6" s="187"/>
      <c r="N6" s="187"/>
      <c r="O6" s="187"/>
      <c r="P6" s="187"/>
      <c r="Q6" s="187"/>
      <c r="R6" s="187"/>
      <c r="S6" s="187"/>
      <c r="T6" s="187"/>
      <c r="U6" s="187"/>
    </row>
    <row r="7" spans="1:22" ht="36" customHeight="1" x14ac:dyDescent="0.3">
      <c r="A7" s="33">
        <f>IF(ISBLANK(Distance Control_2),"",Control_2 Distance)</f>
        <v>14.3</v>
      </c>
      <c r="B7" s="34">
        <f>Control_2 Open_time</f>
        <v>45241.309027777774</v>
      </c>
      <c r="C7" s="34">
        <f>Control_2 Close_time</f>
        <v>45241.363194444442</v>
      </c>
      <c r="D7" s="35" t="str">
        <f>IF(ISBLANK(Locale Control_2),"",Locale Control_2)</f>
        <v>VICTORIA</v>
      </c>
      <c r="E7" s="47" t="str">
        <f>IF(ISBLANK(Control_2 Establishment_2),"",Control_2 Establishment_2)</f>
        <v>Ross Bay Cemetery</v>
      </c>
      <c r="F7" s="85" t="str">
        <f>IF(ISBLANK('Control Entry'!J16),"",'Control Entry'!J16)</f>
        <v/>
      </c>
      <c r="G7" s="84"/>
      <c r="H7" s="23" t="s">
        <v>29</v>
      </c>
      <c r="J7" s="72"/>
      <c r="L7" s="72"/>
    </row>
    <row r="8" spans="1:22" ht="36" customHeight="1" thickBot="1" x14ac:dyDescent="0.4">
      <c r="A8" s="28"/>
      <c r="B8" s="29">
        <f>Control_2 Open_time</f>
        <v>45241.309027777774</v>
      </c>
      <c r="C8" s="29">
        <f>Control_2 Close_time</f>
        <v>45241.363194444442</v>
      </c>
      <c r="D8" s="30"/>
      <c r="E8" s="71" t="str">
        <f>IF(ISBLANK(Control_2 Establishment_3),"",Control_2 Establishment_3)</f>
        <v>Approx. Dallas Rd &amp; St. Charles St lane</v>
      </c>
      <c r="F8" s="86" t="str">
        <f>IF(ISBLANK('Control Entry'!K16),"",'Control Entry'!K16)</f>
        <v>Oct____, 1918</v>
      </c>
      <c r="G8" s="87"/>
      <c r="H8" s="23" t="s">
        <v>29</v>
      </c>
      <c r="J8" s="14" t="s">
        <v>34</v>
      </c>
      <c r="L8" s="198"/>
      <c r="M8" s="198"/>
      <c r="N8" s="198"/>
      <c r="O8" s="198"/>
      <c r="P8" s="198"/>
      <c r="Q8" s="198"/>
      <c r="S8" s="40" t="s">
        <v>46</v>
      </c>
      <c r="T8" s="205"/>
      <c r="U8" s="205"/>
    </row>
    <row r="9" spans="1:22" ht="36" customHeight="1" thickBot="1" x14ac:dyDescent="0.5">
      <c r="A9" s="24"/>
      <c r="B9" s="25">
        <f>Control_3 Open_time</f>
        <v>45241.324999999997</v>
      </c>
      <c r="C9" s="25">
        <f>Control_3 Close_time</f>
        <v>45241.390277777777</v>
      </c>
      <c r="D9" s="32"/>
      <c r="E9" s="27" t="str">
        <f>IF(ISBLANK(Control_3 Establishment_1),"",Control_3 Establishment_1)</f>
        <v>INFORMATION CONTROL</v>
      </c>
      <c r="F9" s="83" t="str">
        <f>IF(ISBLANK('Control Entry'!I17),"",'Control Entry'!I17)</f>
        <v>First grave on right</v>
      </c>
      <c r="G9" s="84"/>
      <c r="H9" s="23" t="s">
        <v>29</v>
      </c>
      <c r="J9" s="14" t="s">
        <v>35</v>
      </c>
      <c r="K9" s="14"/>
      <c r="L9" s="189" t="s">
        <v>54</v>
      </c>
      <c r="M9" s="189"/>
      <c r="N9" s="189"/>
      <c r="O9" s="189"/>
      <c r="P9" s="189"/>
      <c r="Q9" s="189"/>
      <c r="R9" s="189"/>
      <c r="S9" s="189"/>
      <c r="T9" s="189"/>
      <c r="U9" s="189"/>
    </row>
    <row r="10" spans="1:22" ht="36" customHeight="1" thickBot="1" x14ac:dyDescent="0.45">
      <c r="A10" s="33">
        <f>IF(ISBLANK(Distance Control_3),"",Control_3 Distance)</f>
        <v>27.2</v>
      </c>
      <c r="B10" s="34">
        <f>Control_3 Open_time</f>
        <v>45241.324999999997</v>
      </c>
      <c r="C10" s="34">
        <f>Control_3 Close_time</f>
        <v>45241.390277777777</v>
      </c>
      <c r="D10" s="35" t="str">
        <f>IF(ISBLANK(Locale Control_3),"",Locale Control_3)</f>
        <v>SAANICH</v>
      </c>
      <c r="E10" s="27" t="str">
        <f>IF(ISBLANK(Control_3 Establishment_2),"",Control_3 Establishment_2)</f>
        <v>St. Lukes Church Cemetery</v>
      </c>
      <c r="F10" s="83" t="str">
        <f>IF(ISBLANK('Control Entry'!J17),"",'Control Entry'!J17)</f>
        <v>Constance Emily Thompson</v>
      </c>
      <c r="G10" s="84"/>
      <c r="H10" s="23" t="s">
        <v>29</v>
      </c>
      <c r="J10" s="14"/>
      <c r="K10" s="14"/>
      <c r="L10" s="190"/>
      <c r="M10" s="190"/>
      <c r="N10" s="190"/>
      <c r="O10" s="190"/>
      <c r="P10" s="190"/>
      <c r="Q10" s="190"/>
      <c r="R10" s="190"/>
      <c r="S10" s="190"/>
      <c r="T10" s="190"/>
      <c r="U10" s="190"/>
    </row>
    <row r="11" spans="1:22" ht="36" customHeight="1" thickBot="1" x14ac:dyDescent="0.45">
      <c r="A11" s="28"/>
      <c r="B11" s="29">
        <f>Control_3 Open_time</f>
        <v>45241.324999999997</v>
      </c>
      <c r="C11" s="29">
        <f>Control_3 Close_time</f>
        <v>45241.390277777777</v>
      </c>
      <c r="D11" s="30"/>
      <c r="E11" s="31" t="str">
        <f>IF(ISBLANK(Control_3 Establishment_3),"",Control_3 Establishment_3)</f>
        <v>3821 Cedar Hill Cross Rd</v>
      </c>
      <c r="F11" s="88" t="str">
        <f>IF(ISBLANK('Control Entry'!K17),"",'Control Entry'!K17)</f>
        <v>1885-______</v>
      </c>
      <c r="G11" s="87"/>
      <c r="H11" s="23" t="s">
        <v>29</v>
      </c>
      <c r="J11" s="14" t="s">
        <v>36</v>
      </c>
      <c r="K11" s="14"/>
      <c r="L11" s="190"/>
      <c r="M11" s="190"/>
      <c r="N11" s="190"/>
      <c r="O11" s="14"/>
      <c r="P11" s="14" t="s">
        <v>37</v>
      </c>
      <c r="Q11" s="14"/>
      <c r="R11" s="14"/>
      <c r="S11" s="194"/>
      <c r="T11" s="194"/>
      <c r="U11" s="194"/>
    </row>
    <row r="12" spans="1:22" ht="36" customHeight="1" thickBot="1" x14ac:dyDescent="0.45">
      <c r="A12" s="24"/>
      <c r="B12" s="25">
        <f>Control_4 Open_time</f>
        <v>45241.345833333333</v>
      </c>
      <c r="C12" s="25">
        <f>Control_4 Close_time</f>
        <v>45241.425694444442</v>
      </c>
      <c r="D12" s="32"/>
      <c r="E12" s="27" t="str">
        <f>IF(ISBLANK(Control_4 Establishment_1),"",Control_4 Establishment_1)</f>
        <v>INFORMATION CONTROL</v>
      </c>
      <c r="F12" s="83" t="str">
        <f>IF(ISBLANK('Control Entry'!I18),"",'Control Entry'!I18)</f>
        <v>Consecration year? (Circle correct one)</v>
      </c>
      <c r="G12" s="84"/>
      <c r="H12" s="23" t="s">
        <v>29</v>
      </c>
      <c r="J12" s="14" t="s">
        <v>38</v>
      </c>
      <c r="K12" s="14"/>
      <c r="L12" s="190"/>
      <c r="M12" s="190"/>
      <c r="N12" s="190"/>
      <c r="O12" s="14"/>
      <c r="P12" s="14" t="s">
        <v>39</v>
      </c>
      <c r="Q12" s="14"/>
      <c r="R12" s="14"/>
      <c r="S12" s="194"/>
      <c r="T12" s="194"/>
      <c r="U12" s="194"/>
    </row>
    <row r="13" spans="1:22" ht="36" customHeight="1" thickBot="1" x14ac:dyDescent="0.45">
      <c r="A13" s="33">
        <f>IF(ISBLANK(Distance Control_4),"",Control_4 Distance)</f>
        <v>44.2</v>
      </c>
      <c r="B13" s="34">
        <f>Control_4 Open_time</f>
        <v>45241.345833333333</v>
      </c>
      <c r="C13" s="34">
        <f>Control_4 Close_time</f>
        <v>45241.425694444442</v>
      </c>
      <c r="D13" s="35" t="str">
        <f>IF(ISBLANK(Locale Control_4),"",Locale Control_4)</f>
        <v>ESQUIMALT</v>
      </c>
      <c r="E13" s="27" t="str">
        <f>IF(ISBLANK(Control_4 Establishment_2),"",Control_4 Establishment_2)</f>
        <v>St. Peter and Pauls Church</v>
      </c>
      <c r="F13" s="83" t="str">
        <f>IF(ISBLANK('Control Entry'!J18),"",'Control Entry'!J18)</f>
        <v/>
      </c>
      <c r="G13" s="84"/>
      <c r="H13" s="23" t="s">
        <v>29</v>
      </c>
      <c r="J13" s="14" t="s">
        <v>40</v>
      </c>
      <c r="L13" s="193"/>
      <c r="M13" s="193"/>
      <c r="N13" s="193"/>
      <c r="P13" s="14" t="s">
        <v>41</v>
      </c>
      <c r="Q13" s="14"/>
      <c r="R13" s="196"/>
      <c r="S13" s="196"/>
      <c r="T13" s="196"/>
      <c r="U13" s="196"/>
    </row>
    <row r="14" spans="1:22" ht="36" customHeight="1" thickBot="1" x14ac:dyDescent="0.4">
      <c r="A14" s="28"/>
      <c r="B14" s="29">
        <f>Control_4 Open_time</f>
        <v>45241.345833333333</v>
      </c>
      <c r="C14" s="29">
        <f>Control_4 Close_time</f>
        <v>45241.425694444442</v>
      </c>
      <c r="D14" s="30"/>
      <c r="E14" s="31" t="str">
        <f>IF(ISBLANK(Control_4 Establishment_3),"",Control_4 Establishment_3)</f>
        <v>1379 Esquimalt Rd, Esquimalt</v>
      </c>
      <c r="F14" s="88" t="str">
        <f>IF(ISBLANK('Control Entry'!K18),"",'Control Entry'!K18)</f>
        <v>1865   1866    1867</v>
      </c>
      <c r="G14" s="87"/>
      <c r="H14" s="23" t="s">
        <v>29</v>
      </c>
    </row>
    <row r="15" spans="1:22" ht="36" customHeight="1" x14ac:dyDescent="0.35">
      <c r="A15" s="24"/>
      <c r="B15" s="25">
        <f>Control_5 Open_time</f>
        <v>45241.379861111105</v>
      </c>
      <c r="C15" s="25">
        <f>Control_5 Close_time</f>
        <v>45241.490972222222</v>
      </c>
      <c r="D15" s="32"/>
      <c r="E15" s="27" t="str">
        <f>IF(ISBLANK(Control_5 Establishment_1),"",Control_5 Establishment_1)</f>
        <v>INFORMATION CONTROL</v>
      </c>
      <c r="F15" s="83" t="str">
        <f>IF(ISBLANK('Control Entry'!I19),"",'Control Entry'!I19)</f>
        <v># of 'No Trespassing' signs on fence?</v>
      </c>
      <c r="G15" s="84"/>
      <c r="H15" s="23" t="s">
        <v>29</v>
      </c>
      <c r="J15" s="14"/>
      <c r="L15" s="186" t="s">
        <v>58</v>
      </c>
      <c r="M15" s="186"/>
      <c r="N15" s="186"/>
      <c r="O15" s="186"/>
      <c r="P15" s="186"/>
      <c r="Q15" s="186"/>
      <c r="R15" s="186"/>
      <c r="S15" s="186"/>
      <c r="T15" s="186"/>
      <c r="U15" s="186"/>
    </row>
    <row r="16" spans="1:22" ht="36" customHeight="1" thickBot="1" x14ac:dyDescent="0.35">
      <c r="A16" s="33">
        <f>IF(ISBLANK(Distance Control_5),"",Control_5 Distance)</f>
        <v>71.7</v>
      </c>
      <c r="B16" s="34">
        <f>Control_5 Open_time</f>
        <v>45241.379861111105</v>
      </c>
      <c r="C16" s="34">
        <f>Control_5 Close_time</f>
        <v>45241.490972222222</v>
      </c>
      <c r="D16" s="35" t="str">
        <f>IF(ISBLANK(Locale Control_5),"",Locale Control_5)</f>
        <v>METCHOSIN</v>
      </c>
      <c r="E16" s="27" t="str">
        <f>IF(ISBLANK(Control_5 Establishment_2),"",Control_5 Establishment_2)</f>
        <v>Rocky Point Ammunition Depot</v>
      </c>
      <c r="F16" s="83" t="str">
        <f>IF(ISBLANK('Control Entry'!J19),"",'Control Entry'!J19)</f>
        <v/>
      </c>
      <c r="G16" s="84"/>
      <c r="H16" s="23" t="s">
        <v>29</v>
      </c>
      <c r="L16" s="191"/>
      <c r="M16" s="191"/>
      <c r="N16" s="191"/>
      <c r="O16" s="191"/>
      <c r="P16" s="191"/>
      <c r="Q16" s="191"/>
      <c r="R16" s="191"/>
      <c r="S16" s="191"/>
      <c r="T16" s="191"/>
      <c r="U16" s="191"/>
    </row>
    <row r="17" spans="1:22" ht="36" customHeight="1" thickBot="1" x14ac:dyDescent="0.4">
      <c r="A17" s="28"/>
      <c r="B17" s="29">
        <f>Control_5 Open_time</f>
        <v>45241.379861111105</v>
      </c>
      <c r="C17" s="29">
        <f>Control_5 Close_time</f>
        <v>45241.490972222222</v>
      </c>
      <c r="D17" s="30"/>
      <c r="E17" s="31" t="str">
        <f>IF(ISBLANK(Control_5 Establishment_3),"",Control_5 Establishment_3)</f>
        <v>West terminus of Rocky Point Rd</v>
      </c>
      <c r="F17" s="88" t="str">
        <f>IF(ISBLANK('Control Entry'!K19),"",'Control Entry'!K19)</f>
        <v>3   4   5</v>
      </c>
      <c r="G17" s="87"/>
      <c r="H17" s="23" t="s">
        <v>29</v>
      </c>
    </row>
    <row r="18" spans="1:22" ht="36" customHeight="1" x14ac:dyDescent="0.35">
      <c r="A18" s="24"/>
      <c r="B18" s="25">
        <f>Control_6 Open_time</f>
        <v>45241.447916666664</v>
      </c>
      <c r="C18" s="25">
        <f>Control_6 Close_time</f>
        <v>45241.646527777775</v>
      </c>
      <c r="D18" s="32"/>
      <c r="E18" s="27" t="str">
        <f>IF(ISBLANK(Control_6 Establishment_1),"",Control_6 Establishment_1)</f>
        <v>INFORMATION CONTROL</v>
      </c>
      <c r="F18" s="83" t="str">
        <f>IF(ISBLANK('Control Entry'!I20),"",'Control Entry'!I20)</f>
        <v>BC Lieutenant Governor from 1960-????</v>
      </c>
      <c r="G18" s="84"/>
      <c r="H18" s="23" t="s">
        <v>29</v>
      </c>
    </row>
    <row r="19" spans="1:22" ht="36" customHeight="1" x14ac:dyDescent="0.3">
      <c r="A19" s="33">
        <f>IF(ISBLANK(Distance Control_6),"",Control_6 Distance)</f>
        <v>127.7</v>
      </c>
      <c r="B19" s="34">
        <f>Control_6 Open_time</f>
        <v>45241.447916666664</v>
      </c>
      <c r="C19" s="34">
        <f>Control_6 Close_time</f>
        <v>45241.646527777775</v>
      </c>
      <c r="D19" s="35" t="str">
        <f>IF(ISBLANK(Locale Control_6),"",Locale Control_6)</f>
        <v>NORTH SAANICH</v>
      </c>
      <c r="E19" s="27" t="str">
        <f>IF(ISBLANK(Control_6 Establishment_2),"",Control_6 Establishment_2)</f>
        <v>Gen. Pearke's Grave,Holy Trinity Cemetery</v>
      </c>
      <c r="F19" s="83" t="str">
        <f>IF(ISBLANK('Control Entry'!J20),"",'Control Entry'!J20)</f>
        <v/>
      </c>
      <c r="G19" s="84"/>
      <c r="H19" s="23" t="s">
        <v>29</v>
      </c>
    </row>
    <row r="20" spans="1:22" ht="36" customHeight="1" thickBot="1" x14ac:dyDescent="0.4">
      <c r="A20" s="28"/>
      <c r="B20" s="29">
        <f>Control_6 Open_time</f>
        <v>45241.447916666664</v>
      </c>
      <c r="C20" s="29">
        <f>Control_6 Close_time</f>
        <v>45241.646527777775</v>
      </c>
      <c r="D20" s="30"/>
      <c r="E20" s="31" t="str">
        <f>IF(ISBLANK(Control_6 Establishment_3),"",Control_6 Establishment_3)</f>
        <v>1319 Mills Rd, North Saanich</v>
      </c>
      <c r="F20" s="88" t="str">
        <f>IF(ISBLANK('Control Entry'!K20),"",'Control Entry'!K20)</f>
        <v>19____</v>
      </c>
      <c r="G20" s="87"/>
      <c r="H20" s="23" t="s">
        <v>29</v>
      </c>
      <c r="J20" s="49" t="s">
        <v>44</v>
      </c>
      <c r="K20" s="49"/>
      <c r="L20" s="206">
        <f>IF(ISBLANK('Control Entry'!B12),"",'Control Entry'!B12)</f>
        <v>45241</v>
      </c>
      <c r="M20" s="206"/>
      <c r="N20" s="206"/>
      <c r="P20" s="14" t="s">
        <v>0</v>
      </c>
      <c r="Q20" s="14"/>
      <c r="S20" s="185">
        <f>IF(ISBLANK('Control Entry'!B13),"",'Control Entry'!B13)</f>
        <v>0.29166666666666669</v>
      </c>
      <c r="T20" s="185"/>
      <c r="U20" s="185"/>
    </row>
    <row r="21" spans="1:22" ht="36" customHeight="1" x14ac:dyDescent="0.35">
      <c r="A21" s="24"/>
      <c r="B21" s="25">
        <f>Control_7 Open_time</f>
        <v>45241.461111111108</v>
      </c>
      <c r="C21" s="25">
        <f>Control_7 Close_time</f>
        <v>45241.676388888889</v>
      </c>
      <c r="D21" s="32"/>
      <c r="E21" s="27" t="str">
        <f>IF(ISBLANK(Control_7 Establishment_1),"",Control_7 Establishment_1)</f>
        <v>INFORMATION CONTROL</v>
      </c>
      <c r="F21" s="83" t="str">
        <f>IF(ISBLANK('Control Entry'!I21),"",'Control Entry'!I21)</f>
        <v xml:space="preserve"> On cenatoph facing pathway</v>
      </c>
      <c r="G21" s="84"/>
      <c r="H21" s="23" t="s">
        <v>29</v>
      </c>
      <c r="J21" s="49"/>
      <c r="K21" s="49"/>
      <c r="L21" s="43"/>
      <c r="M21" s="43"/>
      <c r="N21" s="43"/>
      <c r="P21" s="14"/>
      <c r="Q21" s="14"/>
      <c r="S21" s="50"/>
      <c r="T21" s="50"/>
      <c r="U21" s="50"/>
    </row>
    <row r="22" spans="1:22" ht="36" customHeight="1" thickBot="1" x14ac:dyDescent="0.4">
      <c r="A22" s="33">
        <f>IF(ISBLANK(Distance Control_7),"",Control_7 Distance)</f>
        <v>138.4</v>
      </c>
      <c r="B22" s="34">
        <f>Control_7 Open_time</f>
        <v>45241.461111111108</v>
      </c>
      <c r="C22" s="34">
        <f>Control_7 Close_time</f>
        <v>45241.676388888889</v>
      </c>
      <c r="D22" s="35" t="str">
        <f>IF(ISBLANK(Locale Control_7),"",Locale Control_7)</f>
        <v>BRENTWOOD BAY</v>
      </c>
      <c r="E22" s="27" t="str">
        <f>IF(ISBLANK(Control_7 Establishment_2),"",Control_7 Establishment_2)</f>
        <v>Central Saanich Cenotaph (Pioneer Park)</v>
      </c>
      <c r="F22" s="83" t="str">
        <f>IF(ISBLANK('Control Entry'!J21),"",'Control Entry'!J21)</f>
        <v>How many maple leaves?</v>
      </c>
      <c r="G22" s="84"/>
      <c r="H22" s="23" t="s">
        <v>29</v>
      </c>
      <c r="J22" s="49" t="s">
        <v>45</v>
      </c>
      <c r="K22" s="49"/>
      <c r="L22" s="192"/>
      <c r="M22" s="192"/>
      <c r="N22" s="192"/>
      <c r="P22" s="14" t="s">
        <v>1</v>
      </c>
      <c r="Q22" s="14"/>
      <c r="S22" s="188"/>
      <c r="T22" s="188"/>
      <c r="U22" s="188"/>
    </row>
    <row r="23" spans="1:22" ht="36" customHeight="1" thickBot="1" x14ac:dyDescent="0.4">
      <c r="A23" s="28"/>
      <c r="B23" s="29">
        <f>Control_7 Open_time</f>
        <v>45241.461111111108</v>
      </c>
      <c r="C23" s="29">
        <f>Control_7 Close_time</f>
        <v>45241.676388888889</v>
      </c>
      <c r="D23" s="30"/>
      <c r="E23" s="31" t="str">
        <f>IF(ISBLANK(Control_7 Establishment_3),"",Control_7 Establishment_3)</f>
        <v xml:space="preserve"> W Saanich Rd &amp; Clarke Rd, Brentwood By</v>
      </c>
      <c r="F23" s="88" t="str">
        <f>IF(ISBLANK('Control Entry'!K21),"",'Control Entry'!K21)</f>
        <v>1  2  3  4</v>
      </c>
      <c r="G23" s="87"/>
      <c r="H23" s="23" t="s">
        <v>29</v>
      </c>
      <c r="J23" s="49"/>
      <c r="K23" s="49"/>
      <c r="L23" s="43"/>
      <c r="M23" s="43"/>
      <c r="N23" s="43"/>
      <c r="P23" s="14"/>
      <c r="Q23" s="14"/>
    </row>
    <row r="24" spans="1:22" ht="36" customHeight="1" thickBot="1" x14ac:dyDescent="0.4">
      <c r="A24" s="24"/>
      <c r="B24" s="25">
        <f>Control_8 Open_time</f>
        <v>45241.490972222222</v>
      </c>
      <c r="C24" s="25">
        <f>Control_8 Close_time</f>
        <v>45241.743749999994</v>
      </c>
      <c r="D24" s="32"/>
      <c r="E24" s="27" t="str">
        <f>IF(ISBLANK(Control_8 Establishment_1),"",Control_8 Establishment_1)</f>
        <v>INFORMATION CONTROL</v>
      </c>
      <c r="F24" s="83" t="str">
        <f>IF(ISBLANK('Control Entry'!I22),"",'Control Entry'!I22)</f>
        <v>Date on brass plaque? (Circle correct one)</v>
      </c>
      <c r="G24" s="84"/>
      <c r="H24" s="23" t="s">
        <v>29</v>
      </c>
      <c r="J24" s="188"/>
      <c r="K24" s="188"/>
      <c r="L24" s="188"/>
      <c r="M24" s="188"/>
      <c r="N24" s="188"/>
      <c r="P24" s="14" t="s">
        <v>2</v>
      </c>
      <c r="Q24" s="14"/>
      <c r="S24" s="188"/>
      <c r="T24" s="188"/>
      <c r="U24" s="188"/>
    </row>
    <row r="25" spans="1:22" ht="36" customHeight="1" x14ac:dyDescent="0.3">
      <c r="A25" s="33">
        <f>IF(ISBLANK(Distance Control_8),"",Control_8 Distance)</f>
        <v>162.80000000000001</v>
      </c>
      <c r="B25" s="34">
        <f>Control_8 Open_time</f>
        <v>45241.490972222222</v>
      </c>
      <c r="C25" s="34">
        <f>Control_8 Close_time</f>
        <v>45241.743749999994</v>
      </c>
      <c r="D25" s="35" t="str">
        <f>IF(ISBLANK(Locale Control_8),"",Locale Control_8)</f>
        <v>NORTH SAANICH</v>
      </c>
      <c r="E25" s="27" t="str">
        <f>IF(ISBLANK(Control_8 Establishment_2),"",Control_8 Establishment_2)</f>
        <v>Blue Heron Park Memorial</v>
      </c>
      <c r="F25" s="83" t="str">
        <f>IF(ISBLANK('Control Entry'!J22),"",'Control Entry'!J22)</f>
        <v/>
      </c>
      <c r="G25" s="84"/>
      <c r="H25" s="23" t="s">
        <v>29</v>
      </c>
      <c r="J25" s="172" t="s">
        <v>17</v>
      </c>
      <c r="K25" s="172"/>
      <c r="L25" s="172"/>
      <c r="M25" s="172"/>
      <c r="N25" s="172"/>
      <c r="O25" s="45"/>
      <c r="P25" s="173"/>
      <c r="Q25" s="173"/>
      <c r="R25" s="45"/>
      <c r="S25" s="155"/>
      <c r="T25" s="155"/>
      <c r="U25" s="155"/>
      <c r="V25" s="155"/>
    </row>
    <row r="26" spans="1:22" ht="36" customHeight="1" thickBot="1" x14ac:dyDescent="0.4">
      <c r="A26" s="28"/>
      <c r="B26" s="29">
        <f>Control_8 Open_time</f>
        <v>45241.490972222222</v>
      </c>
      <c r="C26" s="29">
        <f>Control_8 Close_time</f>
        <v>45241.743749999994</v>
      </c>
      <c r="D26" s="30"/>
      <c r="E26" s="31" t="str">
        <f>IF(ISBLANK(Control_8 Establishment_3),"",Control_8 Establishment_3)</f>
        <v>10710 McDonald Park Rd</v>
      </c>
      <c r="F26" s="88" t="str">
        <f>IF(ISBLANK('Control Entry'!K22),"",'Control Entry'!K22)</f>
        <v>Nov 15   Nov 16  Nov 17</v>
      </c>
      <c r="G26" s="87"/>
      <c r="H26" s="23" t="s">
        <v>29</v>
      </c>
    </row>
    <row r="27" spans="1:22" ht="36" customHeight="1" x14ac:dyDescent="0.35">
      <c r="A27" s="24"/>
      <c r="B27" s="25">
        <f>Control_9 Open_time</f>
        <v>45241.495138888888</v>
      </c>
      <c r="C27" s="25">
        <f>Control_9 Close_time</f>
        <v>45241.753472222219</v>
      </c>
      <c r="D27" s="32"/>
      <c r="E27" s="27" t="str">
        <f>IF(ISBLANK(Control_9 Establishment_1),"",Control_9 Establishment_1)</f>
        <v>INFORMATION CONTROL</v>
      </c>
      <c r="F27" s="83" t="str">
        <f>IF(ISBLANK('Control Entry'!I23),"",'Control Entry'!I23)</f>
        <v>Quote on obelisk author</v>
      </c>
      <c r="G27" s="84"/>
      <c r="H27" s="23" t="s">
        <v>29</v>
      </c>
      <c r="K27" s="184" t="s">
        <v>56</v>
      </c>
      <c r="L27" s="173"/>
      <c r="M27" s="44" t="s">
        <v>57</v>
      </c>
      <c r="N27" s="173" t="s">
        <v>49</v>
      </c>
      <c r="O27" s="173"/>
      <c r="P27" s="173" t="s">
        <v>50</v>
      </c>
      <c r="Q27" s="173"/>
      <c r="R27" s="45" t="s">
        <v>51</v>
      </c>
      <c r="S27" s="155" t="s">
        <v>52</v>
      </c>
      <c r="T27" s="155"/>
      <c r="U27" s="155" t="s">
        <v>53</v>
      </c>
      <c r="V27" s="155"/>
    </row>
    <row r="28" spans="1:22" ht="36" customHeight="1" x14ac:dyDescent="0.3">
      <c r="A28" s="33">
        <f>IF(ISBLANK(Distance Control_9),"",Control_9 Distance)</f>
        <v>166.2</v>
      </c>
      <c r="B28" s="34">
        <f>Control_9 Open_time</f>
        <v>45241.495138888888</v>
      </c>
      <c r="C28" s="34">
        <f>Control_9 Close_time</f>
        <v>45241.753472222219</v>
      </c>
      <c r="D28" s="35" t="str">
        <f>IF(ISBLANK(Locale Control_9),"",Locale Control_9)</f>
        <v>SIDNEY</v>
      </c>
      <c r="E28" s="27" t="str">
        <f>IF(ISBLANK(Control_9 Establishment_2),"",Control_9 Establishment_2)</f>
        <v>Mary Winspear Centre Memorial</v>
      </c>
      <c r="F28" s="83" t="str">
        <f>IF(ISBLANK('Control Entry'!J23),"",'Control Entry'!J23)</f>
        <v>Lawrence Bin_?__on</v>
      </c>
      <c r="G28" s="84"/>
      <c r="H28" s="23" t="s">
        <v>29</v>
      </c>
    </row>
    <row r="29" spans="1:22" ht="36" customHeight="1" thickBot="1" x14ac:dyDescent="0.4">
      <c r="A29" s="28"/>
      <c r="B29" s="29">
        <f>Control_9 Open_time</f>
        <v>45241.495138888888</v>
      </c>
      <c r="C29" s="29">
        <f>Control_9 Close_time</f>
        <v>45241.753472222219</v>
      </c>
      <c r="D29" s="30"/>
      <c r="E29" s="31" t="str">
        <f>IF(ISBLANK(Control_9 Establishment_3),"",Control_9 Establishment_3)</f>
        <v>2243 Beacon Ave, Sidney,</v>
      </c>
      <c r="F29" s="88" t="str">
        <f>IF(ISBLANK('Control Entry'!K23),"",'Control Entry'!K23)</f>
        <v>N   S   Y</v>
      </c>
      <c r="G29" s="87"/>
      <c r="H29" s="23" t="s">
        <v>29</v>
      </c>
      <c r="M29" s="207" t="s">
        <v>42</v>
      </c>
      <c r="N29" s="207"/>
      <c r="O29" s="207"/>
      <c r="P29" s="207"/>
      <c r="Q29" s="207"/>
      <c r="R29" s="207"/>
      <c r="S29" s="207"/>
      <c r="T29" s="207"/>
      <c r="U29" s="48"/>
    </row>
    <row r="30" spans="1:22" ht="36" customHeight="1" x14ac:dyDescent="0.35">
      <c r="A30" s="24"/>
      <c r="B30" s="25">
        <f>Control_10 Open_time</f>
        <v>45241.538194444445</v>
      </c>
      <c r="C30" s="25">
        <f>Control_10 Close_time</f>
        <v>45241.854166666664</v>
      </c>
      <c r="D30" s="32"/>
      <c r="E30" s="27" t="str">
        <f>IF(ISBLANK(Control_10 Establishment_1),"",Control_10 Establishment_1)</f>
        <v>SELF CONTROL</v>
      </c>
      <c r="F30" s="83" t="str">
        <f>IF(ISBLANK('Control Entry'!I24),"",'Control Entry'!I24)</f>
        <v>Self Sign</v>
      </c>
      <c r="G30" s="84"/>
      <c r="H30" s="23" t="s">
        <v>29</v>
      </c>
      <c r="M30" s="15"/>
      <c r="N30" s="17"/>
      <c r="O30" s="17"/>
      <c r="P30" s="18"/>
      <c r="Q30" s="15"/>
      <c r="R30" s="17"/>
      <c r="S30" s="17"/>
      <c r="T30" s="18"/>
    </row>
    <row r="31" spans="1:22" ht="36" customHeight="1" x14ac:dyDescent="0.3">
      <c r="A31" s="33">
        <f>IF(ISBLANK(Distance Control_10),"",Control_10 Distance)</f>
        <v>201.3</v>
      </c>
      <c r="B31" s="34">
        <f>Control_10 Open_time</f>
        <v>45241.538194444445</v>
      </c>
      <c r="C31" s="34">
        <f>Control_10 Close_time</f>
        <v>45241.854166666664</v>
      </c>
      <c r="D31" s="35" t="str">
        <f>IF(ISBLANK(Locale Control_10),"",Locale Control_10)</f>
        <v>VIEW ROYAL</v>
      </c>
      <c r="E31" s="27" t="str">
        <f>IF(ISBLANK(Control_10 Establishment_2),"",Control_10 Establishment_2)</f>
        <v>Galloping Goose &amp; E&amp;N Regional Trails</v>
      </c>
      <c r="F31" s="83" t="str">
        <f>IF(ISBLANK('Control Entry'!J24),"",'Control Entry'!J24)</f>
        <v/>
      </c>
      <c r="G31" s="84"/>
      <c r="H31" s="23" t="s">
        <v>29</v>
      </c>
      <c r="M31" s="16"/>
      <c r="P31" s="19"/>
      <c r="Q31" s="16"/>
      <c r="T31" s="19"/>
    </row>
    <row r="32" spans="1:22" ht="36" customHeight="1" thickBot="1" x14ac:dyDescent="0.4">
      <c r="A32" s="28"/>
      <c r="B32" s="29">
        <f>Control_10 Open_time</f>
        <v>45241.538194444445</v>
      </c>
      <c r="C32" s="29">
        <f>Control_10 Close_time</f>
        <v>45241.854166666664</v>
      </c>
      <c r="D32" s="30"/>
      <c r="E32" s="31" t="str">
        <f>IF(ISBLANK(Control_10 Establishment_3),"",Control_10 Establishment_3)</f>
        <v>Burnside Road &amp; Island Highway</v>
      </c>
      <c r="F32" s="88" t="str">
        <f>IF(ISBLANK('Control Entry'!K24),"",'Control Entry'!K24)</f>
        <v/>
      </c>
      <c r="G32" s="87"/>
      <c r="H32" s="23" t="s">
        <v>29</v>
      </c>
      <c r="M32" s="199" t="s">
        <v>81</v>
      </c>
      <c r="N32" s="200"/>
      <c r="O32" s="200"/>
      <c r="P32" s="201"/>
      <c r="Q32" s="202">
        <f>'Control Entry'!B3</f>
        <v>45167</v>
      </c>
      <c r="R32" s="203"/>
      <c r="S32" s="203"/>
      <c r="T32" s="204"/>
    </row>
    <row r="33" spans="1:22" ht="36" customHeight="1" x14ac:dyDescent="0.35">
      <c r="A33" s="195" t="s">
        <v>43</v>
      </c>
      <c r="B33" s="195"/>
      <c r="C33" s="195"/>
      <c r="D33" s="195"/>
      <c r="E33" s="195"/>
      <c r="F33" s="195"/>
      <c r="G33" s="195"/>
      <c r="H33" s="36"/>
      <c r="I33" s="36"/>
      <c r="M33" s="208" t="s">
        <v>83</v>
      </c>
      <c r="N33" s="209"/>
      <c r="O33" s="209"/>
      <c r="P33" s="209"/>
      <c r="Q33" s="156">
        <f>'Control Entry'!B4</f>
        <v>45237</v>
      </c>
      <c r="R33" s="157"/>
      <c r="S33" s="157"/>
      <c r="T33" s="157"/>
      <c r="V33" s="43"/>
    </row>
    <row r="34" spans="1:22" ht="36" customHeight="1" x14ac:dyDescent="0.35">
      <c r="A34"/>
      <c r="O34" s="14"/>
      <c r="P34" s="14"/>
      <c r="Q34" s="14"/>
      <c r="R34" s="41"/>
    </row>
    <row r="35" spans="1:22" ht="36" customHeight="1" x14ac:dyDescent="0.25">
      <c r="A35"/>
      <c r="N35" s="207"/>
      <c r="O35" s="207"/>
      <c r="P35" s="207"/>
      <c r="Q35" s="207"/>
      <c r="R35" s="207"/>
      <c r="S35" s="207"/>
      <c r="T35" s="207"/>
      <c r="U35" s="207"/>
    </row>
    <row r="36" spans="1:22" ht="36" customHeight="1" x14ac:dyDescent="0.25">
      <c r="A36"/>
    </row>
    <row r="37" spans="1:22" ht="36" customHeight="1" x14ac:dyDescent="0.25">
      <c r="A37"/>
    </row>
    <row r="38" spans="1:22" ht="36" customHeight="1" x14ac:dyDescent="0.35">
      <c r="A38"/>
      <c r="N38" s="14"/>
    </row>
    <row r="39" spans="1:22" ht="36" customHeight="1" x14ac:dyDescent="0.25">
      <c r="A39"/>
    </row>
    <row r="40" spans="1:22" ht="36" customHeight="1" x14ac:dyDescent="0.25">
      <c r="A40"/>
    </row>
  </sheetData>
  <sheetProtection formatCells="0" selectLockedCells="1"/>
  <mergeCells count="41">
    <mergeCell ref="U25:V25"/>
    <mergeCell ref="N35:U35"/>
    <mergeCell ref="M29:T29"/>
    <mergeCell ref="N27:O27"/>
    <mergeCell ref="P27:Q27"/>
    <mergeCell ref="S27:T27"/>
    <mergeCell ref="U27:V27"/>
    <mergeCell ref="M33:P33"/>
    <mergeCell ref="Q33:T33"/>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C3" zoomScale="92" zoomScaleNormal="92" zoomScalePageLayoutView="92" workbookViewId="0">
      <selection activeCell="F3" sqref="F3"/>
    </sheetView>
  </sheetViews>
  <sheetFormatPr defaultColWidth="8.77734375" defaultRowHeight="13.2" x14ac:dyDescent="0.25"/>
  <cols>
    <col min="1" max="1" width="8.44140625" style="1" customWidth="1"/>
    <col min="2" max="3" width="11.6640625" customWidth="1"/>
    <col min="4" max="4" width="18" customWidth="1"/>
    <col min="5" max="5" width="23.77734375" customWidth="1"/>
    <col min="6" max="6" width="42" customWidth="1"/>
    <col min="7" max="7" width="13.44140625" customWidth="1"/>
    <col min="8" max="8" width="8" customWidth="1"/>
    <col min="9" max="9" width="12" customWidth="1"/>
    <col min="12" max="14" width="9" customWidth="1"/>
    <col min="18" max="18" width="8.77734375" customWidth="1"/>
    <col min="19" max="19" width="10.44140625" customWidth="1"/>
  </cols>
  <sheetData>
    <row r="1" spans="1:22" ht="21" thickBot="1" x14ac:dyDescent="0.3">
      <c r="A1" s="175" t="s">
        <v>73</v>
      </c>
      <c r="B1" s="175"/>
      <c r="C1" s="175"/>
      <c r="D1" s="175"/>
      <c r="E1" s="175"/>
      <c r="F1" s="175"/>
      <c r="G1" s="175"/>
      <c r="H1" s="23" t="s">
        <v>29</v>
      </c>
    </row>
    <row r="2" spans="1:22" ht="33.75" customHeight="1" thickBot="1" x14ac:dyDescent="0.35">
      <c r="A2" s="63" t="s">
        <v>30</v>
      </c>
      <c r="B2" s="9" t="s">
        <v>3</v>
      </c>
      <c r="C2" s="9" t="s">
        <v>4</v>
      </c>
      <c r="D2" s="9" t="s">
        <v>25</v>
      </c>
      <c r="E2" s="9" t="s">
        <v>31</v>
      </c>
      <c r="F2" s="9" t="s">
        <v>59</v>
      </c>
      <c r="G2" s="63" t="s">
        <v>32</v>
      </c>
      <c r="H2" s="23" t="s">
        <v>29</v>
      </c>
      <c r="K2" s="157" t="s">
        <v>55</v>
      </c>
      <c r="L2" s="157"/>
      <c r="M2" s="157"/>
      <c r="N2" s="157"/>
      <c r="O2" s="157"/>
      <c r="P2" s="157"/>
      <c r="Q2" s="157"/>
      <c r="R2" s="157"/>
      <c r="S2" s="157"/>
      <c r="T2" s="157"/>
      <c r="U2" s="157"/>
    </row>
    <row r="3" spans="1:22" ht="36" customHeight="1" x14ac:dyDescent="0.7">
      <c r="A3" s="24"/>
      <c r="B3" s="25" t="str">
        <f>'Control Entry'!N28</f>
        <v/>
      </c>
      <c r="C3" s="25" t="str">
        <f>'Control Entry'!O28</f>
        <v/>
      </c>
      <c r="D3" s="26"/>
      <c r="E3" s="27" t="str">
        <f>IF(ISBLANK('Control Entry'!F28),"",'Control Entry'!F28)</f>
        <v/>
      </c>
      <c r="F3" s="83" t="str">
        <f>IF(ISBLANK('Control Entry'!I28),"",'Control Entry'!I28)</f>
        <v/>
      </c>
      <c r="G3" s="84"/>
      <c r="H3" s="23" t="s">
        <v>29</v>
      </c>
      <c r="K3" s="13"/>
      <c r="O3" s="183" t="s">
        <v>72</v>
      </c>
      <c r="P3" s="183"/>
      <c r="Q3" s="183"/>
      <c r="R3" s="183"/>
      <c r="S3" s="73" t="str">
        <f>IF('Control Entry'!D28=0,"","#2")</f>
        <v/>
      </c>
      <c r="U3" s="37"/>
    </row>
    <row r="4" spans="1:22" ht="36" customHeight="1" x14ac:dyDescent="0.3">
      <c r="A4" s="33" t="str">
        <f>IF(ISBLANK('Control Entry'!D28),"",'Control Entry'!D28)</f>
        <v/>
      </c>
      <c r="B4" s="34" t="str">
        <f>'Control Entry'!N28</f>
        <v/>
      </c>
      <c r="C4" s="34" t="str">
        <f>'Control Entry'!O28</f>
        <v/>
      </c>
      <c r="D4" s="35" t="str">
        <f>IF(ISBLANK('Control Entry'!E28),"",'Control Entry'!E28)</f>
        <v/>
      </c>
      <c r="E4" s="27" t="str">
        <f>IF(ISBLANK('Control Entry'!G28),"",'Control Entry'!G28)</f>
        <v/>
      </c>
      <c r="F4" s="83" t="str">
        <f>IF(ISBLANK('Control Entry'!J28),"",'Control Entry'!J28)</f>
        <v/>
      </c>
      <c r="G4" s="84"/>
      <c r="H4" s="23" t="s">
        <v>29</v>
      </c>
      <c r="K4" s="13"/>
      <c r="M4" s="184" t="str">
        <f>IF(ISBLANK(Brevet_Length),"",Brevet_Length&amp;" km Randonnée")</f>
        <v>200 km Randonnée</v>
      </c>
      <c r="N4" s="184"/>
      <c r="O4" s="184"/>
      <c r="P4" s="184"/>
      <c r="Q4" s="184"/>
      <c r="R4" s="184"/>
      <c r="S4" s="184"/>
      <c r="T4" s="184"/>
      <c r="U4" s="38"/>
    </row>
    <row r="5" spans="1:22" ht="36" customHeight="1" thickBot="1" x14ac:dyDescent="0.4">
      <c r="A5" s="28"/>
      <c r="B5" s="29" t="str">
        <f>'Control Entry'!N28</f>
        <v/>
      </c>
      <c r="C5" s="29" t="str">
        <f>'Control Entry'!O28</f>
        <v/>
      </c>
      <c r="D5" s="30"/>
      <c r="E5" s="31" t="str">
        <f>IF(ISBLANK('Control Entry'!H28),"",'Control Entry'!H28)</f>
        <v/>
      </c>
      <c r="F5" s="88" t="str">
        <f>IF(ISBLANK('Control Entry'!K28),"",'Control Entry'!K28)</f>
        <v/>
      </c>
      <c r="G5" s="87"/>
      <c r="H5" s="23" t="s">
        <v>29</v>
      </c>
      <c r="K5" s="13"/>
      <c r="M5" s="14"/>
      <c r="N5" s="155" t="s">
        <v>47</v>
      </c>
      <c r="O5" s="155"/>
      <c r="P5" s="51">
        <f>IF(ISBLANK(Brevet_Number),"",Brevet_Number)</f>
        <v>5279</v>
      </c>
      <c r="Q5" s="52"/>
      <c r="R5" s="197">
        <f>IF(ISBLANK('Control Entry'!$B10),"",'Control Entry'!$B10)</f>
        <v>45241</v>
      </c>
      <c r="S5" s="197"/>
      <c r="T5" s="197"/>
      <c r="U5" s="197"/>
      <c r="V5" s="39"/>
    </row>
    <row r="6" spans="1:22" ht="36" customHeight="1" x14ac:dyDescent="0.4">
      <c r="A6" s="24"/>
      <c r="B6" s="25" t="str">
        <f>'Control Entry'!N29</f>
        <v/>
      </c>
      <c r="C6" s="25" t="str">
        <f>'Control Entry'!O29</f>
        <v/>
      </c>
      <c r="D6" s="32"/>
      <c r="E6" s="27" t="str">
        <f>IF(ISBLANK('Control Entry'!F29),"",'Control Entry'!F29)</f>
        <v/>
      </c>
      <c r="F6" s="83" t="str">
        <f>IF(ISBLANK('Control Entry'!I29),"",'Control Entry'!I29)</f>
        <v/>
      </c>
      <c r="G6" s="84"/>
      <c r="H6" s="23" t="s">
        <v>29</v>
      </c>
      <c r="K6" s="13"/>
      <c r="L6" s="187" t="str">
        <f>IF(ISBLANK(Brevet_Description),"",Brevet_Description)</f>
        <v>A RIDE OF REMEMBRANCE</v>
      </c>
      <c r="M6" s="187"/>
      <c r="N6" s="187"/>
      <c r="O6" s="187"/>
      <c r="P6" s="187"/>
      <c r="Q6" s="187"/>
      <c r="R6" s="187"/>
      <c r="S6" s="187"/>
      <c r="T6" s="187"/>
      <c r="U6" s="187"/>
    </row>
    <row r="7" spans="1:22" ht="36" customHeight="1" x14ac:dyDescent="0.3">
      <c r="A7" s="33" t="str">
        <f>IF(ISBLANK('Control Entry'!D29),"",'Control Entry'!D29)</f>
        <v/>
      </c>
      <c r="B7" s="34" t="str">
        <f>'Control Entry'!N29</f>
        <v/>
      </c>
      <c r="C7" s="34" t="str">
        <f>'Control Entry'!O29</f>
        <v/>
      </c>
      <c r="D7" s="35" t="str">
        <f>IF(ISBLANK('Control Entry'!E29),"",'Control Entry'!E29)</f>
        <v/>
      </c>
      <c r="E7" s="27" t="str">
        <f>IF(ISBLANK('Control Entry'!G29),"",'Control Entry'!G29)</f>
        <v/>
      </c>
      <c r="F7" s="83" t="str">
        <f>IF(ISBLANK('Control Entry'!J29),"",'Control Entry'!J29)</f>
        <v/>
      </c>
      <c r="G7" s="84"/>
      <c r="H7" s="23" t="s">
        <v>29</v>
      </c>
    </row>
    <row r="8" spans="1:22" ht="36" customHeight="1" thickBot="1" x14ac:dyDescent="0.4">
      <c r="A8" s="28"/>
      <c r="B8" s="29" t="str">
        <f>'Control Entry'!N29</f>
        <v/>
      </c>
      <c r="C8" s="29" t="str">
        <f>'Control Entry'!O29</f>
        <v/>
      </c>
      <c r="D8" s="30"/>
      <c r="E8" s="31" t="str">
        <f>IF(ISBLANK('Control Entry'!H29),"",'Control Entry'!H29)</f>
        <v/>
      </c>
      <c r="F8" s="88" t="str">
        <f>IF(ISBLANK('Control Entry'!K29),"",'Control Entry'!K29)</f>
        <v/>
      </c>
      <c r="G8" s="87"/>
      <c r="H8" s="23" t="s">
        <v>29</v>
      </c>
      <c r="J8" s="14" t="s">
        <v>34</v>
      </c>
      <c r="L8" s="198"/>
      <c r="M8" s="198"/>
      <c r="N8" s="198"/>
      <c r="O8" s="198"/>
      <c r="P8" s="198"/>
      <c r="Q8" s="198"/>
      <c r="S8" s="40" t="s">
        <v>46</v>
      </c>
      <c r="T8" s="205"/>
      <c r="U8" s="205"/>
    </row>
    <row r="9" spans="1:22" ht="36" customHeight="1" thickBot="1" x14ac:dyDescent="0.5">
      <c r="A9" s="24"/>
      <c r="B9" s="25" t="str">
        <f>'Control Entry'!N30</f>
        <v/>
      </c>
      <c r="C9" s="25" t="str">
        <f>'Control Entry'!O30</f>
        <v/>
      </c>
      <c r="D9" s="32"/>
      <c r="E9" s="27" t="str">
        <f>IF(ISBLANK('Control Entry'!F30),"",'Control Entry'!F30)</f>
        <v/>
      </c>
      <c r="F9" s="83" t="str">
        <f>IF(ISBLANK('Control Entry'!I30),"",'Control Entry'!I30)</f>
        <v/>
      </c>
      <c r="G9" s="84"/>
      <c r="H9" s="23" t="s">
        <v>29</v>
      </c>
      <c r="J9" s="14" t="s">
        <v>35</v>
      </c>
      <c r="K9" s="14"/>
      <c r="L9" s="189" t="s">
        <v>54</v>
      </c>
      <c r="M9" s="189"/>
      <c r="N9" s="189"/>
      <c r="O9" s="189"/>
      <c r="P9" s="189"/>
      <c r="Q9" s="189"/>
      <c r="R9" s="189"/>
      <c r="S9" s="189"/>
      <c r="T9" s="189"/>
      <c r="U9" s="189"/>
    </row>
    <row r="10" spans="1:22" ht="36" customHeight="1" thickBot="1" x14ac:dyDescent="0.45">
      <c r="A10" s="33" t="str">
        <f>IF(ISBLANK('Control Entry'!D30),"",'Control Entry'!D30)</f>
        <v/>
      </c>
      <c r="B10" s="34" t="str">
        <f>'Control Entry'!N30</f>
        <v/>
      </c>
      <c r="C10" s="34" t="str">
        <f>'Control Entry'!O30</f>
        <v/>
      </c>
      <c r="D10" s="35" t="str">
        <f>IF(ISBLANK('Control Entry'!E30),"",'Control Entry'!E30)</f>
        <v/>
      </c>
      <c r="E10" s="27" t="str">
        <f>IF(ISBLANK('Control Entry'!G30),"",'Control Entry'!G30)</f>
        <v/>
      </c>
      <c r="F10" s="83" t="str">
        <f>IF(ISBLANK('Control Entry'!J30),"",'Control Entry'!J30)</f>
        <v/>
      </c>
      <c r="G10" s="84"/>
      <c r="H10" s="23" t="s">
        <v>29</v>
      </c>
      <c r="J10" s="14"/>
      <c r="K10" s="14"/>
      <c r="L10" s="190"/>
      <c r="M10" s="190"/>
      <c r="N10" s="190"/>
      <c r="O10" s="190"/>
      <c r="P10" s="190"/>
      <c r="Q10" s="190"/>
      <c r="R10" s="190"/>
      <c r="S10" s="190"/>
      <c r="T10" s="190"/>
      <c r="U10" s="190"/>
    </row>
    <row r="11" spans="1:22" ht="36" customHeight="1" thickBot="1" x14ac:dyDescent="0.45">
      <c r="A11" s="28"/>
      <c r="B11" s="29" t="str">
        <f>'Control Entry'!N30</f>
        <v/>
      </c>
      <c r="C11" s="29" t="str">
        <f>'Control Entry'!O30</f>
        <v/>
      </c>
      <c r="D11" s="30"/>
      <c r="E11" s="31" t="str">
        <f>IF(ISBLANK('Control Entry'!H30),"",'Control Entry'!H30)</f>
        <v/>
      </c>
      <c r="F11" s="88" t="str">
        <f>IF(ISBLANK('Control Entry'!K30),"",'Control Entry'!K30)</f>
        <v/>
      </c>
      <c r="G11" s="87"/>
      <c r="H11" s="23" t="s">
        <v>29</v>
      </c>
      <c r="J11" s="14" t="s">
        <v>36</v>
      </c>
      <c r="K11" s="14"/>
      <c r="L11" s="190"/>
      <c r="M11" s="190"/>
      <c r="N11" s="190"/>
      <c r="O11" s="14"/>
      <c r="P11" s="14" t="s">
        <v>37</v>
      </c>
      <c r="Q11" s="14"/>
      <c r="R11" s="14"/>
      <c r="S11" s="194"/>
      <c r="T11" s="194"/>
      <c r="U11" s="194"/>
    </row>
    <row r="12" spans="1:22" ht="36" customHeight="1" thickBot="1" x14ac:dyDescent="0.45">
      <c r="A12" s="24"/>
      <c r="B12" s="25" t="str">
        <f>'Control Entry'!N31</f>
        <v/>
      </c>
      <c r="C12" s="25" t="str">
        <f>'Control Entry'!O31</f>
        <v/>
      </c>
      <c r="D12" s="32"/>
      <c r="E12" s="27" t="str">
        <f>IF(ISBLANK('Control Entry'!F31),"",'Control Entry'!F31)</f>
        <v/>
      </c>
      <c r="F12" s="83" t="str">
        <f>IF(ISBLANK('Control Entry'!I31),"",'Control Entry'!I31)</f>
        <v/>
      </c>
      <c r="G12" s="84"/>
      <c r="H12" s="23" t="s">
        <v>29</v>
      </c>
      <c r="J12" s="14" t="s">
        <v>38</v>
      </c>
      <c r="K12" s="14"/>
      <c r="L12" s="190"/>
      <c r="M12" s="190"/>
      <c r="N12" s="190"/>
      <c r="O12" s="14"/>
      <c r="P12" s="14" t="s">
        <v>39</v>
      </c>
      <c r="Q12" s="14"/>
      <c r="R12" s="14"/>
      <c r="S12" s="194"/>
      <c r="T12" s="194"/>
      <c r="U12" s="194"/>
    </row>
    <row r="13" spans="1:22" ht="36" customHeight="1" thickBot="1" x14ac:dyDescent="0.45">
      <c r="A13" s="33" t="str">
        <f>IF(ISBLANK('Control Entry'!D31),"",'Control Entry'!D31)</f>
        <v/>
      </c>
      <c r="B13" s="34" t="str">
        <f>'Control Entry'!N31</f>
        <v/>
      </c>
      <c r="C13" s="34" t="str">
        <f>'Control Entry'!O31</f>
        <v/>
      </c>
      <c r="D13" s="35" t="str">
        <f>IF(ISBLANK('Control Entry'!E31),"",'Control Entry'!E31)</f>
        <v/>
      </c>
      <c r="E13" s="27" t="str">
        <f>IF(ISBLANK('Control Entry'!G31),"",'Control Entry'!G31)</f>
        <v/>
      </c>
      <c r="F13" s="83" t="str">
        <f>IF(ISBLANK('Control Entry'!J31),"",'Control Entry'!J31)</f>
        <v/>
      </c>
      <c r="G13" s="84"/>
      <c r="H13" s="23" t="s">
        <v>29</v>
      </c>
      <c r="J13" s="14" t="s">
        <v>40</v>
      </c>
      <c r="L13" s="193"/>
      <c r="M13" s="193"/>
      <c r="N13" s="193"/>
      <c r="P13" s="14" t="s">
        <v>41</v>
      </c>
      <c r="Q13" s="14"/>
      <c r="R13" s="196"/>
      <c r="S13" s="196"/>
      <c r="T13" s="196"/>
      <c r="U13" s="196"/>
    </row>
    <row r="14" spans="1:22" ht="36" customHeight="1" thickBot="1" x14ac:dyDescent="0.4">
      <c r="A14" s="28"/>
      <c r="B14" s="29" t="str">
        <f>'Control Entry'!N31</f>
        <v/>
      </c>
      <c r="C14" s="29" t="str">
        <f>'Control Entry'!O31</f>
        <v/>
      </c>
      <c r="D14" s="30"/>
      <c r="E14" s="31" t="str">
        <f>IF(ISBLANK('Control Entry'!H31),"",'Control Entry'!H31)</f>
        <v/>
      </c>
      <c r="F14" s="88" t="str">
        <f>IF(ISBLANK('Control Entry'!K31),"",'Control Entry'!K31)</f>
        <v/>
      </c>
      <c r="G14" s="87"/>
      <c r="H14" s="23" t="s">
        <v>29</v>
      </c>
    </row>
    <row r="15" spans="1:22" ht="36" customHeight="1" x14ac:dyDescent="0.35">
      <c r="A15" s="24"/>
      <c r="B15" s="25" t="str">
        <f>'Control Entry'!N32</f>
        <v/>
      </c>
      <c r="C15" s="25" t="str">
        <f>'Control Entry'!O32</f>
        <v/>
      </c>
      <c r="D15" s="32"/>
      <c r="E15" s="27" t="str">
        <f>IF(ISBLANK('Control Entry'!F32),"",'Control Entry'!F32)</f>
        <v/>
      </c>
      <c r="F15" s="83" t="str">
        <f>IF(ISBLANK('Control Entry'!I32),"",'Control Entry'!I32)</f>
        <v/>
      </c>
      <c r="G15" s="84"/>
      <c r="H15" s="23" t="s">
        <v>29</v>
      </c>
      <c r="J15" s="14"/>
      <c r="L15" s="186" t="s">
        <v>58</v>
      </c>
      <c r="M15" s="186"/>
      <c r="N15" s="186"/>
      <c r="O15" s="186"/>
      <c r="P15" s="186"/>
      <c r="Q15" s="186"/>
      <c r="R15" s="186"/>
      <c r="S15" s="186"/>
      <c r="T15" s="186"/>
      <c r="U15" s="186"/>
    </row>
    <row r="16" spans="1:22" ht="36" customHeight="1" thickBot="1" x14ac:dyDescent="0.35">
      <c r="A16" s="33" t="str">
        <f>IF(ISBLANK('Control Entry'!D32),"",'Control Entry'!D32)</f>
        <v/>
      </c>
      <c r="B16" s="34" t="str">
        <f>'Control Entry'!N32</f>
        <v/>
      </c>
      <c r="C16" s="34" t="str">
        <f>'Control Entry'!O32</f>
        <v/>
      </c>
      <c r="D16" s="35" t="str">
        <f>IF(ISBLANK('Control Entry'!E32),"",'Control Entry'!E32)</f>
        <v/>
      </c>
      <c r="E16" s="27" t="str">
        <f>IF(ISBLANK('Control Entry'!G32),"",'Control Entry'!G32)</f>
        <v/>
      </c>
      <c r="F16" s="83" t="str">
        <f>IF(ISBLANK('Control Entry'!J32),"",'Control Entry'!J32)</f>
        <v/>
      </c>
      <c r="G16" s="84"/>
      <c r="H16" s="23" t="s">
        <v>29</v>
      </c>
      <c r="L16" s="191"/>
      <c r="M16" s="191"/>
      <c r="N16" s="191"/>
      <c r="O16" s="191"/>
      <c r="P16" s="191"/>
      <c r="Q16" s="191"/>
      <c r="R16" s="191"/>
      <c r="S16" s="191"/>
      <c r="T16" s="191"/>
      <c r="U16" s="191"/>
    </row>
    <row r="17" spans="1:22" ht="36" customHeight="1" thickBot="1" x14ac:dyDescent="0.4">
      <c r="A17" s="28"/>
      <c r="B17" s="29" t="str">
        <f>'Control Entry'!N32</f>
        <v/>
      </c>
      <c r="C17" s="29" t="str">
        <f>'Control Entry'!O32</f>
        <v/>
      </c>
      <c r="D17" s="30"/>
      <c r="E17" s="31" t="str">
        <f>IF(ISBLANK('Control Entry'!H32),"",'Control Entry'!H32)</f>
        <v/>
      </c>
      <c r="F17" s="88" t="str">
        <f>IF(ISBLANK('Control Entry'!K32),"",'Control Entry'!K32)</f>
        <v/>
      </c>
      <c r="G17" s="87"/>
      <c r="H17" s="23" t="s">
        <v>29</v>
      </c>
    </row>
    <row r="18" spans="1:22" ht="36" customHeight="1" x14ac:dyDescent="0.35">
      <c r="A18" s="24"/>
      <c r="B18" s="25" t="str">
        <f>'Control Entry'!N33</f>
        <v/>
      </c>
      <c r="C18" s="25" t="str">
        <f>'Control Entry'!O33</f>
        <v/>
      </c>
      <c r="D18" s="32"/>
      <c r="E18" s="27" t="str">
        <f>IF(ISBLANK('Control Entry'!F33),"",'Control Entry'!F33)</f>
        <v/>
      </c>
      <c r="F18" s="83" t="str">
        <f>IF(ISBLANK('Control Entry'!I33),"",'Control Entry'!I33)</f>
        <v/>
      </c>
      <c r="G18" s="84"/>
      <c r="H18" s="23" t="s">
        <v>29</v>
      </c>
    </row>
    <row r="19" spans="1:22" ht="36" customHeight="1" x14ac:dyDescent="0.3">
      <c r="A19" s="33" t="str">
        <f>IF(ISBLANK('Control Entry'!D33),"",'Control Entry'!D33)</f>
        <v/>
      </c>
      <c r="B19" s="34" t="str">
        <f>'Control Entry'!N33</f>
        <v/>
      </c>
      <c r="C19" s="34" t="str">
        <f>'Control Entry'!O33</f>
        <v/>
      </c>
      <c r="D19" s="35" t="str">
        <f>IF(ISBLANK('Control Entry'!E33),"",'Control Entry'!E33)</f>
        <v/>
      </c>
      <c r="E19" s="27" t="str">
        <f>IF(ISBLANK('Control Entry'!G33),"",'Control Entry'!G33)</f>
        <v/>
      </c>
      <c r="F19" s="83" t="str">
        <f>IF(ISBLANK('Control Entry'!J33),"",'Control Entry'!J33)</f>
        <v/>
      </c>
      <c r="G19" s="84"/>
      <c r="H19" s="23" t="s">
        <v>29</v>
      </c>
    </row>
    <row r="20" spans="1:22" ht="36" customHeight="1" thickBot="1" x14ac:dyDescent="0.4">
      <c r="A20" s="28"/>
      <c r="B20" s="29" t="str">
        <f>'Control Entry'!N33</f>
        <v/>
      </c>
      <c r="C20" s="29" t="str">
        <f>'Control Entry'!O33</f>
        <v/>
      </c>
      <c r="D20" s="30"/>
      <c r="E20" s="31" t="str">
        <f>IF(ISBLANK('Control Entry'!H33),"",'Control Entry'!H33)</f>
        <v/>
      </c>
      <c r="F20" s="88" t="str">
        <f>IF(ISBLANK('Control Entry'!K33),"",'Control Entry'!K33)</f>
        <v/>
      </c>
      <c r="G20" s="87"/>
      <c r="H20" s="23" t="s">
        <v>29</v>
      </c>
      <c r="J20" s="49" t="s">
        <v>44</v>
      </c>
      <c r="K20" s="49"/>
      <c r="L20" s="210">
        <f>IF(ISBLANK('Control Entry'!B12),"",'Control Entry'!B12)</f>
        <v>45241</v>
      </c>
      <c r="M20" s="210"/>
      <c r="N20" s="210"/>
      <c r="P20" s="14" t="s">
        <v>0</v>
      </c>
      <c r="Q20" s="14"/>
      <c r="S20" s="185">
        <f>IF(ISBLANK('Control Entry'!B13),"",'Control Entry'!B13)</f>
        <v>0.29166666666666669</v>
      </c>
      <c r="T20" s="185"/>
      <c r="U20" s="185"/>
    </row>
    <row r="21" spans="1:22" ht="36" customHeight="1" x14ac:dyDescent="0.4">
      <c r="A21" s="24"/>
      <c r="B21" s="25" t="str">
        <f>'Control Entry'!N34</f>
        <v/>
      </c>
      <c r="C21" s="25" t="str">
        <f>'Control Entry'!O34</f>
        <v/>
      </c>
      <c r="D21" s="32"/>
      <c r="E21" s="27" t="str">
        <f>IF(ISBLANK('Control Entry'!F34),"",'Control Entry'!F34)</f>
        <v/>
      </c>
      <c r="F21" s="83" t="str">
        <f>IF(ISBLANK('Control Entry'!I34),"",'Control Entry'!I34)</f>
        <v/>
      </c>
      <c r="G21" s="84"/>
      <c r="H21" s="23" t="s">
        <v>29</v>
      </c>
      <c r="J21" s="187" t="s">
        <v>87</v>
      </c>
      <c r="K21" s="187"/>
      <c r="L21" s="187"/>
      <c r="M21" s="187"/>
      <c r="N21" s="187"/>
      <c r="O21" s="187"/>
      <c r="P21" s="187"/>
      <c r="Q21" s="187"/>
      <c r="R21" s="187"/>
      <c r="S21" s="187"/>
      <c r="T21" s="187"/>
      <c r="U21" s="187"/>
    </row>
    <row r="22" spans="1:22" ht="36" customHeight="1" thickBot="1" x14ac:dyDescent="0.4">
      <c r="A22" s="33" t="str">
        <f>IF(ISBLANK('Control Entry'!D34),"",'Control Entry'!D34)</f>
        <v/>
      </c>
      <c r="B22" s="34" t="str">
        <f>'Control Entry'!N34</f>
        <v/>
      </c>
      <c r="C22" s="34" t="str">
        <f>'Control Entry'!O34</f>
        <v/>
      </c>
      <c r="D22" s="35" t="str">
        <f>IF(ISBLANK('Control Entry'!E34),"",'Control Entry'!E34)</f>
        <v/>
      </c>
      <c r="E22" s="27" t="str">
        <f>IF(ISBLANK('Control Entry'!G34),"",'Control Entry'!G34)</f>
        <v/>
      </c>
      <c r="F22" s="83" t="str">
        <f>IF(ISBLANK('Control Entry'!J34),"",'Control Entry'!J34)</f>
        <v/>
      </c>
      <c r="G22" s="84"/>
      <c r="H22" s="23" t="s">
        <v>29</v>
      </c>
      <c r="J22" s="49" t="s">
        <v>45</v>
      </c>
      <c r="K22" s="49"/>
      <c r="L22" s="192"/>
      <c r="M22" s="192"/>
      <c r="N22" s="192"/>
      <c r="P22" s="14" t="s">
        <v>1</v>
      </c>
      <c r="Q22" s="14"/>
      <c r="S22" s="188"/>
      <c r="T22" s="188"/>
      <c r="U22" s="188"/>
    </row>
    <row r="23" spans="1:22" ht="36" customHeight="1" thickBot="1" x14ac:dyDescent="0.4">
      <c r="A23" s="28"/>
      <c r="B23" s="29" t="str">
        <f>'Control Entry'!N34</f>
        <v/>
      </c>
      <c r="C23" s="29" t="str">
        <f>'Control Entry'!O34</f>
        <v/>
      </c>
      <c r="D23" s="30"/>
      <c r="E23" s="31" t="str">
        <f>IF(ISBLANK('Control Entry'!H34),"",'Control Entry'!H34)</f>
        <v/>
      </c>
      <c r="F23" s="88" t="str">
        <f>IF(ISBLANK('Control Entry'!K34),"",'Control Entry'!K34)</f>
        <v/>
      </c>
      <c r="G23" s="87"/>
      <c r="H23" s="23" t="s">
        <v>29</v>
      </c>
      <c r="J23" s="49"/>
      <c r="K23" s="49"/>
      <c r="L23" s="43"/>
      <c r="M23" s="43"/>
      <c r="N23" s="43"/>
      <c r="P23" s="14"/>
      <c r="Q23" s="14"/>
    </row>
    <row r="24" spans="1:22" ht="36" customHeight="1" thickBot="1" x14ac:dyDescent="0.4">
      <c r="A24" s="24"/>
      <c r="B24" s="25" t="str">
        <f>'Control Entry'!N35</f>
        <v/>
      </c>
      <c r="C24" s="25" t="str">
        <f>'Control Entry'!O35</f>
        <v/>
      </c>
      <c r="D24" s="32"/>
      <c r="E24" s="27" t="str">
        <f>IF(ISBLANK('Control Entry'!F35),"",'Control Entry'!F35)</f>
        <v/>
      </c>
      <c r="F24" s="83" t="str">
        <f>IF(ISBLANK('Control Entry'!I35),"",'Control Entry'!I35)</f>
        <v/>
      </c>
      <c r="G24" s="84"/>
      <c r="H24" s="23" t="s">
        <v>29</v>
      </c>
      <c r="J24" s="188"/>
      <c r="K24" s="188"/>
      <c r="L24" s="188"/>
      <c r="M24" s="188"/>
      <c r="N24" s="188"/>
      <c r="P24" s="14" t="s">
        <v>2</v>
      </c>
      <c r="Q24" s="14"/>
      <c r="S24" s="188"/>
      <c r="T24" s="188"/>
      <c r="U24" s="188"/>
    </row>
    <row r="25" spans="1:22" ht="36" customHeight="1" x14ac:dyDescent="0.3">
      <c r="A25" s="33" t="str">
        <f>IF(ISBLANK('Control Entry'!D35),"",'Control Entry'!D35)</f>
        <v/>
      </c>
      <c r="B25" s="34" t="str">
        <f>'Control Entry'!N35</f>
        <v/>
      </c>
      <c r="C25" s="34" t="str">
        <f>'Control Entry'!O35</f>
        <v/>
      </c>
      <c r="D25" s="35" t="str">
        <f>IF(ISBLANK('Control Entry'!E35),"",'Control Entry'!E35)</f>
        <v/>
      </c>
      <c r="E25" s="27" t="str">
        <f>IF(ISBLANK('Control Entry'!G35),"",'Control Entry'!G35)</f>
        <v/>
      </c>
      <c r="F25" s="83" t="str">
        <f>IF(ISBLANK('Control Entry'!J35),"",'Control Entry'!J35)</f>
        <v/>
      </c>
      <c r="G25" s="84"/>
      <c r="H25" s="23" t="s">
        <v>29</v>
      </c>
      <c r="J25" s="172" t="s">
        <v>17</v>
      </c>
      <c r="K25" s="172"/>
      <c r="L25" s="172"/>
      <c r="M25" s="172"/>
      <c r="N25" s="172"/>
      <c r="O25" s="45"/>
      <c r="P25" s="173"/>
      <c r="Q25" s="173"/>
      <c r="R25" s="45"/>
      <c r="S25" s="155"/>
      <c r="T25" s="155"/>
      <c r="U25" s="155"/>
      <c r="V25" s="155"/>
    </row>
    <row r="26" spans="1:22" ht="36" customHeight="1" thickBot="1" x14ac:dyDescent="0.4">
      <c r="A26" s="28"/>
      <c r="B26" s="29" t="str">
        <f>'Control Entry'!N35</f>
        <v/>
      </c>
      <c r="C26" s="29" t="str">
        <f>'Control Entry'!O35</f>
        <v/>
      </c>
      <c r="D26" s="30"/>
      <c r="E26" s="31" t="str">
        <f>IF(ISBLANK('Control Entry'!H35),"",'Control Entry'!H35)</f>
        <v/>
      </c>
      <c r="F26" s="88" t="str">
        <f>IF(ISBLANK('Control Entry'!K35),"",'Control Entry'!K35)</f>
        <v/>
      </c>
      <c r="G26" s="87"/>
      <c r="H26" s="23" t="s">
        <v>29</v>
      </c>
    </row>
    <row r="27" spans="1:22" ht="36" customHeight="1" x14ac:dyDescent="0.35">
      <c r="A27" s="24"/>
      <c r="B27" s="25" t="str">
        <f>'Control Entry'!N36</f>
        <v/>
      </c>
      <c r="C27" s="25" t="str">
        <f>'Control Entry'!O36</f>
        <v/>
      </c>
      <c r="D27" s="32"/>
      <c r="E27" s="27" t="str">
        <f>IF(ISBLANK('Control Entry'!F36),"",'Control Entry'!F36)</f>
        <v/>
      </c>
      <c r="F27" s="83" t="str">
        <f>IF(ISBLANK('Control Entry'!I36),"",'Control Entry'!I36)</f>
        <v/>
      </c>
      <c r="G27" s="84"/>
      <c r="H27" s="23" t="s">
        <v>29</v>
      </c>
      <c r="K27" s="184" t="s">
        <v>56</v>
      </c>
      <c r="L27" s="173"/>
      <c r="M27" s="44" t="s">
        <v>57</v>
      </c>
      <c r="N27" s="173" t="s">
        <v>49</v>
      </c>
      <c r="O27" s="173"/>
      <c r="P27" s="173" t="s">
        <v>50</v>
      </c>
      <c r="Q27" s="173"/>
      <c r="R27" s="45" t="s">
        <v>51</v>
      </c>
      <c r="S27" s="155" t="s">
        <v>52</v>
      </c>
      <c r="T27" s="155"/>
      <c r="U27" s="155" t="s">
        <v>53</v>
      </c>
      <c r="V27" s="155"/>
    </row>
    <row r="28" spans="1:22" ht="36" customHeight="1" x14ac:dyDescent="0.3">
      <c r="A28" s="33" t="str">
        <f>IF(ISBLANK('Control Entry'!D36),"",'Control Entry'!D36)</f>
        <v/>
      </c>
      <c r="B28" s="34" t="str">
        <f>'Control Entry'!N36</f>
        <v/>
      </c>
      <c r="C28" s="34" t="str">
        <f>'Control Entry'!O36</f>
        <v/>
      </c>
      <c r="D28" s="35" t="str">
        <f>IF(ISBLANK('Control Entry'!E36),"",'Control Entry'!E36)</f>
        <v/>
      </c>
      <c r="E28" s="27" t="str">
        <f>IF(ISBLANK('Control Entry'!G36),"",'Control Entry'!G36)</f>
        <v/>
      </c>
      <c r="F28" s="83" t="str">
        <f>IF(ISBLANK('Control Entry'!J36),"",'Control Entry'!J36)</f>
        <v/>
      </c>
      <c r="G28" s="84"/>
      <c r="H28" s="23" t="s">
        <v>29</v>
      </c>
    </row>
    <row r="29" spans="1:22" ht="36" customHeight="1" thickBot="1" x14ac:dyDescent="0.4">
      <c r="A29" s="28"/>
      <c r="B29" s="29" t="str">
        <f>'Control Entry'!N36</f>
        <v/>
      </c>
      <c r="C29" s="29" t="str">
        <f>'Control Entry'!O36</f>
        <v/>
      </c>
      <c r="D29" s="30"/>
      <c r="E29" s="31" t="str">
        <f>IF(ISBLANK('Control Entry'!H36),"",'Control Entry'!H36)</f>
        <v/>
      </c>
      <c r="F29" s="88" t="str">
        <f>IF(ISBLANK('Control Entry'!K36),"",'Control Entry'!K36)</f>
        <v/>
      </c>
      <c r="G29" s="87"/>
      <c r="H29" s="23" t="s">
        <v>29</v>
      </c>
      <c r="M29" s="207" t="s">
        <v>42</v>
      </c>
      <c r="N29" s="207"/>
      <c r="O29" s="207"/>
      <c r="P29" s="207"/>
      <c r="Q29" s="207"/>
      <c r="R29" s="207"/>
      <c r="S29" s="207"/>
      <c r="T29" s="207"/>
      <c r="U29" s="48"/>
    </row>
    <row r="30" spans="1:22" ht="36" customHeight="1" x14ac:dyDescent="0.35">
      <c r="A30" s="24"/>
      <c r="B30" s="25" t="str">
        <f>'Control Entry'!N37</f>
        <v/>
      </c>
      <c r="C30" s="25" t="str">
        <f>'Control Entry'!O37</f>
        <v/>
      </c>
      <c r="D30" s="32"/>
      <c r="E30" s="27" t="str">
        <f>IF(ISBLANK('Control Entry'!F37),"",'Control Entry'!F37)</f>
        <v/>
      </c>
      <c r="F30" s="83" t="str">
        <f>IF(ISBLANK('Control Entry'!I37),"",'Control Entry'!I37)</f>
        <v/>
      </c>
      <c r="G30" s="84"/>
      <c r="H30" s="23" t="s">
        <v>29</v>
      </c>
      <c r="M30" s="15"/>
      <c r="N30" s="17"/>
      <c r="O30" s="17"/>
      <c r="P30" s="18"/>
      <c r="Q30" s="15"/>
      <c r="R30" s="17"/>
      <c r="S30" s="17"/>
      <c r="T30" s="18"/>
    </row>
    <row r="31" spans="1:22" ht="36" customHeight="1" x14ac:dyDescent="0.3">
      <c r="A31" s="33" t="str">
        <f>IF(ISBLANK('Control Entry'!D37),"",'Control Entry'!D37)</f>
        <v/>
      </c>
      <c r="B31" s="34" t="str">
        <f>'Control Entry'!N37</f>
        <v/>
      </c>
      <c r="C31" s="34" t="str">
        <f>'Control Entry'!O37</f>
        <v/>
      </c>
      <c r="D31" s="35" t="str">
        <f>IF(ISBLANK('Control Entry'!E37),"",'Control Entry'!E37)</f>
        <v/>
      </c>
      <c r="E31" s="27" t="str">
        <f>IF(ISBLANK('Control Entry'!G37),"",'Control Entry'!G37)</f>
        <v/>
      </c>
      <c r="F31" s="83" t="str">
        <f>IF(ISBLANK('Control Entry'!J37),"",'Control Entry'!J37)</f>
        <v/>
      </c>
      <c r="G31" s="84"/>
      <c r="H31" s="23" t="s">
        <v>29</v>
      </c>
      <c r="M31" s="16"/>
      <c r="P31" s="19"/>
      <c r="Q31" s="16"/>
      <c r="T31" s="19"/>
    </row>
    <row r="32" spans="1:22" ht="36" customHeight="1" thickBot="1" x14ac:dyDescent="0.4">
      <c r="A32" s="28"/>
      <c r="B32" s="29" t="str">
        <f>'Control Entry'!N37</f>
        <v/>
      </c>
      <c r="C32" s="29" t="str">
        <f>'Control Entry'!O37</f>
        <v/>
      </c>
      <c r="D32" s="30"/>
      <c r="E32" s="31" t="str">
        <f>IF(ISBLANK('Control Entry'!H37),"",'Control Entry'!H37)</f>
        <v/>
      </c>
      <c r="F32" s="88" t="str">
        <f>IF(ISBLANK('Control Entry'!K37),"",'Control Entry'!K37)</f>
        <v/>
      </c>
      <c r="G32" s="87"/>
      <c r="H32" s="23" t="s">
        <v>29</v>
      </c>
      <c r="M32" s="199" t="s">
        <v>81</v>
      </c>
      <c r="N32" s="200"/>
      <c r="O32" s="200"/>
      <c r="P32" s="201"/>
      <c r="Q32" s="202">
        <f>'Control Entry'!B3</f>
        <v>45167</v>
      </c>
      <c r="R32" s="203"/>
      <c r="S32" s="203"/>
      <c r="T32" s="204"/>
    </row>
    <row r="33" spans="1:22" ht="36" customHeight="1" x14ac:dyDescent="0.35">
      <c r="A33" s="195" t="s">
        <v>43</v>
      </c>
      <c r="B33" s="195"/>
      <c r="C33" s="195"/>
      <c r="D33" s="195"/>
      <c r="E33" s="195"/>
      <c r="F33" s="195"/>
      <c r="G33" s="195"/>
      <c r="H33" s="36"/>
      <c r="I33" s="36"/>
      <c r="M33" s="208" t="s">
        <v>83</v>
      </c>
      <c r="N33" s="209"/>
      <c r="O33" s="209"/>
      <c r="P33" s="209"/>
      <c r="Q33" s="156">
        <f>'Control Entry'!B4</f>
        <v>45237</v>
      </c>
      <c r="R33" s="157"/>
      <c r="S33" s="157"/>
      <c r="T33" s="157"/>
      <c r="V33" s="43"/>
    </row>
    <row r="34" spans="1:22" ht="36" customHeight="1" x14ac:dyDescent="0.35">
      <c r="A34"/>
      <c r="O34" s="14"/>
      <c r="P34" s="14"/>
      <c r="Q34" s="14"/>
      <c r="R34" s="41"/>
    </row>
    <row r="35" spans="1:22" ht="36" customHeight="1" x14ac:dyDescent="0.25">
      <c r="A35"/>
      <c r="N35" s="207"/>
      <c r="O35" s="207"/>
      <c r="P35" s="207"/>
      <c r="Q35" s="207"/>
      <c r="R35" s="207"/>
      <c r="S35" s="207"/>
      <c r="T35" s="207"/>
      <c r="U35" s="207"/>
    </row>
    <row r="36" spans="1:22" ht="36" customHeight="1" x14ac:dyDescent="0.25">
      <c r="A36"/>
    </row>
    <row r="37" spans="1:22" ht="36" customHeight="1" x14ac:dyDescent="0.25">
      <c r="A37"/>
    </row>
    <row r="38" spans="1:22" ht="36" customHeight="1" x14ac:dyDescent="0.35">
      <c r="A38"/>
      <c r="N38" s="14"/>
    </row>
    <row r="39" spans="1:22" ht="36" customHeight="1" x14ac:dyDescent="0.25">
      <c r="A39"/>
    </row>
    <row r="40" spans="1:22" ht="36" customHeight="1" x14ac:dyDescent="0.2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L16:U16"/>
    <mergeCell ref="L22:N22"/>
    <mergeCell ref="S22:U22"/>
    <mergeCell ref="L11:N11"/>
    <mergeCell ref="S11:U11"/>
    <mergeCell ref="L12:N12"/>
    <mergeCell ref="S12:U12"/>
    <mergeCell ref="L13:N13"/>
    <mergeCell ref="R13:U13"/>
    <mergeCell ref="J21:U21"/>
  </mergeCells>
  <phoneticPr fontId="16" type="noConversion"/>
  <conditionalFormatting sqref="J22:N22">
    <cfRule type="expression" dxfId="14" priority="2">
      <formula>$S$3="#2"</formula>
    </cfRule>
  </conditionalFormatting>
  <conditionalFormatting sqref="J21:U21">
    <cfRule type="expression" dxfId="13" priority="1">
      <formula>$S$3&lt;&gt;"#2"</formula>
    </cfRule>
  </conditionalFormatting>
  <conditionalFormatting sqref="K27:V27">
    <cfRule type="expression" dxfId="12" priority="3">
      <formula>$S$3="#2"</formula>
    </cfRule>
  </conditionalFormatting>
  <conditionalFormatting sqref="P22:U24">
    <cfRule type="expression" dxfId="11" priority="4">
      <formula>$S$3="#2"</formula>
    </cfRule>
  </conditionalFormatting>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F1" zoomScale="92" zoomScaleNormal="92" zoomScalePageLayoutView="92" workbookViewId="0">
      <selection activeCell="F3" sqref="F3"/>
    </sheetView>
  </sheetViews>
  <sheetFormatPr defaultColWidth="8.77734375" defaultRowHeight="13.2" x14ac:dyDescent="0.25"/>
  <cols>
    <col min="1" max="1" width="8.44140625" style="1" customWidth="1"/>
    <col min="2" max="3" width="11.6640625" customWidth="1"/>
    <col min="4" max="4" width="18" customWidth="1"/>
    <col min="5" max="5" width="23.77734375" customWidth="1"/>
    <col min="6" max="6" width="42" customWidth="1"/>
    <col min="7" max="7" width="13.44140625" customWidth="1"/>
    <col min="8" max="8" width="8" customWidth="1"/>
    <col min="9" max="9" width="12" customWidth="1"/>
    <col min="12" max="14" width="9" customWidth="1"/>
    <col min="18" max="18" width="8.77734375" customWidth="1"/>
    <col min="19" max="19" width="10.44140625" customWidth="1"/>
  </cols>
  <sheetData>
    <row r="1" spans="1:22" ht="21" thickBot="1" x14ac:dyDescent="0.3">
      <c r="A1" s="175" t="s">
        <v>73</v>
      </c>
      <c r="B1" s="175"/>
      <c r="C1" s="175"/>
      <c r="D1" s="175"/>
      <c r="E1" s="175"/>
      <c r="F1" s="175"/>
      <c r="G1" s="175"/>
      <c r="H1" s="23" t="s">
        <v>29</v>
      </c>
    </row>
    <row r="2" spans="1:22" ht="33.75" customHeight="1" thickBot="1" x14ac:dyDescent="0.35">
      <c r="A2" s="63" t="s">
        <v>30</v>
      </c>
      <c r="B2" s="9" t="s">
        <v>3</v>
      </c>
      <c r="C2" s="9" t="s">
        <v>4</v>
      </c>
      <c r="D2" s="9" t="s">
        <v>25</v>
      </c>
      <c r="E2" s="9" t="s">
        <v>31</v>
      </c>
      <c r="F2" s="9" t="s">
        <v>59</v>
      </c>
      <c r="G2" s="63" t="s">
        <v>32</v>
      </c>
      <c r="H2" s="23" t="s">
        <v>29</v>
      </c>
      <c r="K2" s="157" t="s">
        <v>55</v>
      </c>
      <c r="L2" s="157"/>
      <c r="M2" s="157"/>
      <c r="N2" s="157"/>
      <c r="O2" s="157"/>
      <c r="P2" s="157"/>
      <c r="Q2" s="157"/>
      <c r="R2" s="157"/>
      <c r="S2" s="157"/>
      <c r="T2" s="157"/>
      <c r="U2" s="157"/>
    </row>
    <row r="3" spans="1:22" ht="36" customHeight="1" x14ac:dyDescent="0.7">
      <c r="A3" s="24"/>
      <c r="B3" s="25" t="str">
        <f>'Control Entry'!N41</f>
        <v/>
      </c>
      <c r="C3" s="25" t="str">
        <f>'Control Entry'!O41</f>
        <v/>
      </c>
      <c r="D3" s="26"/>
      <c r="E3" s="27" t="str">
        <f>IF(ISBLANK('Control Entry'!F41),"",'Control Entry'!F41)</f>
        <v/>
      </c>
      <c r="F3" s="83" t="str">
        <f>IF(ISBLANK('Control Entry'!I41),"",'Control Entry'!I41)</f>
        <v/>
      </c>
      <c r="G3" s="84"/>
      <c r="H3" s="23" t="s">
        <v>29</v>
      </c>
      <c r="K3" s="13"/>
      <c r="O3" s="183" t="s">
        <v>72</v>
      </c>
      <c r="P3" s="183"/>
      <c r="Q3" s="183"/>
      <c r="R3" s="183"/>
      <c r="S3" s="73" t="str">
        <f>IF('Control Entry'!D41&lt;&gt;0,"#3",IF(AND('Control Entry'!D41=0,'Control Entry'!D54&lt;&gt;0),"#1",""))</f>
        <v/>
      </c>
      <c r="T3" s="74"/>
      <c r="U3" s="37"/>
    </row>
    <row r="4" spans="1:22" ht="36" customHeight="1" x14ac:dyDescent="0.3">
      <c r="A4" s="33" t="str">
        <f>IF(ISBLANK('Control Entry'!D41),"",'Control Entry'!D41)</f>
        <v/>
      </c>
      <c r="B4" s="34" t="str">
        <f>'Control Entry'!N41</f>
        <v/>
      </c>
      <c r="C4" s="34" t="str">
        <f>'Control Entry'!O41</f>
        <v/>
      </c>
      <c r="D4" s="35" t="str">
        <f>IF(ISBLANK('Control Entry'!E41),"",'Control Entry'!E41)</f>
        <v/>
      </c>
      <c r="E4" s="27" t="str">
        <f>IF(ISBLANK('Control Entry'!G41),"",'Control Entry'!G41)</f>
        <v/>
      </c>
      <c r="F4" s="83" t="str">
        <f>IF(ISBLANK('Control Entry'!J41),"",'Control Entry'!J41)</f>
        <v/>
      </c>
      <c r="G4" s="84"/>
      <c r="H4" s="23" t="s">
        <v>29</v>
      </c>
      <c r="K4" s="13"/>
      <c r="M4" s="184" t="str">
        <f>IF(ISBLANK(Brevet_Length),"",Brevet_Length&amp;" km Randonnée")</f>
        <v>200 km Randonnée</v>
      </c>
      <c r="N4" s="184"/>
      <c r="O4" s="184"/>
      <c r="P4" s="184"/>
      <c r="Q4" s="184"/>
      <c r="R4" s="184"/>
      <c r="S4" s="184"/>
      <c r="T4" s="184"/>
      <c r="U4" s="38"/>
    </row>
    <row r="5" spans="1:22" ht="36" customHeight="1" thickBot="1" x14ac:dyDescent="0.4">
      <c r="A5" s="28"/>
      <c r="B5" s="29" t="str">
        <f>'Control Entry'!N41</f>
        <v/>
      </c>
      <c r="C5" s="29" t="str">
        <f>'Control Entry'!O41</f>
        <v/>
      </c>
      <c r="D5" s="30"/>
      <c r="E5" s="31" t="str">
        <f>IF(ISBLANK('Control Entry'!H41),"",'Control Entry'!H41)</f>
        <v/>
      </c>
      <c r="F5" s="88" t="str">
        <f>IF(ISBLANK('Control Entry'!K41),"",'Control Entry'!K41)</f>
        <v/>
      </c>
      <c r="G5" s="87"/>
      <c r="H5" s="23" t="s">
        <v>29</v>
      </c>
      <c r="K5" s="13"/>
      <c r="M5" s="14"/>
      <c r="N5" s="155" t="s">
        <v>47</v>
      </c>
      <c r="O5" s="155"/>
      <c r="P5" s="51">
        <f>IF(ISBLANK(Brevet_Number),"",Brevet_Number)</f>
        <v>5279</v>
      </c>
      <c r="Q5" s="52"/>
      <c r="R5" s="197">
        <f>IF(ISBLANK('Control Entry'!$B10),"",'Control Entry'!$B10)</f>
        <v>45241</v>
      </c>
      <c r="S5" s="197"/>
      <c r="T5" s="197"/>
      <c r="U5" s="197"/>
      <c r="V5" s="39"/>
    </row>
    <row r="6" spans="1:22" ht="36" customHeight="1" x14ac:dyDescent="0.4">
      <c r="A6" s="24"/>
      <c r="B6" s="25" t="str">
        <f>'Control Entry'!N42</f>
        <v/>
      </c>
      <c r="C6" s="25" t="str">
        <f>'Control Entry'!O42</f>
        <v/>
      </c>
      <c r="D6" s="32"/>
      <c r="E6" s="27" t="str">
        <f>IF(ISBLANK('Control Entry'!F42),"",'Control Entry'!F42)</f>
        <v/>
      </c>
      <c r="F6" s="83" t="str">
        <f>IF(ISBLANK('Control Entry'!I42),"",'Control Entry'!I42)</f>
        <v/>
      </c>
      <c r="G6" s="84"/>
      <c r="H6" s="23" t="s">
        <v>29</v>
      </c>
      <c r="K6" s="13"/>
      <c r="L6" s="187" t="str">
        <f>IF(ISBLANK(Brevet_Description),"",Brevet_Description)</f>
        <v>A RIDE OF REMEMBRANCE</v>
      </c>
      <c r="M6" s="187"/>
      <c r="N6" s="187"/>
      <c r="O6" s="187"/>
      <c r="P6" s="187"/>
      <c r="Q6" s="187"/>
      <c r="R6" s="187"/>
      <c r="S6" s="187"/>
      <c r="T6" s="187"/>
      <c r="U6" s="187"/>
    </row>
    <row r="7" spans="1:22" ht="36" customHeight="1" x14ac:dyDescent="0.3">
      <c r="A7" s="33" t="str">
        <f>IF(ISBLANK('Control Entry'!D42),"",'Control Entry'!D42)</f>
        <v/>
      </c>
      <c r="B7" s="34" t="str">
        <f>'Control Entry'!N42</f>
        <v/>
      </c>
      <c r="C7" s="34" t="str">
        <f>'Control Entry'!O42</f>
        <v/>
      </c>
      <c r="D7" s="35" t="str">
        <f>IF(ISBLANK('Control Entry'!E42),"",'Control Entry'!E42)</f>
        <v/>
      </c>
      <c r="E7" s="27" t="str">
        <f>IF(ISBLANK('Control Entry'!G42),"",'Control Entry'!G42)</f>
        <v/>
      </c>
      <c r="F7" s="83" t="str">
        <f>IF(ISBLANK('Control Entry'!J42),"",'Control Entry'!J42)</f>
        <v/>
      </c>
      <c r="G7" s="84"/>
      <c r="H7" s="23" t="s">
        <v>29</v>
      </c>
    </row>
    <row r="8" spans="1:22" ht="36" customHeight="1" thickBot="1" x14ac:dyDescent="0.4">
      <c r="A8" s="28"/>
      <c r="B8" s="29" t="str">
        <f>'Control Entry'!N42</f>
        <v/>
      </c>
      <c r="C8" s="29" t="str">
        <f>'Control Entry'!O42</f>
        <v/>
      </c>
      <c r="D8" s="30"/>
      <c r="E8" s="31" t="str">
        <f>IF(ISBLANK('Control Entry'!H42),"",'Control Entry'!H42)</f>
        <v/>
      </c>
      <c r="F8" s="88" t="str">
        <f>IF(ISBLANK('Control Entry'!K42),"",'Control Entry'!K42)</f>
        <v/>
      </c>
      <c r="G8" s="87"/>
      <c r="H8" s="23" t="s">
        <v>29</v>
      </c>
      <c r="J8" s="14" t="s">
        <v>34</v>
      </c>
      <c r="L8" s="198"/>
      <c r="M8" s="198"/>
      <c r="N8" s="198"/>
      <c r="O8" s="198"/>
      <c r="P8" s="198"/>
      <c r="Q8" s="198"/>
      <c r="S8" s="40" t="s">
        <v>46</v>
      </c>
      <c r="T8" s="205"/>
      <c r="U8" s="205"/>
    </row>
    <row r="9" spans="1:22" ht="36" customHeight="1" thickBot="1" x14ac:dyDescent="0.5">
      <c r="A9" s="24"/>
      <c r="B9" s="25" t="str">
        <f>'Control Entry'!N43</f>
        <v/>
      </c>
      <c r="C9" s="25" t="str">
        <f>'Control Entry'!O43</f>
        <v/>
      </c>
      <c r="D9" s="32"/>
      <c r="E9" s="27" t="str">
        <f>IF(ISBLANK('Control Entry'!F43),"",'Control Entry'!F43)</f>
        <v/>
      </c>
      <c r="F9" s="83" t="str">
        <f>IF(ISBLANK('Control Entry'!I43),"",'Control Entry'!I43)</f>
        <v/>
      </c>
      <c r="G9" s="84"/>
      <c r="H9" s="23" t="s">
        <v>29</v>
      </c>
      <c r="J9" s="14" t="s">
        <v>35</v>
      </c>
      <c r="K9" s="14"/>
      <c r="L9" s="189" t="s">
        <v>54</v>
      </c>
      <c r="M9" s="189"/>
      <c r="N9" s="189"/>
      <c r="O9" s="189"/>
      <c r="P9" s="189"/>
      <c r="Q9" s="189"/>
      <c r="R9" s="189"/>
      <c r="S9" s="189"/>
      <c r="T9" s="189"/>
      <c r="U9" s="189"/>
    </row>
    <row r="10" spans="1:22" ht="36" customHeight="1" thickBot="1" x14ac:dyDescent="0.45">
      <c r="A10" s="33" t="str">
        <f>IF(ISBLANK('Control Entry'!D43),"",'Control Entry'!D43)</f>
        <v/>
      </c>
      <c r="B10" s="34" t="str">
        <f>'Control Entry'!N43</f>
        <v/>
      </c>
      <c r="C10" s="34" t="str">
        <f>'Control Entry'!O43</f>
        <v/>
      </c>
      <c r="D10" s="35" t="str">
        <f>IF(ISBLANK('Control Entry'!E43),"",'Control Entry'!E43)</f>
        <v/>
      </c>
      <c r="E10" s="27" t="str">
        <f>IF(ISBLANK('Control Entry'!G43),"",'Control Entry'!G43)</f>
        <v/>
      </c>
      <c r="F10" s="83" t="str">
        <f>IF(ISBLANK('Control Entry'!J43),"",'Control Entry'!J43)</f>
        <v/>
      </c>
      <c r="G10" s="84"/>
      <c r="H10" s="23" t="s">
        <v>29</v>
      </c>
      <c r="J10" s="14"/>
      <c r="K10" s="14"/>
      <c r="L10" s="190"/>
      <c r="M10" s="190"/>
      <c r="N10" s="190"/>
      <c r="O10" s="190"/>
      <c r="P10" s="190"/>
      <c r="Q10" s="190"/>
      <c r="R10" s="190"/>
      <c r="S10" s="190"/>
      <c r="T10" s="190"/>
      <c r="U10" s="190"/>
    </row>
    <row r="11" spans="1:22" ht="36" customHeight="1" thickBot="1" x14ac:dyDescent="0.45">
      <c r="A11" s="28"/>
      <c r="B11" s="29" t="str">
        <f>'Control Entry'!N43</f>
        <v/>
      </c>
      <c r="C11" s="29" t="str">
        <f>'Control Entry'!O43</f>
        <v/>
      </c>
      <c r="D11" s="30"/>
      <c r="E11" s="31" t="str">
        <f>IF(ISBLANK('Control Entry'!H43),"",'Control Entry'!H43)</f>
        <v/>
      </c>
      <c r="F11" s="88" t="str">
        <f>IF(ISBLANK('Control Entry'!K43),"",'Control Entry'!K43)</f>
        <v/>
      </c>
      <c r="G11" s="87"/>
      <c r="H11" s="23" t="s">
        <v>29</v>
      </c>
      <c r="J11" s="14" t="s">
        <v>36</v>
      </c>
      <c r="K11" s="14"/>
      <c r="L11" s="190"/>
      <c r="M11" s="190"/>
      <c r="N11" s="190"/>
      <c r="O11" s="14"/>
      <c r="P11" s="14" t="s">
        <v>37</v>
      </c>
      <c r="Q11" s="14"/>
      <c r="R11" s="14"/>
      <c r="S11" s="194"/>
      <c r="T11" s="194"/>
      <c r="U11" s="194"/>
    </row>
    <row r="12" spans="1:22" ht="36" customHeight="1" thickBot="1" x14ac:dyDescent="0.45">
      <c r="A12" s="24"/>
      <c r="B12" s="25" t="str">
        <f>'Control Entry'!N44</f>
        <v/>
      </c>
      <c r="C12" s="25" t="str">
        <f>'Control Entry'!O44</f>
        <v/>
      </c>
      <c r="D12" s="32"/>
      <c r="E12" s="27" t="str">
        <f>IF(ISBLANK('Control Entry'!F44),"",'Control Entry'!F44)</f>
        <v/>
      </c>
      <c r="F12" s="83" t="str">
        <f>IF(ISBLANK('Control Entry'!I44),"",'Control Entry'!I44)</f>
        <v/>
      </c>
      <c r="G12" s="84"/>
      <c r="H12" s="23" t="s">
        <v>29</v>
      </c>
      <c r="J12" s="14" t="s">
        <v>38</v>
      </c>
      <c r="K12" s="14"/>
      <c r="L12" s="190"/>
      <c r="M12" s="190"/>
      <c r="N12" s="190"/>
      <c r="O12" s="14"/>
      <c r="P12" s="14" t="s">
        <v>39</v>
      </c>
      <c r="Q12" s="14"/>
      <c r="R12" s="14"/>
      <c r="S12" s="194"/>
      <c r="T12" s="194"/>
      <c r="U12" s="194"/>
    </row>
    <row r="13" spans="1:22" ht="36" customHeight="1" thickBot="1" x14ac:dyDescent="0.45">
      <c r="A13" s="33" t="str">
        <f>IF(ISBLANK('Control Entry'!D44),"",'Control Entry'!D44)</f>
        <v/>
      </c>
      <c r="B13" s="34" t="str">
        <f>'Control Entry'!N44</f>
        <v/>
      </c>
      <c r="C13" s="34" t="str">
        <f>'Control Entry'!O44</f>
        <v/>
      </c>
      <c r="D13" s="35" t="str">
        <f>IF(ISBLANK('Control Entry'!E44),"",'Control Entry'!E44)</f>
        <v/>
      </c>
      <c r="E13" s="27" t="str">
        <f>IF(ISBLANK('Control Entry'!G44),"",'Control Entry'!G44)</f>
        <v/>
      </c>
      <c r="F13" s="83" t="str">
        <f>IF(ISBLANK('Control Entry'!J44),"",'Control Entry'!J44)</f>
        <v/>
      </c>
      <c r="G13" s="84"/>
      <c r="H13" s="23" t="s">
        <v>29</v>
      </c>
      <c r="J13" s="14" t="s">
        <v>40</v>
      </c>
      <c r="L13" s="193"/>
      <c r="M13" s="193"/>
      <c r="N13" s="193"/>
      <c r="P13" s="14" t="s">
        <v>41</v>
      </c>
      <c r="Q13" s="14"/>
      <c r="R13" s="196"/>
      <c r="S13" s="196"/>
      <c r="T13" s="196"/>
      <c r="U13" s="196"/>
    </row>
    <row r="14" spans="1:22" ht="36" customHeight="1" thickBot="1" x14ac:dyDescent="0.4">
      <c r="A14" s="28"/>
      <c r="B14" s="29" t="str">
        <f>'Control Entry'!N44</f>
        <v/>
      </c>
      <c r="C14" s="29" t="str">
        <f>'Control Entry'!O44</f>
        <v/>
      </c>
      <c r="D14" s="30"/>
      <c r="E14" s="31" t="str">
        <f>IF(ISBLANK('Control Entry'!H44),"",'Control Entry'!H44)</f>
        <v/>
      </c>
      <c r="F14" s="88" t="str">
        <f>IF(ISBLANK('Control Entry'!K44),"",'Control Entry'!K44)</f>
        <v/>
      </c>
      <c r="G14" s="87"/>
      <c r="H14" s="23" t="s">
        <v>29</v>
      </c>
    </row>
    <row r="15" spans="1:22" ht="36" customHeight="1" x14ac:dyDescent="0.35">
      <c r="A15" s="24"/>
      <c r="B15" s="25" t="str">
        <f>'Control Entry'!N45</f>
        <v/>
      </c>
      <c r="C15" s="25" t="str">
        <f>'Control Entry'!O45</f>
        <v/>
      </c>
      <c r="D15" s="32"/>
      <c r="E15" s="27" t="str">
        <f>IF(ISBLANK('Control Entry'!F45),"",'Control Entry'!F45)</f>
        <v/>
      </c>
      <c r="F15" s="83" t="str">
        <f>IF(ISBLANK('Control Entry'!I45),"",'Control Entry'!I45)</f>
        <v/>
      </c>
      <c r="G15" s="84"/>
      <c r="H15" s="23" t="s">
        <v>29</v>
      </c>
      <c r="J15" s="14"/>
      <c r="L15" s="186" t="s">
        <v>58</v>
      </c>
      <c r="M15" s="186"/>
      <c r="N15" s="186"/>
      <c r="O15" s="186"/>
      <c r="P15" s="186"/>
      <c r="Q15" s="186"/>
      <c r="R15" s="186"/>
      <c r="S15" s="186"/>
      <c r="T15" s="186"/>
      <c r="U15" s="186"/>
    </row>
    <row r="16" spans="1:22" ht="36" customHeight="1" thickBot="1" x14ac:dyDescent="0.35">
      <c r="A16" s="33" t="str">
        <f>IF(ISBLANK('Control Entry'!D45),"",'Control Entry'!D45)</f>
        <v/>
      </c>
      <c r="B16" s="34" t="str">
        <f>'Control Entry'!N45</f>
        <v/>
      </c>
      <c r="C16" s="34" t="str">
        <f>'Control Entry'!O45</f>
        <v/>
      </c>
      <c r="D16" s="35" t="str">
        <f>IF(ISBLANK('Control Entry'!E45),"",'Control Entry'!E45)</f>
        <v/>
      </c>
      <c r="E16" s="27" t="str">
        <f>IF(ISBLANK('Control Entry'!G45),"",'Control Entry'!G45)</f>
        <v/>
      </c>
      <c r="F16" s="83" t="str">
        <f>IF(ISBLANK('Control Entry'!J45),"",'Control Entry'!J45)</f>
        <v/>
      </c>
      <c r="G16" s="84"/>
      <c r="H16" s="23" t="s">
        <v>29</v>
      </c>
      <c r="L16" s="211"/>
      <c r="M16" s="211"/>
      <c r="N16" s="211"/>
      <c r="O16" s="211"/>
      <c r="P16" s="211"/>
      <c r="Q16" s="211"/>
      <c r="R16" s="211"/>
      <c r="S16" s="211"/>
      <c r="T16" s="211"/>
      <c r="U16" s="211"/>
    </row>
    <row r="17" spans="1:22" ht="36" customHeight="1" thickBot="1" x14ac:dyDescent="0.4">
      <c r="A17" s="28"/>
      <c r="B17" s="29" t="str">
        <f>'Control Entry'!N45</f>
        <v/>
      </c>
      <c r="C17" s="29" t="str">
        <f>'Control Entry'!O45</f>
        <v/>
      </c>
      <c r="D17" s="30"/>
      <c r="E17" s="31" t="str">
        <f>IF(ISBLANK('Control Entry'!H45),"",'Control Entry'!H45)</f>
        <v/>
      </c>
      <c r="F17" s="88" t="str">
        <f>IF(ISBLANK('Control Entry'!K45),"",'Control Entry'!K45)</f>
        <v/>
      </c>
      <c r="G17" s="87"/>
      <c r="H17" s="23" t="s">
        <v>29</v>
      </c>
    </row>
    <row r="18" spans="1:22" ht="36" customHeight="1" x14ac:dyDescent="0.35">
      <c r="A18" s="24"/>
      <c r="B18" s="25" t="str">
        <f>'Control Entry'!N46</f>
        <v/>
      </c>
      <c r="C18" s="25" t="str">
        <f>'Control Entry'!O46</f>
        <v/>
      </c>
      <c r="D18" s="32"/>
      <c r="E18" s="27" t="str">
        <f>IF(ISBLANK('Control Entry'!F46),"",'Control Entry'!F46)</f>
        <v/>
      </c>
      <c r="F18" s="83" t="str">
        <f>IF(ISBLANK('Control Entry'!I46),"",'Control Entry'!I46)</f>
        <v/>
      </c>
      <c r="G18" s="84"/>
      <c r="H18" s="23" t="s">
        <v>29</v>
      </c>
    </row>
    <row r="19" spans="1:22" ht="36" customHeight="1" x14ac:dyDescent="0.3">
      <c r="A19" s="33" t="str">
        <f>IF(ISBLANK('Control Entry'!D46),"",'Control Entry'!D46)</f>
        <v/>
      </c>
      <c r="B19" s="34" t="str">
        <f>'Control Entry'!N46</f>
        <v/>
      </c>
      <c r="C19" s="34" t="str">
        <f>'Control Entry'!O46</f>
        <v/>
      </c>
      <c r="D19" s="35" t="str">
        <f>IF(ISBLANK('Control Entry'!E46),"",'Control Entry'!E46)</f>
        <v/>
      </c>
      <c r="E19" s="27" t="str">
        <f>IF(ISBLANK('Control Entry'!G46),"",'Control Entry'!G46)</f>
        <v/>
      </c>
      <c r="F19" s="83" t="str">
        <f>IF(ISBLANK('Control Entry'!J46),"",'Control Entry'!J46)</f>
        <v/>
      </c>
      <c r="G19" s="84"/>
      <c r="H19" s="23" t="s">
        <v>29</v>
      </c>
    </row>
    <row r="20" spans="1:22" ht="36" customHeight="1" thickBot="1" x14ac:dyDescent="0.4">
      <c r="A20" s="28"/>
      <c r="B20" s="29" t="str">
        <f>'Control Entry'!N46</f>
        <v/>
      </c>
      <c r="C20" s="29" t="str">
        <f>'Control Entry'!O46</f>
        <v/>
      </c>
      <c r="D20" s="30"/>
      <c r="E20" s="31" t="str">
        <f>IF(ISBLANK('Control Entry'!H46),"",'Control Entry'!H46)</f>
        <v/>
      </c>
      <c r="F20" s="88" t="str">
        <f>IF(ISBLANK('Control Entry'!K46),"",'Control Entry'!K46)</f>
        <v/>
      </c>
      <c r="G20" s="87"/>
      <c r="H20" s="23" t="s">
        <v>29</v>
      </c>
      <c r="J20" s="49" t="s">
        <v>44</v>
      </c>
      <c r="K20" s="49"/>
      <c r="L20" s="206">
        <f>IF(ISBLANK('Control Entry'!B12),"",'Control Entry'!B12)</f>
        <v>45241</v>
      </c>
      <c r="M20" s="206"/>
      <c r="N20" s="206"/>
      <c r="P20" s="14" t="s">
        <v>0</v>
      </c>
      <c r="Q20" s="14"/>
      <c r="S20" s="185">
        <f>IF(ISBLANK('Control Entry'!B13),"",'Control Entry'!B13)</f>
        <v>0.29166666666666669</v>
      </c>
      <c r="T20" s="185"/>
      <c r="U20" s="185"/>
    </row>
    <row r="21" spans="1:22" ht="36" customHeight="1" x14ac:dyDescent="0.4">
      <c r="A21" s="24"/>
      <c r="B21" s="25" t="str">
        <f>'Control Entry'!N47</f>
        <v/>
      </c>
      <c r="C21" s="25" t="str">
        <f>'Control Entry'!O47</f>
        <v/>
      </c>
      <c r="D21" s="32"/>
      <c r="E21" s="27" t="str">
        <f>IF(ISBLANK('Control Entry'!F47),"",'Control Entry'!F47)</f>
        <v/>
      </c>
      <c r="F21" s="83" t="str">
        <f>IF(ISBLANK('Control Entry'!I47),"",'Control Entry'!I47)</f>
        <v/>
      </c>
      <c r="G21" s="84"/>
      <c r="H21" s="23" t="s">
        <v>29</v>
      </c>
      <c r="J21" s="187" t="s">
        <v>87</v>
      </c>
      <c r="K21" s="187"/>
      <c r="L21" s="187"/>
      <c r="M21" s="187"/>
      <c r="N21" s="187"/>
      <c r="O21" s="187"/>
      <c r="P21" s="187"/>
      <c r="Q21" s="187"/>
      <c r="R21" s="187"/>
      <c r="S21" s="187"/>
      <c r="T21" s="187"/>
      <c r="U21" s="187"/>
    </row>
    <row r="22" spans="1:22" ht="36" customHeight="1" thickBot="1" x14ac:dyDescent="0.4">
      <c r="A22" s="33" t="str">
        <f>IF(ISBLANK('Control Entry'!D47),"",'Control Entry'!D47)</f>
        <v/>
      </c>
      <c r="B22" s="34" t="str">
        <f>'Control Entry'!N47</f>
        <v/>
      </c>
      <c r="C22" s="34" t="str">
        <f>'Control Entry'!O47</f>
        <v/>
      </c>
      <c r="D22" s="35" t="str">
        <f>IF(ISBLANK('Control Entry'!E47),"",'Control Entry'!E47)</f>
        <v/>
      </c>
      <c r="E22" s="27" t="str">
        <f>IF(ISBLANK('Control Entry'!G47),"",'Control Entry'!G47)</f>
        <v/>
      </c>
      <c r="F22" s="83" t="str">
        <f>IF(ISBLANK('Control Entry'!J47),"",'Control Entry'!J47)</f>
        <v/>
      </c>
      <c r="G22" s="84"/>
      <c r="H22" s="23" t="s">
        <v>29</v>
      </c>
      <c r="J22" s="49" t="s">
        <v>45</v>
      </c>
      <c r="K22" s="49"/>
      <c r="L22" s="89"/>
      <c r="M22" s="89"/>
      <c r="N22" s="89"/>
      <c r="P22" s="14" t="s">
        <v>1</v>
      </c>
      <c r="Q22" s="14"/>
      <c r="S22" s="188"/>
      <c r="T22" s="188"/>
      <c r="U22" s="188"/>
    </row>
    <row r="23" spans="1:22" ht="36" customHeight="1" thickBot="1" x14ac:dyDescent="0.4">
      <c r="A23" s="28"/>
      <c r="B23" s="29" t="str">
        <f>'Control Entry'!N47</f>
        <v/>
      </c>
      <c r="C23" s="29" t="str">
        <f>'Control Entry'!O47</f>
        <v/>
      </c>
      <c r="D23" s="30"/>
      <c r="E23" s="31" t="str">
        <f>IF(ISBLANK('Control Entry'!H47),"",'Control Entry'!H47)</f>
        <v/>
      </c>
      <c r="F23" s="88" t="str">
        <f>IF(ISBLANK('Control Entry'!K47),"",'Control Entry'!K47)</f>
        <v/>
      </c>
      <c r="G23" s="87"/>
      <c r="H23" s="23" t="s">
        <v>29</v>
      </c>
      <c r="J23" s="49"/>
      <c r="K23" s="49"/>
      <c r="L23" s="43"/>
      <c r="M23" s="43"/>
      <c r="N23" s="43"/>
      <c r="P23" s="14"/>
      <c r="Q23" s="14"/>
    </row>
    <row r="24" spans="1:22" ht="36" customHeight="1" thickBot="1" x14ac:dyDescent="0.4">
      <c r="A24" s="24"/>
      <c r="B24" s="25" t="str">
        <f>'Control Entry'!N48</f>
        <v/>
      </c>
      <c r="C24" s="25" t="str">
        <f>'Control Entry'!O48</f>
        <v/>
      </c>
      <c r="D24" s="32"/>
      <c r="E24" s="27" t="str">
        <f>IF(ISBLANK('Control Entry'!F48),"",'Control Entry'!F48)</f>
        <v/>
      </c>
      <c r="F24" s="83" t="str">
        <f>IF(ISBLANK('Control Entry'!I48),"",'Control Entry'!I48)</f>
        <v/>
      </c>
      <c r="G24" s="84"/>
      <c r="H24" s="23" t="s">
        <v>29</v>
      </c>
      <c r="J24" s="188"/>
      <c r="K24" s="188"/>
      <c r="L24" s="188"/>
      <c r="M24" s="188"/>
      <c r="N24" s="188"/>
      <c r="P24" s="14" t="s">
        <v>2</v>
      </c>
      <c r="Q24" s="14"/>
      <c r="S24" s="188"/>
      <c r="T24" s="188"/>
      <c r="U24" s="188"/>
    </row>
    <row r="25" spans="1:22" ht="36" customHeight="1" x14ac:dyDescent="0.3">
      <c r="A25" s="33" t="str">
        <f>IF(ISBLANK('Control Entry'!D48),"",'Control Entry'!D48)</f>
        <v/>
      </c>
      <c r="B25" s="34" t="str">
        <f>'Control Entry'!N48</f>
        <v/>
      </c>
      <c r="C25" s="34" t="str">
        <f>'Control Entry'!O48</f>
        <v/>
      </c>
      <c r="D25" s="35" t="str">
        <f>IF(ISBLANK('Control Entry'!E48),"",'Control Entry'!E48)</f>
        <v/>
      </c>
      <c r="E25" s="27" t="str">
        <f>IF(ISBLANK('Control Entry'!G48),"",'Control Entry'!G48)</f>
        <v/>
      </c>
      <c r="F25" s="83" t="str">
        <f>IF(ISBLANK('Control Entry'!J48),"",'Control Entry'!J48)</f>
        <v/>
      </c>
      <c r="G25" s="84"/>
      <c r="H25" s="23" t="s">
        <v>29</v>
      </c>
      <c r="J25" s="172" t="s">
        <v>17</v>
      </c>
      <c r="K25" s="172"/>
      <c r="L25" s="172"/>
      <c r="M25" s="172"/>
      <c r="N25" s="172"/>
      <c r="O25" s="45"/>
      <c r="P25" s="173"/>
      <c r="Q25" s="173"/>
      <c r="R25" s="45"/>
      <c r="S25" s="155"/>
      <c r="T25" s="155"/>
      <c r="U25" s="155"/>
      <c r="V25" s="155"/>
    </row>
    <row r="26" spans="1:22" ht="36" customHeight="1" thickBot="1" x14ac:dyDescent="0.4">
      <c r="A26" s="28"/>
      <c r="B26" s="29" t="str">
        <f>'Control Entry'!N48</f>
        <v/>
      </c>
      <c r="C26" s="29" t="str">
        <f>'Control Entry'!O48</f>
        <v/>
      </c>
      <c r="D26" s="30"/>
      <c r="E26" s="31" t="str">
        <f>IF(ISBLANK('Control Entry'!H48),"",'Control Entry'!H48)</f>
        <v/>
      </c>
      <c r="F26" s="88" t="str">
        <f>IF(ISBLANK('Control Entry'!K48),"",'Control Entry'!K48)</f>
        <v/>
      </c>
      <c r="G26" s="87"/>
      <c r="H26" s="23" t="s">
        <v>29</v>
      </c>
    </row>
    <row r="27" spans="1:22" ht="36" customHeight="1" x14ac:dyDescent="0.35">
      <c r="A27" s="24"/>
      <c r="B27" s="25" t="str">
        <f>'Control Entry'!N49</f>
        <v/>
      </c>
      <c r="C27" s="25" t="str">
        <f>'Control Entry'!O49</f>
        <v/>
      </c>
      <c r="D27" s="32"/>
      <c r="E27" s="27" t="str">
        <f>IF(ISBLANK('Control Entry'!F49),"",'Control Entry'!F49)</f>
        <v/>
      </c>
      <c r="F27" s="83" t="str">
        <f>IF(ISBLANK('Control Entry'!I49),"",'Control Entry'!I49)</f>
        <v/>
      </c>
      <c r="G27" s="84"/>
      <c r="H27" s="23" t="s">
        <v>29</v>
      </c>
      <c r="K27" s="184" t="s">
        <v>56</v>
      </c>
      <c r="L27" s="173"/>
      <c r="M27" s="44" t="s">
        <v>57</v>
      </c>
      <c r="N27" s="173" t="s">
        <v>49</v>
      </c>
      <c r="O27" s="173"/>
      <c r="P27" s="173" t="s">
        <v>50</v>
      </c>
      <c r="Q27" s="173"/>
      <c r="R27" s="45" t="s">
        <v>51</v>
      </c>
      <c r="S27" s="155" t="s">
        <v>52</v>
      </c>
      <c r="T27" s="155"/>
      <c r="U27" s="155" t="s">
        <v>53</v>
      </c>
      <c r="V27" s="155"/>
    </row>
    <row r="28" spans="1:22" ht="36" customHeight="1" x14ac:dyDescent="0.3">
      <c r="A28" s="33" t="str">
        <f>IF(ISBLANK('Control Entry'!D49),"",'Control Entry'!D49)</f>
        <v/>
      </c>
      <c r="B28" s="34" t="str">
        <f>'Control Entry'!N49</f>
        <v/>
      </c>
      <c r="C28" s="34" t="str">
        <f>'Control Entry'!O49</f>
        <v/>
      </c>
      <c r="D28" s="35" t="str">
        <f>IF(ISBLANK('Control Entry'!E49),"",'Control Entry'!E49)</f>
        <v/>
      </c>
      <c r="E28" s="27" t="str">
        <f>IF(ISBLANK('Control Entry'!G49),"",'Control Entry'!G49)</f>
        <v/>
      </c>
      <c r="F28" s="83" t="str">
        <f>IF(ISBLANK('Control Entry'!J49),"",'Control Entry'!J49)</f>
        <v/>
      </c>
      <c r="G28" s="84"/>
      <c r="H28" s="23" t="s">
        <v>29</v>
      </c>
    </row>
    <row r="29" spans="1:22" ht="36" customHeight="1" thickBot="1" x14ac:dyDescent="0.4">
      <c r="A29" s="28"/>
      <c r="B29" s="29" t="str">
        <f>'Control Entry'!N49</f>
        <v/>
      </c>
      <c r="C29" s="29" t="str">
        <f>'Control Entry'!O49</f>
        <v/>
      </c>
      <c r="D29" s="30"/>
      <c r="E29" s="31" t="str">
        <f>IF(ISBLANK('Control Entry'!H49),"",'Control Entry'!H49)</f>
        <v/>
      </c>
      <c r="F29" s="88" t="str">
        <f>IF(ISBLANK('Control Entry'!K49),"",'Control Entry'!K49)</f>
        <v/>
      </c>
      <c r="G29" s="87"/>
      <c r="H29" s="23" t="s">
        <v>29</v>
      </c>
      <c r="M29" s="207" t="s">
        <v>42</v>
      </c>
      <c r="N29" s="207"/>
      <c r="O29" s="207"/>
      <c r="P29" s="207"/>
      <c r="Q29" s="207"/>
      <c r="R29" s="207"/>
      <c r="S29" s="207"/>
      <c r="T29" s="207"/>
      <c r="U29" s="48"/>
    </row>
    <row r="30" spans="1:22" ht="36" customHeight="1" x14ac:dyDescent="0.35">
      <c r="A30" s="24"/>
      <c r="B30" s="25" t="str">
        <f>'Control Entry'!N50</f>
        <v/>
      </c>
      <c r="C30" s="25" t="str">
        <f>'Control Entry'!O50</f>
        <v/>
      </c>
      <c r="D30" s="32"/>
      <c r="E30" s="27" t="str">
        <f>IF(ISBLANK('Control Entry'!F50),"",'Control Entry'!F50)</f>
        <v/>
      </c>
      <c r="F30" s="83" t="str">
        <f>IF(ISBLANK('Control Entry'!I50),"",'Control Entry'!I50)</f>
        <v/>
      </c>
      <c r="G30" s="84"/>
      <c r="H30" s="23" t="s">
        <v>29</v>
      </c>
      <c r="M30" s="15"/>
      <c r="N30" s="17"/>
      <c r="O30" s="17"/>
      <c r="P30" s="18"/>
      <c r="Q30" s="15"/>
      <c r="R30" s="17"/>
      <c r="S30" s="17"/>
      <c r="T30" s="18"/>
    </row>
    <row r="31" spans="1:22" ht="36" customHeight="1" x14ac:dyDescent="0.3">
      <c r="A31" s="33" t="str">
        <f>IF(ISBLANK('Control Entry'!D50),"",'Control Entry'!D50)</f>
        <v/>
      </c>
      <c r="B31" s="34" t="str">
        <f>'Control Entry'!N50</f>
        <v/>
      </c>
      <c r="C31" s="34" t="str">
        <f>'Control Entry'!O50</f>
        <v/>
      </c>
      <c r="D31" s="35" t="str">
        <f>IF(ISBLANK('Control Entry'!E50),"",'Control Entry'!E50)</f>
        <v/>
      </c>
      <c r="E31" s="27" t="str">
        <f>IF(ISBLANK('Control Entry'!G50),"",'Control Entry'!G50)</f>
        <v/>
      </c>
      <c r="F31" s="83" t="str">
        <f>IF(ISBLANK('Control Entry'!J50),"",'Control Entry'!J50)</f>
        <v/>
      </c>
      <c r="G31" s="84"/>
      <c r="H31" s="23" t="s">
        <v>29</v>
      </c>
      <c r="M31" s="16"/>
      <c r="P31" s="19"/>
      <c r="Q31" s="16"/>
      <c r="T31" s="19"/>
    </row>
    <row r="32" spans="1:22" ht="36" customHeight="1" thickBot="1" x14ac:dyDescent="0.4">
      <c r="A32" s="28"/>
      <c r="B32" s="29" t="str">
        <f>'Control Entry'!N50</f>
        <v/>
      </c>
      <c r="C32" s="29" t="str">
        <f>'Control Entry'!O50</f>
        <v/>
      </c>
      <c r="D32" s="30"/>
      <c r="E32" s="31" t="str">
        <f>IF(ISBLANK('Control Entry'!H50),"",'Control Entry'!H50)</f>
        <v/>
      </c>
      <c r="F32" s="88" t="str">
        <f>IF(ISBLANK('Control Entry'!K50),"",'Control Entry'!K50)</f>
        <v/>
      </c>
      <c r="G32" s="87"/>
      <c r="H32" s="23" t="s">
        <v>29</v>
      </c>
      <c r="M32" s="199" t="s">
        <v>81</v>
      </c>
      <c r="N32" s="200"/>
      <c r="O32" s="200"/>
      <c r="P32" s="201"/>
      <c r="Q32" s="202">
        <f>'Control Entry'!B3</f>
        <v>45167</v>
      </c>
      <c r="R32" s="203"/>
      <c r="S32" s="203"/>
      <c r="T32" s="204"/>
    </row>
    <row r="33" spans="1:22" ht="36" customHeight="1" x14ac:dyDescent="0.35">
      <c r="A33" s="195" t="s">
        <v>43</v>
      </c>
      <c r="B33" s="195"/>
      <c r="C33" s="195"/>
      <c r="D33" s="195"/>
      <c r="E33" s="195"/>
      <c r="F33" s="195"/>
      <c r="G33" s="195"/>
      <c r="H33" s="36"/>
      <c r="I33" s="36"/>
      <c r="M33" s="208" t="s">
        <v>83</v>
      </c>
      <c r="N33" s="209"/>
      <c r="O33" s="209"/>
      <c r="P33" s="209"/>
      <c r="Q33" s="156">
        <f>'Control Entry'!B4</f>
        <v>45237</v>
      </c>
      <c r="R33" s="157"/>
      <c r="S33" s="157"/>
      <c r="T33" s="157"/>
      <c r="U33" s="80"/>
      <c r="V33" s="43"/>
    </row>
    <row r="34" spans="1:22" ht="36" customHeight="1" x14ac:dyDescent="0.35">
      <c r="A34"/>
      <c r="O34" s="14"/>
      <c r="P34" s="14"/>
      <c r="Q34" s="14"/>
      <c r="R34" s="41"/>
    </row>
    <row r="35" spans="1:22" ht="36" customHeight="1" x14ac:dyDescent="0.25">
      <c r="A35"/>
      <c r="N35" s="207"/>
      <c r="O35" s="207"/>
      <c r="P35" s="207"/>
      <c r="Q35" s="207"/>
      <c r="R35" s="207"/>
      <c r="S35" s="207"/>
      <c r="T35" s="207"/>
      <c r="U35" s="207"/>
    </row>
    <row r="36" spans="1:22" ht="36" customHeight="1" x14ac:dyDescent="0.25">
      <c r="A36"/>
    </row>
    <row r="37" spans="1:22" ht="36" customHeight="1" x14ac:dyDescent="0.25">
      <c r="A37"/>
    </row>
    <row r="38" spans="1:22" ht="36" customHeight="1" x14ac:dyDescent="0.35">
      <c r="A38"/>
      <c r="N38" s="14"/>
    </row>
    <row r="39" spans="1:22" ht="36" customHeight="1" x14ac:dyDescent="0.25">
      <c r="A39"/>
    </row>
    <row r="40" spans="1:22" ht="36" customHeight="1" x14ac:dyDescent="0.2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S22:U22"/>
    <mergeCell ref="J24:N24"/>
    <mergeCell ref="S24:U24"/>
    <mergeCell ref="S11:U11"/>
    <mergeCell ref="L12:N12"/>
    <mergeCell ref="S12:U12"/>
    <mergeCell ref="L13:N13"/>
    <mergeCell ref="R13:U13"/>
    <mergeCell ref="J21:U21"/>
  </mergeCells>
  <conditionalFormatting sqref="J22:N22">
    <cfRule type="expression" dxfId="10" priority="3">
      <formula>$S$3="#3"</formula>
    </cfRule>
  </conditionalFormatting>
  <conditionalFormatting sqref="J21:U21">
    <cfRule type="expression" dxfId="9" priority="1">
      <formula>$S$3&lt;&gt;"#3"</formula>
    </cfRule>
  </conditionalFormatting>
  <conditionalFormatting sqref="K27:V27">
    <cfRule type="expression" dxfId="8" priority="2">
      <formula>$S$3="#3"</formula>
    </cfRule>
  </conditionalFormatting>
  <conditionalFormatting sqref="P22:U24">
    <cfRule type="expression" dxfId="7" priority="4">
      <formula>$S$3="#3"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F1" zoomScale="92" zoomScaleNormal="92" zoomScalePageLayoutView="92" workbookViewId="0">
      <selection activeCell="F3" sqref="F3"/>
    </sheetView>
  </sheetViews>
  <sheetFormatPr defaultColWidth="8.77734375" defaultRowHeight="13.2" x14ac:dyDescent="0.25"/>
  <cols>
    <col min="1" max="1" width="8.44140625" style="1" customWidth="1"/>
    <col min="2" max="3" width="11.6640625" customWidth="1"/>
    <col min="4" max="4" width="18" customWidth="1"/>
    <col min="5" max="5" width="23.77734375" customWidth="1"/>
    <col min="6" max="6" width="42" customWidth="1"/>
    <col min="7" max="7" width="13.44140625" customWidth="1"/>
    <col min="8" max="8" width="8" customWidth="1"/>
    <col min="9" max="9" width="12" customWidth="1"/>
    <col min="12" max="14" width="9" customWidth="1"/>
    <col min="18" max="18" width="8.77734375" customWidth="1"/>
    <col min="19" max="19" width="10.44140625" customWidth="1"/>
  </cols>
  <sheetData>
    <row r="1" spans="1:22" ht="21" thickBot="1" x14ac:dyDescent="0.3">
      <c r="A1" s="175" t="s">
        <v>73</v>
      </c>
      <c r="B1" s="175"/>
      <c r="C1" s="175"/>
      <c r="D1" s="175"/>
      <c r="E1" s="175"/>
      <c r="F1" s="175"/>
      <c r="G1" s="175"/>
      <c r="H1" s="23" t="s">
        <v>29</v>
      </c>
    </row>
    <row r="2" spans="1:22" ht="33.75" customHeight="1" thickBot="1" x14ac:dyDescent="0.35">
      <c r="A2" s="63" t="s">
        <v>30</v>
      </c>
      <c r="B2" s="9" t="s">
        <v>3</v>
      </c>
      <c r="C2" s="9" t="s">
        <v>4</v>
      </c>
      <c r="D2" s="9" t="s">
        <v>25</v>
      </c>
      <c r="E2" s="9" t="s">
        <v>31</v>
      </c>
      <c r="F2" s="9" t="s">
        <v>59</v>
      </c>
      <c r="G2" s="63" t="s">
        <v>32</v>
      </c>
      <c r="H2" s="23" t="s">
        <v>29</v>
      </c>
      <c r="K2" s="157" t="s">
        <v>55</v>
      </c>
      <c r="L2" s="157"/>
      <c r="M2" s="157"/>
      <c r="N2" s="157"/>
      <c r="O2" s="157"/>
      <c r="P2" s="157"/>
      <c r="Q2" s="157"/>
      <c r="R2" s="157"/>
      <c r="S2" s="157"/>
      <c r="T2" s="157"/>
      <c r="U2" s="157"/>
    </row>
    <row r="3" spans="1:22" ht="36" customHeight="1" x14ac:dyDescent="0.7">
      <c r="A3" s="24"/>
      <c r="B3" s="25" t="str">
        <f>'Control Entry'!N54</f>
        <v/>
      </c>
      <c r="C3" s="25" t="str">
        <f>'Control Entry'!O54</f>
        <v/>
      </c>
      <c r="D3" s="26"/>
      <c r="E3" s="27" t="str">
        <f>IF(ISBLANK('Control Entry'!F54),"",'Control Entry'!F54)</f>
        <v/>
      </c>
      <c r="F3" s="83" t="str">
        <f>IF(ISBLANK('Control Entry'!I54),"",'Control Entry'!I54)</f>
        <v/>
      </c>
      <c r="G3" s="84"/>
      <c r="H3" s="23" t="s">
        <v>29</v>
      </c>
      <c r="K3" s="13"/>
      <c r="O3" s="183" t="s">
        <v>72</v>
      </c>
      <c r="P3" s="183"/>
      <c r="Q3" s="183"/>
      <c r="R3" s="183"/>
      <c r="S3" s="73" t="str">
        <f>IF(AND('Control Entry'!D41=0,'Control Entry'!D54&lt;&gt;0),"#2",IF('Control Entry'!D54=0,"","#4"))</f>
        <v/>
      </c>
      <c r="T3" s="74"/>
      <c r="U3" s="37"/>
    </row>
    <row r="4" spans="1:22" ht="36" customHeight="1" x14ac:dyDescent="0.3">
      <c r="A4" s="33" t="str">
        <f>IF(ISBLANK('Control Entry'!D54),"",'Control Entry'!D54)</f>
        <v/>
      </c>
      <c r="B4" s="34" t="str">
        <f>'Control Entry'!N54</f>
        <v/>
      </c>
      <c r="C4" s="34" t="str">
        <f>'Control Entry'!O54</f>
        <v/>
      </c>
      <c r="D4" s="35" t="str">
        <f>IF(ISBLANK('Control Entry'!E54),"",'Control Entry'!E54)</f>
        <v/>
      </c>
      <c r="E4" s="27" t="str">
        <f>IF(ISBLANK('Control Entry'!G54),"",'Control Entry'!G54)</f>
        <v/>
      </c>
      <c r="F4" s="83" t="str">
        <f>IF(ISBLANK('Control Entry'!J54),"",'Control Entry'!J54)</f>
        <v/>
      </c>
      <c r="G4" s="84"/>
      <c r="H4" s="23" t="s">
        <v>29</v>
      </c>
      <c r="K4" s="13"/>
      <c r="M4" s="184" t="str">
        <f>IF(ISBLANK(Brevet_Length),"",Brevet_Length&amp;" km Randonnée")</f>
        <v>200 km Randonnée</v>
      </c>
      <c r="N4" s="184"/>
      <c r="O4" s="184"/>
      <c r="P4" s="184"/>
      <c r="Q4" s="184"/>
      <c r="R4" s="184"/>
      <c r="S4" s="184"/>
      <c r="T4" s="184"/>
      <c r="U4" s="38"/>
    </row>
    <row r="5" spans="1:22" ht="36" customHeight="1" thickBot="1" x14ac:dyDescent="0.4">
      <c r="A5" s="28"/>
      <c r="B5" s="29" t="str">
        <f>'Control Entry'!N54</f>
        <v/>
      </c>
      <c r="C5" s="29" t="str">
        <f>'Control Entry'!O54</f>
        <v/>
      </c>
      <c r="D5" s="30"/>
      <c r="E5" s="31" t="str">
        <f>IF(ISBLANK('Control Entry'!H54),"",'Control Entry'!H54)</f>
        <v/>
      </c>
      <c r="F5" s="88" t="str">
        <f>IF(ISBLANK('Control Entry'!K54),"",'Control Entry'!K54)</f>
        <v/>
      </c>
      <c r="G5" s="87"/>
      <c r="H5" s="23" t="s">
        <v>29</v>
      </c>
      <c r="K5" s="13"/>
      <c r="M5" s="14"/>
      <c r="N5" s="155" t="s">
        <v>47</v>
      </c>
      <c r="O5" s="155"/>
      <c r="P5" s="51">
        <f>IF(ISBLANK(Brevet_Number),"",Brevet_Number)</f>
        <v>5279</v>
      </c>
      <c r="Q5" s="52"/>
      <c r="R5" s="197">
        <f>IF(ISBLANK('Control Entry'!$B10),"",'Control Entry'!$B10)</f>
        <v>45241</v>
      </c>
      <c r="S5" s="197"/>
      <c r="T5" s="197"/>
      <c r="U5" s="197"/>
      <c r="V5" s="39"/>
    </row>
    <row r="6" spans="1:22" ht="36" customHeight="1" x14ac:dyDescent="0.4">
      <c r="A6" s="24"/>
      <c r="B6" s="25" t="str">
        <f>'Control Entry'!N55</f>
        <v/>
      </c>
      <c r="C6" s="25" t="str">
        <f>'Control Entry'!O55</f>
        <v/>
      </c>
      <c r="D6" s="32"/>
      <c r="E6" s="27" t="str">
        <f>IF(ISBLANK('Control Entry'!F55),"",'Control Entry'!F55)</f>
        <v/>
      </c>
      <c r="F6" s="83" t="str">
        <f>IF(ISBLANK('Control Entry'!I55),"",'Control Entry'!I55)</f>
        <v/>
      </c>
      <c r="G6" s="84"/>
      <c r="H6" s="23" t="s">
        <v>29</v>
      </c>
      <c r="K6" s="13"/>
      <c r="L6" s="187" t="str">
        <f>IF(ISBLANK(Brevet_Description),"",Brevet_Description)</f>
        <v>A RIDE OF REMEMBRANCE</v>
      </c>
      <c r="M6" s="187"/>
      <c r="N6" s="187"/>
      <c r="O6" s="187"/>
      <c r="P6" s="187"/>
      <c r="Q6" s="187"/>
      <c r="R6" s="187"/>
      <c r="S6" s="187"/>
      <c r="T6" s="187"/>
      <c r="U6" s="187"/>
    </row>
    <row r="7" spans="1:22" ht="36" customHeight="1" x14ac:dyDescent="0.3">
      <c r="A7" s="33" t="str">
        <f>IF(ISBLANK('Control Entry'!D55),"",'Control Entry'!D55)</f>
        <v/>
      </c>
      <c r="B7" s="34" t="str">
        <f>'Control Entry'!N55</f>
        <v/>
      </c>
      <c r="C7" s="34" t="str">
        <f>'Control Entry'!O55</f>
        <v/>
      </c>
      <c r="D7" s="35" t="str">
        <f>IF(ISBLANK('Control Entry'!E55),"",'Control Entry'!E55)</f>
        <v/>
      </c>
      <c r="E7" s="27" t="str">
        <f>IF(ISBLANK('Control Entry'!G55),"",'Control Entry'!G55)</f>
        <v/>
      </c>
      <c r="F7" s="83" t="str">
        <f>IF(ISBLANK('Control Entry'!J55),"",'Control Entry'!J55)</f>
        <v/>
      </c>
      <c r="G7" s="84"/>
      <c r="H7" s="23" t="s">
        <v>29</v>
      </c>
    </row>
    <row r="8" spans="1:22" ht="36" customHeight="1" thickBot="1" x14ac:dyDescent="0.4">
      <c r="A8" s="28"/>
      <c r="B8" s="29" t="str">
        <f>'Control Entry'!N55</f>
        <v/>
      </c>
      <c r="C8" s="29" t="str">
        <f>'Control Entry'!O55</f>
        <v/>
      </c>
      <c r="D8" s="30"/>
      <c r="E8" s="31" t="str">
        <f>IF(ISBLANK('Control Entry'!H55),"",'Control Entry'!H55)</f>
        <v/>
      </c>
      <c r="F8" s="88" t="str">
        <f>IF(ISBLANK('Control Entry'!K55),"",'Control Entry'!K55)</f>
        <v/>
      </c>
      <c r="G8" s="87"/>
      <c r="H8" s="23" t="s">
        <v>29</v>
      </c>
      <c r="J8" s="14" t="s">
        <v>34</v>
      </c>
      <c r="L8" s="198"/>
      <c r="M8" s="198"/>
      <c r="N8" s="198"/>
      <c r="O8" s="198"/>
      <c r="P8" s="198"/>
      <c r="Q8" s="198"/>
      <c r="S8" s="40" t="s">
        <v>46</v>
      </c>
      <c r="T8" s="205"/>
      <c r="U8" s="205"/>
    </row>
    <row r="9" spans="1:22" ht="36" customHeight="1" thickBot="1" x14ac:dyDescent="0.5">
      <c r="A9" s="24"/>
      <c r="B9" s="25" t="str">
        <f>'Control Entry'!N56</f>
        <v/>
      </c>
      <c r="C9" s="25" t="str">
        <f>'Control Entry'!O56</f>
        <v/>
      </c>
      <c r="D9" s="32"/>
      <c r="E9" s="27" t="str">
        <f>IF(ISBLANK('Control Entry'!F56),"",'Control Entry'!F56)</f>
        <v/>
      </c>
      <c r="F9" s="83" t="str">
        <f>IF(ISBLANK('Control Entry'!I56),"",'Control Entry'!I56)</f>
        <v/>
      </c>
      <c r="G9" s="84"/>
      <c r="H9" s="23" t="s">
        <v>29</v>
      </c>
      <c r="J9" s="14" t="s">
        <v>35</v>
      </c>
      <c r="K9" s="14"/>
      <c r="L9" s="189" t="s">
        <v>54</v>
      </c>
      <c r="M9" s="189"/>
      <c r="N9" s="189"/>
      <c r="O9" s="189"/>
      <c r="P9" s="189"/>
      <c r="Q9" s="189"/>
      <c r="R9" s="189"/>
      <c r="S9" s="189"/>
      <c r="T9" s="189"/>
      <c r="U9" s="189"/>
    </row>
    <row r="10" spans="1:22" ht="36" customHeight="1" thickBot="1" x14ac:dyDescent="0.45">
      <c r="A10" s="33" t="str">
        <f>IF(ISBLANK('Control Entry'!D56),"",'Control Entry'!D56)</f>
        <v/>
      </c>
      <c r="B10" s="34" t="str">
        <f>'Control Entry'!N56</f>
        <v/>
      </c>
      <c r="C10" s="34" t="str">
        <f>'Control Entry'!O56</f>
        <v/>
      </c>
      <c r="D10" s="35" t="str">
        <f>IF(ISBLANK('Control Entry'!E56),"",'Control Entry'!E56)</f>
        <v/>
      </c>
      <c r="E10" s="27" t="str">
        <f>IF(ISBLANK('Control Entry'!G56),"",'Control Entry'!G56)</f>
        <v/>
      </c>
      <c r="F10" s="83" t="str">
        <f>IF(ISBLANK('Control Entry'!J56),"",'Control Entry'!J56)</f>
        <v/>
      </c>
      <c r="G10" s="84"/>
      <c r="H10" s="23" t="s">
        <v>29</v>
      </c>
      <c r="J10" s="14"/>
      <c r="K10" s="14"/>
      <c r="L10" s="190"/>
      <c r="M10" s="190"/>
      <c r="N10" s="190"/>
      <c r="O10" s="190"/>
      <c r="P10" s="190"/>
      <c r="Q10" s="190"/>
      <c r="R10" s="190"/>
      <c r="S10" s="190"/>
      <c r="T10" s="190"/>
      <c r="U10" s="190"/>
    </row>
    <row r="11" spans="1:22" ht="36" customHeight="1" thickBot="1" x14ac:dyDescent="0.45">
      <c r="A11" s="28"/>
      <c r="B11" s="29" t="str">
        <f>'Control Entry'!N56</f>
        <v/>
      </c>
      <c r="C11" s="29" t="str">
        <f>'Control Entry'!O56</f>
        <v/>
      </c>
      <c r="D11" s="30"/>
      <c r="E11" s="31" t="str">
        <f>IF(ISBLANK('Control Entry'!H56),"",'Control Entry'!H56)</f>
        <v/>
      </c>
      <c r="F11" s="88" t="str">
        <f>IF(ISBLANK('Control Entry'!K56),"",'Control Entry'!K56)</f>
        <v/>
      </c>
      <c r="G11" s="87"/>
      <c r="H11" s="23" t="s">
        <v>29</v>
      </c>
      <c r="J11" s="14" t="s">
        <v>36</v>
      </c>
      <c r="K11" s="14"/>
      <c r="L11" s="190"/>
      <c r="M11" s="190"/>
      <c r="N11" s="190"/>
      <c r="O11" s="14"/>
      <c r="P11" s="14" t="s">
        <v>37</v>
      </c>
      <c r="Q11" s="14"/>
      <c r="R11" s="14"/>
      <c r="S11" s="194"/>
      <c r="T11" s="194"/>
      <c r="U11" s="194"/>
    </row>
    <row r="12" spans="1:22" ht="36" customHeight="1" thickBot="1" x14ac:dyDescent="0.45">
      <c r="A12" s="24"/>
      <c r="B12" s="25" t="str">
        <f>'Control Entry'!N57</f>
        <v/>
      </c>
      <c r="C12" s="25" t="str">
        <f>'Control Entry'!O57</f>
        <v/>
      </c>
      <c r="D12" s="32"/>
      <c r="E12" s="27" t="str">
        <f>IF(ISBLANK('Control Entry'!F57),"",'Control Entry'!F57)</f>
        <v/>
      </c>
      <c r="F12" s="83" t="str">
        <f>IF(ISBLANK('Control Entry'!I57),"",'Control Entry'!I57)</f>
        <v/>
      </c>
      <c r="G12" s="84"/>
      <c r="H12" s="23" t="s">
        <v>29</v>
      </c>
      <c r="J12" s="14" t="s">
        <v>38</v>
      </c>
      <c r="K12" s="14"/>
      <c r="L12" s="190"/>
      <c r="M12" s="190"/>
      <c r="N12" s="190"/>
      <c r="O12" s="14"/>
      <c r="P12" s="14" t="s">
        <v>39</v>
      </c>
      <c r="Q12" s="14"/>
      <c r="R12" s="14"/>
      <c r="S12" s="194"/>
      <c r="T12" s="194"/>
      <c r="U12" s="194"/>
    </row>
    <row r="13" spans="1:22" ht="36" customHeight="1" thickBot="1" x14ac:dyDescent="0.45">
      <c r="A13" s="33" t="str">
        <f>IF(ISBLANK('Control Entry'!D57),"",'Control Entry'!D57)</f>
        <v/>
      </c>
      <c r="B13" s="34" t="str">
        <f>'Control Entry'!N57</f>
        <v/>
      </c>
      <c r="C13" s="34" t="str">
        <f>'Control Entry'!O57</f>
        <v/>
      </c>
      <c r="D13" s="35" t="str">
        <f>IF(ISBLANK('Control Entry'!E57),"",'Control Entry'!E57)</f>
        <v/>
      </c>
      <c r="E13" s="27" t="str">
        <f>IF(ISBLANK('Control Entry'!G57),"",'Control Entry'!G57)</f>
        <v/>
      </c>
      <c r="F13" s="83" t="str">
        <f>IF(ISBLANK('Control Entry'!J57),"",'Control Entry'!J57)</f>
        <v/>
      </c>
      <c r="G13" s="84"/>
      <c r="H13" s="23" t="s">
        <v>29</v>
      </c>
      <c r="J13" s="14" t="s">
        <v>40</v>
      </c>
      <c r="L13" s="193"/>
      <c r="M13" s="193"/>
      <c r="N13" s="193"/>
      <c r="P13" s="14" t="s">
        <v>41</v>
      </c>
      <c r="Q13" s="14"/>
      <c r="R13" s="196"/>
      <c r="S13" s="196"/>
      <c r="T13" s="196"/>
      <c r="U13" s="196"/>
    </row>
    <row r="14" spans="1:22" ht="36" customHeight="1" thickBot="1" x14ac:dyDescent="0.4">
      <c r="A14" s="28"/>
      <c r="B14" s="29" t="str">
        <f>'Control Entry'!N57</f>
        <v/>
      </c>
      <c r="C14" s="29" t="str">
        <f>'Control Entry'!O57</f>
        <v/>
      </c>
      <c r="D14" s="30"/>
      <c r="E14" s="31" t="str">
        <f>IF(ISBLANK('Control Entry'!H57),"",'Control Entry'!H57)</f>
        <v/>
      </c>
      <c r="F14" s="88" t="str">
        <f>IF(ISBLANK('Control Entry'!K57),"",'Control Entry'!K57)</f>
        <v/>
      </c>
      <c r="G14" s="87"/>
      <c r="H14" s="23" t="s">
        <v>29</v>
      </c>
    </row>
    <row r="15" spans="1:22" ht="36" customHeight="1" x14ac:dyDescent="0.35">
      <c r="A15" s="24"/>
      <c r="B15" s="25" t="str">
        <f>'Control Entry'!N58</f>
        <v/>
      </c>
      <c r="C15" s="25" t="str">
        <f>'Control Entry'!O58</f>
        <v/>
      </c>
      <c r="D15" s="32"/>
      <c r="E15" s="27" t="str">
        <f>IF(ISBLANK('Control Entry'!F58),"",'Control Entry'!F58)</f>
        <v/>
      </c>
      <c r="F15" s="83" t="str">
        <f>IF(ISBLANK('Control Entry'!I58),"",'Control Entry'!I58)</f>
        <v/>
      </c>
      <c r="G15" s="84"/>
      <c r="H15" s="23" t="s">
        <v>29</v>
      </c>
      <c r="J15" s="14"/>
      <c r="L15" s="186" t="s">
        <v>58</v>
      </c>
      <c r="M15" s="186"/>
      <c r="N15" s="186"/>
      <c r="O15" s="186"/>
      <c r="P15" s="186"/>
      <c r="Q15" s="186"/>
      <c r="R15" s="186"/>
      <c r="S15" s="186"/>
      <c r="T15" s="186"/>
      <c r="U15" s="186"/>
    </row>
    <row r="16" spans="1:22" ht="36" customHeight="1" thickBot="1" x14ac:dyDescent="0.35">
      <c r="A16" s="33" t="str">
        <f>IF(ISBLANK('Control Entry'!D58),"",'Control Entry'!D58)</f>
        <v/>
      </c>
      <c r="B16" s="34" t="str">
        <f>'Control Entry'!N58</f>
        <v/>
      </c>
      <c r="C16" s="34" t="str">
        <f>'Control Entry'!O58</f>
        <v/>
      </c>
      <c r="D16" s="35" t="str">
        <f>IF(ISBLANK('Control Entry'!E58),"",'Control Entry'!E58)</f>
        <v/>
      </c>
      <c r="E16" s="27" t="str">
        <f>IF(ISBLANK('Control Entry'!G58),"",'Control Entry'!G58)</f>
        <v/>
      </c>
      <c r="F16" s="83" t="str">
        <f>IF(ISBLANK('Control Entry'!J58),"",'Control Entry'!J58)</f>
        <v/>
      </c>
      <c r="G16" s="84"/>
      <c r="H16" s="23" t="s">
        <v>29</v>
      </c>
      <c r="L16" s="211"/>
      <c r="M16" s="211"/>
      <c r="N16" s="211"/>
      <c r="O16" s="211"/>
      <c r="P16" s="211"/>
      <c r="Q16" s="211"/>
      <c r="R16" s="211"/>
      <c r="S16" s="211"/>
      <c r="T16" s="211"/>
      <c r="U16" s="211"/>
    </row>
    <row r="17" spans="1:22" ht="36" customHeight="1" thickBot="1" x14ac:dyDescent="0.4">
      <c r="A17" s="28"/>
      <c r="B17" s="29" t="str">
        <f>'Control Entry'!N58</f>
        <v/>
      </c>
      <c r="C17" s="29" t="str">
        <f>'Control Entry'!O58</f>
        <v/>
      </c>
      <c r="D17" s="30"/>
      <c r="E17" s="31" t="str">
        <f>IF(ISBLANK('Control Entry'!H58),"",'Control Entry'!H58)</f>
        <v/>
      </c>
      <c r="F17" s="88" t="str">
        <f>IF(ISBLANK('Control Entry'!K58),"",'Control Entry'!K58)</f>
        <v/>
      </c>
      <c r="G17" s="87"/>
      <c r="H17" s="23" t="s">
        <v>29</v>
      </c>
    </row>
    <row r="18" spans="1:22" ht="36" customHeight="1" x14ac:dyDescent="0.35">
      <c r="A18" s="24"/>
      <c r="B18" s="25" t="str">
        <f>'Control Entry'!N59</f>
        <v/>
      </c>
      <c r="C18" s="25" t="str">
        <f>'Control Entry'!O59</f>
        <v/>
      </c>
      <c r="D18" s="32"/>
      <c r="E18" s="27" t="str">
        <f>IF(ISBLANK('Control Entry'!F59),"",'Control Entry'!F59)</f>
        <v/>
      </c>
      <c r="F18" s="83" t="str">
        <f>IF(ISBLANK('Control Entry'!I59),"",'Control Entry'!I59)</f>
        <v/>
      </c>
      <c r="G18" s="84"/>
      <c r="H18" s="23" t="s">
        <v>29</v>
      </c>
    </row>
    <row r="19" spans="1:22" ht="36" customHeight="1" x14ac:dyDescent="0.3">
      <c r="A19" s="33" t="str">
        <f>IF(ISBLANK('Control Entry'!D59),"",'Control Entry'!D59)</f>
        <v/>
      </c>
      <c r="B19" s="34" t="str">
        <f>'Control Entry'!N59</f>
        <v/>
      </c>
      <c r="C19" s="34" t="str">
        <f>'Control Entry'!O59</f>
        <v/>
      </c>
      <c r="D19" s="35" t="str">
        <f>IF(ISBLANK('Control Entry'!E59),"",'Control Entry'!E59)</f>
        <v/>
      </c>
      <c r="E19" s="27" t="str">
        <f>IF(ISBLANK('Control Entry'!G59),"",'Control Entry'!G59)</f>
        <v/>
      </c>
      <c r="F19" s="83" t="str">
        <f>IF(ISBLANK('Control Entry'!J59),"",'Control Entry'!J59)</f>
        <v/>
      </c>
      <c r="G19" s="84"/>
      <c r="H19" s="23" t="s">
        <v>29</v>
      </c>
    </row>
    <row r="20" spans="1:22" ht="36" customHeight="1" thickBot="1" x14ac:dyDescent="0.4">
      <c r="A20" s="28"/>
      <c r="B20" s="29" t="str">
        <f>'Control Entry'!N59</f>
        <v/>
      </c>
      <c r="C20" s="29" t="str">
        <f>'Control Entry'!O59</f>
        <v/>
      </c>
      <c r="D20" s="30"/>
      <c r="E20" s="31" t="str">
        <f>IF(ISBLANK('Control Entry'!H59),"",'Control Entry'!H59)</f>
        <v/>
      </c>
      <c r="F20" s="88" t="str">
        <f>IF(ISBLANK('Control Entry'!K59),"",'Control Entry'!K59)</f>
        <v/>
      </c>
      <c r="G20" s="87"/>
      <c r="H20" s="23" t="s">
        <v>29</v>
      </c>
      <c r="J20" s="49" t="s">
        <v>44</v>
      </c>
      <c r="K20" s="49"/>
      <c r="L20" s="206">
        <f>IF(ISBLANK('Control Entry'!B12),"",'Control Entry'!B12)</f>
        <v>45241</v>
      </c>
      <c r="M20" s="206"/>
      <c r="N20" s="206"/>
      <c r="P20" s="14" t="s">
        <v>0</v>
      </c>
      <c r="Q20" s="14"/>
      <c r="S20" s="185">
        <f>IF(ISBLANK('Control Entry'!B13),"",'Control Entry'!B13)</f>
        <v>0.29166666666666669</v>
      </c>
      <c r="T20" s="185"/>
      <c r="U20" s="185"/>
    </row>
    <row r="21" spans="1:22" ht="36" customHeight="1" x14ac:dyDescent="0.4">
      <c r="A21" s="24"/>
      <c r="B21" s="25" t="str">
        <f>'Control Entry'!N60</f>
        <v/>
      </c>
      <c r="C21" s="25" t="str">
        <f>'Control Entry'!O60</f>
        <v/>
      </c>
      <c r="D21" s="32"/>
      <c r="E21" s="27" t="str">
        <f>IF(ISBLANK('Control Entry'!F60),"",'Control Entry'!F60)</f>
        <v/>
      </c>
      <c r="F21" s="83" t="str">
        <f>IF(ISBLANK('Control Entry'!I60),"",'Control Entry'!I60)</f>
        <v/>
      </c>
      <c r="G21" s="84"/>
      <c r="H21" s="23" t="s">
        <v>29</v>
      </c>
      <c r="J21" s="187" t="s">
        <v>87</v>
      </c>
      <c r="K21" s="187"/>
      <c r="L21" s="187"/>
      <c r="M21" s="187"/>
      <c r="N21" s="187"/>
      <c r="O21" s="187"/>
      <c r="P21" s="187"/>
      <c r="Q21" s="187"/>
      <c r="R21" s="187"/>
      <c r="S21" s="187"/>
      <c r="T21" s="187"/>
      <c r="U21" s="187"/>
    </row>
    <row r="22" spans="1:22" ht="36" customHeight="1" thickBot="1" x14ac:dyDescent="0.4">
      <c r="A22" s="33" t="str">
        <f>IF(ISBLANK('Control Entry'!D60),"",'Control Entry'!D60)</f>
        <v/>
      </c>
      <c r="B22" s="34" t="str">
        <f>'Control Entry'!N60</f>
        <v/>
      </c>
      <c r="C22" s="34" t="str">
        <f>'Control Entry'!O60</f>
        <v/>
      </c>
      <c r="D22" s="35" t="str">
        <f>IF(ISBLANK('Control Entry'!E60),"",'Control Entry'!E60)</f>
        <v/>
      </c>
      <c r="E22" s="27" t="str">
        <f>IF(ISBLANK('Control Entry'!G60),"",'Control Entry'!G60)</f>
        <v/>
      </c>
      <c r="F22" s="83" t="str">
        <f>IF(ISBLANK('Control Entry'!J60),"",'Control Entry'!J60)</f>
        <v/>
      </c>
      <c r="G22" s="84"/>
      <c r="H22" s="23" t="s">
        <v>29</v>
      </c>
      <c r="J22" s="14" t="s">
        <v>45</v>
      </c>
      <c r="K22" s="14"/>
      <c r="M22" s="188"/>
      <c r="N22" s="188"/>
      <c r="O22" s="188"/>
      <c r="P22" s="14" t="s">
        <v>1</v>
      </c>
      <c r="Q22" s="14"/>
      <c r="S22" s="188"/>
      <c r="T22" s="188"/>
      <c r="U22" s="188"/>
    </row>
    <row r="23" spans="1:22" ht="36" customHeight="1" thickBot="1" x14ac:dyDescent="0.4">
      <c r="A23" s="28"/>
      <c r="B23" s="29" t="str">
        <f>'Control Entry'!N60</f>
        <v/>
      </c>
      <c r="C23" s="29" t="str">
        <f>'Control Entry'!O60</f>
        <v/>
      </c>
      <c r="D23" s="30"/>
      <c r="E23" s="31" t="str">
        <f>IF(ISBLANK('Control Entry'!H60),"",'Control Entry'!H60)</f>
        <v/>
      </c>
      <c r="F23" s="88" t="str">
        <f>IF(ISBLANK('Control Entry'!K60),"",'Control Entry'!K60)</f>
        <v/>
      </c>
      <c r="G23" s="87"/>
      <c r="H23" s="23" t="s">
        <v>29</v>
      </c>
      <c r="J23" s="49"/>
      <c r="K23" s="49"/>
      <c r="L23" s="43"/>
      <c r="M23" s="43"/>
      <c r="N23" s="43"/>
      <c r="P23" s="14"/>
      <c r="Q23" s="14"/>
    </row>
    <row r="24" spans="1:22" ht="36" customHeight="1" thickBot="1" x14ac:dyDescent="0.4">
      <c r="A24" s="24"/>
      <c r="B24" s="25" t="str">
        <f>'Control Entry'!N61</f>
        <v/>
      </c>
      <c r="C24" s="25" t="str">
        <f>'Control Entry'!O61</f>
        <v/>
      </c>
      <c r="D24" s="32"/>
      <c r="E24" s="27" t="str">
        <f>IF(ISBLANK('Control Entry'!F61),"",'Control Entry'!F61)</f>
        <v/>
      </c>
      <c r="F24" s="83" t="str">
        <f>IF(ISBLANK('Control Entry'!I61),"",'Control Entry'!I61)</f>
        <v/>
      </c>
      <c r="G24" s="84"/>
      <c r="H24" s="23" t="s">
        <v>29</v>
      </c>
      <c r="J24" s="188"/>
      <c r="K24" s="188"/>
      <c r="L24" s="188"/>
      <c r="M24" s="188"/>
      <c r="N24" s="188"/>
      <c r="P24" s="14" t="s">
        <v>2</v>
      </c>
      <c r="Q24" s="14"/>
      <c r="S24" s="188"/>
      <c r="T24" s="188"/>
      <c r="U24" s="188"/>
    </row>
    <row r="25" spans="1:22" ht="36" customHeight="1" x14ac:dyDescent="0.3">
      <c r="A25" s="33" t="str">
        <f>IF(ISBLANK('Control Entry'!D61),"",'Control Entry'!D61)</f>
        <v/>
      </c>
      <c r="B25" s="34" t="str">
        <f>'Control Entry'!N61</f>
        <v/>
      </c>
      <c r="C25" s="34" t="str">
        <f>'Control Entry'!O61</f>
        <v/>
      </c>
      <c r="D25" s="35" t="str">
        <f>IF(ISBLANK('Control Entry'!E61),"",'Control Entry'!E61)</f>
        <v/>
      </c>
      <c r="E25" s="27" t="str">
        <f>IF(ISBLANK('Control Entry'!G61),"",'Control Entry'!G61)</f>
        <v/>
      </c>
      <c r="F25" s="83" t="str">
        <f>IF(ISBLANK('Control Entry'!J61),"",'Control Entry'!J61)</f>
        <v/>
      </c>
      <c r="G25" s="84"/>
      <c r="H25" s="23" t="s">
        <v>29</v>
      </c>
      <c r="J25" s="172" t="s">
        <v>17</v>
      </c>
      <c r="K25" s="172"/>
      <c r="L25" s="172"/>
      <c r="M25" s="172"/>
      <c r="N25" s="172"/>
      <c r="O25" s="45"/>
      <c r="P25" s="173"/>
      <c r="Q25" s="173"/>
      <c r="R25" s="45"/>
      <c r="S25" s="155"/>
      <c r="T25" s="155"/>
      <c r="U25" s="155"/>
      <c r="V25" s="155"/>
    </row>
    <row r="26" spans="1:22" ht="36" customHeight="1" thickBot="1" x14ac:dyDescent="0.4">
      <c r="A26" s="28"/>
      <c r="B26" s="29" t="str">
        <f>'Control Entry'!N61</f>
        <v/>
      </c>
      <c r="C26" s="29" t="str">
        <f>'Control Entry'!O61</f>
        <v/>
      </c>
      <c r="D26" s="30"/>
      <c r="E26" s="31" t="str">
        <f>IF(ISBLANK('Control Entry'!H61),"",'Control Entry'!H61)</f>
        <v/>
      </c>
      <c r="F26" s="88" t="str">
        <f>IF(ISBLANK('Control Entry'!K61),"",'Control Entry'!K61)</f>
        <v/>
      </c>
      <c r="G26" s="87"/>
      <c r="H26" s="23" t="s">
        <v>29</v>
      </c>
    </row>
    <row r="27" spans="1:22" ht="36" customHeight="1" x14ac:dyDescent="0.35">
      <c r="A27" s="24"/>
      <c r="B27" s="25" t="str">
        <f>'Control Entry'!N62</f>
        <v/>
      </c>
      <c r="C27" s="25" t="str">
        <f>'Control Entry'!O62</f>
        <v/>
      </c>
      <c r="D27" s="32"/>
      <c r="E27" s="27" t="str">
        <f>IF(ISBLANK('Control Entry'!F62),"",'Control Entry'!F62)</f>
        <v/>
      </c>
      <c r="F27" s="83" t="str">
        <f>IF(ISBLANK('Control Entry'!I62),"",'Control Entry'!I62)</f>
        <v/>
      </c>
      <c r="G27" s="84"/>
      <c r="H27" s="23" t="s">
        <v>29</v>
      </c>
      <c r="K27" s="184" t="s">
        <v>56</v>
      </c>
      <c r="L27" s="173"/>
      <c r="M27" s="44" t="s">
        <v>57</v>
      </c>
      <c r="N27" s="173" t="s">
        <v>49</v>
      </c>
      <c r="O27" s="173"/>
      <c r="P27" s="173" t="s">
        <v>50</v>
      </c>
      <c r="Q27" s="173"/>
      <c r="R27" s="45" t="s">
        <v>51</v>
      </c>
      <c r="S27" s="155" t="s">
        <v>52</v>
      </c>
      <c r="T27" s="155"/>
      <c r="U27" s="155" t="s">
        <v>53</v>
      </c>
      <c r="V27" s="155"/>
    </row>
    <row r="28" spans="1:22" ht="36" customHeight="1" x14ac:dyDescent="0.3">
      <c r="A28" s="33" t="str">
        <f>IF(ISBLANK('Control Entry'!D62),"",'Control Entry'!D62)</f>
        <v/>
      </c>
      <c r="B28" s="34" t="str">
        <f>'Control Entry'!N62</f>
        <v/>
      </c>
      <c r="C28" s="34" t="str">
        <f>'Control Entry'!O62</f>
        <v/>
      </c>
      <c r="D28" s="35" t="str">
        <f>IF(ISBLANK('Control Entry'!E62),"",'Control Entry'!E62)</f>
        <v/>
      </c>
      <c r="E28" s="27" t="str">
        <f>IF(ISBLANK('Control Entry'!G62),"",'Control Entry'!G62)</f>
        <v/>
      </c>
      <c r="F28" s="83" t="str">
        <f>IF(ISBLANK('Control Entry'!J62),"",'Control Entry'!J62)</f>
        <v/>
      </c>
      <c r="G28" s="84"/>
      <c r="H28" s="23" t="s">
        <v>29</v>
      </c>
    </row>
    <row r="29" spans="1:22" ht="36" customHeight="1" thickBot="1" x14ac:dyDescent="0.4">
      <c r="A29" s="28"/>
      <c r="B29" s="29" t="str">
        <f>'Control Entry'!N62</f>
        <v/>
      </c>
      <c r="C29" s="29" t="str">
        <f>'Control Entry'!O62</f>
        <v/>
      </c>
      <c r="D29" s="30"/>
      <c r="E29" s="31" t="str">
        <f>IF(ISBLANK('Control Entry'!H62),"",'Control Entry'!H62)</f>
        <v/>
      </c>
      <c r="F29" s="88" t="str">
        <f>IF(ISBLANK('Control Entry'!K62),"",'Control Entry'!K62)</f>
        <v/>
      </c>
      <c r="G29" s="87"/>
      <c r="H29" s="23" t="s">
        <v>29</v>
      </c>
      <c r="M29" s="207" t="s">
        <v>42</v>
      </c>
      <c r="N29" s="207"/>
      <c r="O29" s="207"/>
      <c r="P29" s="207"/>
      <c r="Q29" s="207"/>
      <c r="R29" s="207"/>
      <c r="S29" s="207"/>
      <c r="T29" s="207"/>
      <c r="U29" s="48"/>
    </row>
    <row r="30" spans="1:22" ht="36" customHeight="1" x14ac:dyDescent="0.35">
      <c r="A30" s="24"/>
      <c r="B30" s="25" t="str">
        <f>'Control Entry'!N63</f>
        <v/>
      </c>
      <c r="C30" s="25" t="str">
        <f>'Control Entry'!O63</f>
        <v/>
      </c>
      <c r="D30" s="32"/>
      <c r="E30" s="27" t="str">
        <f>IF(ISBLANK('Control Entry'!F63),"",'Control Entry'!F63)</f>
        <v/>
      </c>
      <c r="F30" s="83" t="str">
        <f>IF(ISBLANK('Control Entry'!I63),"",'Control Entry'!I63)</f>
        <v/>
      </c>
      <c r="G30" s="84"/>
      <c r="H30" s="23" t="s">
        <v>29</v>
      </c>
      <c r="M30" s="15"/>
      <c r="N30" s="17"/>
      <c r="O30" s="17"/>
      <c r="P30" s="18"/>
      <c r="Q30" s="15"/>
      <c r="R30" s="17"/>
      <c r="S30" s="17"/>
      <c r="T30" s="18"/>
    </row>
    <row r="31" spans="1:22" ht="36" customHeight="1" x14ac:dyDescent="0.3">
      <c r="A31" s="33" t="str">
        <f>IF(ISBLANK('Control Entry'!D63),"",'Control Entry'!D63)</f>
        <v/>
      </c>
      <c r="B31" s="34" t="str">
        <f>'Control Entry'!N63</f>
        <v/>
      </c>
      <c r="C31" s="34" t="str">
        <f>'Control Entry'!O63</f>
        <v/>
      </c>
      <c r="D31" s="35" t="str">
        <f>IF(ISBLANK('Control Entry'!E63),"",'Control Entry'!E63)</f>
        <v/>
      </c>
      <c r="E31" s="27" t="str">
        <f>IF(ISBLANK('Control Entry'!G63),"",'Control Entry'!G63)</f>
        <v/>
      </c>
      <c r="F31" s="83" t="str">
        <f>IF(ISBLANK('Control Entry'!J63),"",'Control Entry'!J63)</f>
        <v/>
      </c>
      <c r="G31" s="84"/>
      <c r="H31" s="23" t="s">
        <v>29</v>
      </c>
      <c r="M31" s="16"/>
      <c r="P31" s="19"/>
      <c r="Q31" s="16"/>
      <c r="T31" s="19"/>
    </row>
    <row r="32" spans="1:22" ht="36" customHeight="1" thickBot="1" x14ac:dyDescent="0.4">
      <c r="A32" s="28"/>
      <c r="B32" s="29" t="str">
        <f>'Control Entry'!N63</f>
        <v/>
      </c>
      <c r="C32" s="29" t="str">
        <f>'Control Entry'!O63</f>
        <v/>
      </c>
      <c r="D32" s="30"/>
      <c r="E32" s="31" t="str">
        <f>IF(ISBLANK('Control Entry'!H63),"",'Control Entry'!H63)</f>
        <v/>
      </c>
      <c r="F32" s="88" t="str">
        <f>IF(ISBLANK('Control Entry'!K63),"",'Control Entry'!K63)</f>
        <v/>
      </c>
      <c r="G32" s="87"/>
      <c r="H32" s="23" t="s">
        <v>29</v>
      </c>
      <c r="M32" s="199" t="s">
        <v>81</v>
      </c>
      <c r="N32" s="200"/>
      <c r="O32" s="200"/>
      <c r="P32" s="201"/>
      <c r="Q32" s="202">
        <f>'Control Entry'!B3</f>
        <v>45167</v>
      </c>
      <c r="R32" s="203"/>
      <c r="S32" s="203"/>
      <c r="T32" s="204"/>
    </row>
    <row r="33" spans="1:22" ht="36" customHeight="1" x14ac:dyDescent="0.35">
      <c r="A33" s="195" t="s">
        <v>43</v>
      </c>
      <c r="B33" s="195"/>
      <c r="C33" s="195"/>
      <c r="D33" s="195"/>
      <c r="E33" s="195"/>
      <c r="F33" s="195"/>
      <c r="G33" s="195"/>
      <c r="H33" s="36"/>
      <c r="I33" s="36"/>
      <c r="M33" s="208" t="s">
        <v>83</v>
      </c>
      <c r="N33" s="209"/>
      <c r="O33" s="209"/>
      <c r="P33" s="209"/>
      <c r="Q33" s="156">
        <f>'Control Entry'!B4</f>
        <v>45237</v>
      </c>
      <c r="R33" s="157"/>
      <c r="S33" s="157"/>
      <c r="T33" s="157"/>
      <c r="U33" s="80"/>
      <c r="V33" s="43"/>
    </row>
    <row r="34" spans="1:22" ht="36" customHeight="1" x14ac:dyDescent="0.35">
      <c r="A34"/>
      <c r="O34" s="14"/>
      <c r="P34" s="14"/>
      <c r="Q34" s="14"/>
      <c r="R34" s="41"/>
    </row>
    <row r="35" spans="1:22" ht="36" customHeight="1" x14ac:dyDescent="0.25">
      <c r="A35"/>
      <c r="N35" s="207"/>
      <c r="O35" s="207"/>
      <c r="P35" s="207"/>
      <c r="Q35" s="207"/>
      <c r="R35" s="207"/>
      <c r="S35" s="207"/>
      <c r="T35" s="207"/>
      <c r="U35" s="207"/>
    </row>
    <row r="36" spans="1:22" ht="36" customHeight="1" x14ac:dyDescent="0.25">
      <c r="A36"/>
    </row>
    <row r="37" spans="1:22" ht="36" customHeight="1" x14ac:dyDescent="0.25">
      <c r="A37"/>
    </row>
    <row r="38" spans="1:22" ht="36" customHeight="1" x14ac:dyDescent="0.35">
      <c r="A38"/>
      <c r="N38" s="14"/>
    </row>
    <row r="39" spans="1:22" ht="36" customHeight="1" x14ac:dyDescent="0.25">
      <c r="A39"/>
    </row>
    <row r="40" spans="1:22" ht="36" customHeight="1" x14ac:dyDescent="0.2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A33:G33"/>
    <mergeCell ref="M33:P33"/>
    <mergeCell ref="Q33:T33"/>
    <mergeCell ref="N35:U35"/>
    <mergeCell ref="K27:L27"/>
    <mergeCell ref="N27:O27"/>
    <mergeCell ref="P27:Q27"/>
    <mergeCell ref="S27:T27"/>
    <mergeCell ref="U27:V27"/>
    <mergeCell ref="M29:T29"/>
    <mergeCell ref="M32:P32"/>
    <mergeCell ref="Q32:T32"/>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J21:U21"/>
    <mergeCell ref="L11:N11"/>
    <mergeCell ref="S11:U11"/>
    <mergeCell ref="A1:G1"/>
    <mergeCell ref="K2:U2"/>
    <mergeCell ref="O3:R3"/>
    <mergeCell ref="M4:T4"/>
    <mergeCell ref="N5:O5"/>
    <mergeCell ref="R5:U5"/>
    <mergeCell ref="L6:U6"/>
    <mergeCell ref="L8:Q8"/>
    <mergeCell ref="T8:U8"/>
    <mergeCell ref="L9:U9"/>
    <mergeCell ref="L10:U10"/>
  </mergeCells>
  <conditionalFormatting sqref="J22:O22">
    <cfRule type="expression" dxfId="6" priority="3">
      <formula>$S$3="#2"</formula>
    </cfRule>
    <cfRule type="expression" dxfId="5" priority="4">
      <formula>$S$3="#4"</formula>
    </cfRule>
  </conditionalFormatting>
  <conditionalFormatting sqref="J21:U21">
    <cfRule type="expression" dxfId="4" priority="2">
      <formula>AND($S$3&lt;&gt;"#2",$S$3&lt;&gt;"#4")</formula>
    </cfRule>
  </conditionalFormatting>
  <conditionalFormatting sqref="K27:V27">
    <cfRule type="expression" dxfId="3" priority="7">
      <formula>$S$3="#2"</formula>
    </cfRule>
    <cfRule type="expression" dxfId="2" priority="8">
      <formula>$S$3="#4"</formula>
    </cfRule>
  </conditionalFormatting>
  <conditionalFormatting sqref="P22:U24">
    <cfRule type="expression" dxfId="1" priority="5">
      <formula>$S$3="#2"</formula>
    </cfRule>
    <cfRule type="expression" dxfId="0" priority="6">
      <formula>$S$3="#4"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Control Entry</vt:lpstr>
      <vt:lpstr>Card #1</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Mark Payten</cp:lastModifiedBy>
  <cp:lastPrinted>2023-11-08T01:28:15Z</cp:lastPrinted>
  <dcterms:created xsi:type="dcterms:W3CDTF">1997-11-12T04:43:39Z</dcterms:created>
  <dcterms:modified xsi:type="dcterms:W3CDTF">2023-11-08T01:36:38Z</dcterms:modified>
</cp:coreProperties>
</file>