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236 200/"/>
    </mc:Choice>
  </mc:AlternateContent>
  <xr:revisionPtr revIDLastSave="0" documentId="8_{DAB16878-34FE-0640-A023-A827C8B406AD}" xr6:coauthVersionLast="36" xr6:coauthVersionMax="36" xr10:uidLastSave="{00000000-0000-0000-0000-000000000000}"/>
  <bookViews>
    <workbookView xWindow="0" yWindow="460" windowWidth="23260" windowHeight="1318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4" i="3" l="1"/>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8" i="1" l="1"/>
  <c r="M49" i="1"/>
  <c r="M50" i="1"/>
  <c r="M35" i="1"/>
  <c r="M36" i="1"/>
  <c r="M37"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B7" i="1"/>
  <c r="M46" i="1" s="1"/>
  <c r="O46" i="1" s="1"/>
  <c r="M4" i="5"/>
  <c r="M57" i="1"/>
  <c r="O57" i="1" s="1"/>
  <c r="M55" i="1"/>
  <c r="O55" i="1" s="1"/>
  <c r="M56" i="1"/>
  <c r="O56" i="1"/>
  <c r="N56" i="1"/>
  <c r="N57" i="1"/>
  <c r="N55" i="1"/>
  <c r="O54" i="1"/>
  <c r="N54" i="1"/>
  <c r="M4" i="3"/>
  <c r="M42" i="1"/>
  <c r="O42" i="1" s="1"/>
  <c r="M16" i="1"/>
  <c r="M18" i="1"/>
  <c r="O18" i="1" s="1"/>
  <c r="M17" i="1"/>
  <c r="O17" i="1" s="1"/>
  <c r="O48" i="1"/>
  <c r="O49" i="1"/>
  <c r="N48" i="1"/>
  <c r="N42" i="1"/>
  <c r="N47" i="1"/>
  <c r="N43" i="1"/>
  <c r="N45" i="1"/>
  <c r="N49" i="1"/>
  <c r="N46" i="1"/>
  <c r="N44" i="1"/>
  <c r="N41" i="1"/>
  <c r="M4" i="4"/>
  <c r="M15" i="1"/>
  <c r="O15" i="1" s="1"/>
  <c r="C3" i="2" s="1"/>
  <c r="N31" i="1"/>
  <c r="B4" i="2"/>
  <c r="N18" i="1"/>
  <c r="B14" i="2" s="1"/>
  <c r="O23" i="1"/>
  <c r="C27" i="2" s="1"/>
  <c r="N28" i="1"/>
  <c r="N34" i="1"/>
  <c r="N22" i="1"/>
  <c r="B25" i="2" s="1"/>
  <c r="B3" i="2"/>
  <c r="B5" i="2"/>
  <c r="N17" i="1"/>
  <c r="B11" i="2" s="1"/>
  <c r="N21" i="1"/>
  <c r="B22" i="2" s="1"/>
  <c r="N24" i="1"/>
  <c r="B31" i="2" s="1"/>
  <c r="N35" i="1"/>
  <c r="O37" i="1"/>
  <c r="N37" i="1"/>
  <c r="O24" i="1"/>
  <c r="C31" i="2" s="1"/>
  <c r="N16" i="1"/>
  <c r="B6" i="2" s="1"/>
  <c r="N20" i="1"/>
  <c r="B19" i="2" s="1"/>
  <c r="N29" i="1"/>
  <c r="N32" i="1"/>
  <c r="O16" i="1"/>
  <c r="N19" i="1"/>
  <c r="B17" i="2" s="1"/>
  <c r="N23" i="1"/>
  <c r="B27" i="2" s="1"/>
  <c r="N30" i="1"/>
  <c r="N33" i="1"/>
  <c r="N36" i="1"/>
  <c r="M4" i="2"/>
  <c r="O36" i="1"/>
  <c r="O35" i="1"/>
  <c r="M19" i="1" l="1"/>
  <c r="O19" i="1" s="1"/>
  <c r="C17" i="2" s="1"/>
  <c r="M20" i="1"/>
  <c r="O20" i="1" s="1"/>
  <c r="C18" i="2" s="1"/>
  <c r="M32" i="1"/>
  <c r="O32" i="1" s="1"/>
  <c r="C15" i="3" s="1"/>
  <c r="M21" i="1"/>
  <c r="O21" i="1" s="1"/>
  <c r="C23" i="2" s="1"/>
  <c r="M29" i="1"/>
  <c r="O29" i="1" s="1"/>
  <c r="C7" i="3" s="1"/>
  <c r="M43" i="1"/>
  <c r="O43" i="1" s="1"/>
  <c r="C11" i="4" s="1"/>
  <c r="M28" i="1"/>
  <c r="O28" i="1" s="1"/>
  <c r="C3" i="3" s="1"/>
  <c r="M34" i="1"/>
  <c r="O34" i="1" s="1"/>
  <c r="C23" i="3" s="1"/>
  <c r="M41" i="1"/>
  <c r="O41" i="1" s="1"/>
  <c r="C3" i="4" s="1"/>
  <c r="M30" i="1"/>
  <c r="O30" i="1" s="1"/>
  <c r="C11" i="3" s="1"/>
  <c r="M44" i="1"/>
  <c r="O44" i="1" s="1"/>
  <c r="C13" i="4" s="1"/>
  <c r="M33" i="1"/>
  <c r="O33" i="1" s="1"/>
  <c r="C19" i="3" s="1"/>
  <c r="M22" i="1"/>
  <c r="O22" i="1" s="1"/>
  <c r="C26" i="2" s="1"/>
  <c r="M45" i="1"/>
  <c r="O45" i="1" s="1"/>
  <c r="C15" i="4" s="1"/>
  <c r="M31" i="1"/>
  <c r="O31" i="1" s="1"/>
  <c r="C14" i="3" s="1"/>
  <c r="M47" i="1"/>
  <c r="O47" i="1" s="1"/>
  <c r="C22" i="4" s="1"/>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B23" i="4"/>
  <c r="B22" i="4"/>
  <c r="B21" i="4"/>
  <c r="B17" i="4"/>
  <c r="B16" i="4"/>
  <c r="B15" i="4"/>
  <c r="B25" i="4"/>
  <c r="B24" i="4"/>
  <c r="B26" i="4"/>
  <c r="C29" i="4"/>
  <c r="C28" i="4"/>
  <c r="C27" i="4"/>
  <c r="C4" i="2"/>
  <c r="B19" i="4"/>
  <c r="B18" i="4"/>
  <c r="B20" i="4"/>
  <c r="C20" i="4"/>
  <c r="C19" i="4"/>
  <c r="C18" i="4"/>
  <c r="C26" i="4"/>
  <c r="C25" i="4"/>
  <c r="C24" i="4"/>
  <c r="C8" i="4"/>
  <c r="C7" i="4"/>
  <c r="C6" i="4"/>
  <c r="B8" i="4"/>
  <c r="B7" i="4"/>
  <c r="B6" i="4"/>
  <c r="B9" i="4"/>
  <c r="B11" i="4"/>
  <c r="B10" i="4"/>
  <c r="B5" i="4"/>
  <c r="B4" i="4"/>
  <c r="B3" i="4"/>
  <c r="B21" i="3"/>
  <c r="B29" i="3"/>
  <c r="B6" i="3"/>
  <c r="B26" i="3"/>
  <c r="B5" i="3"/>
  <c r="B11" i="3"/>
  <c r="B32" i="3"/>
  <c r="B16" i="3"/>
  <c r="C31" i="3"/>
  <c r="C5" i="2"/>
  <c r="B19" i="3"/>
  <c r="B14" i="3"/>
  <c r="B25" i="3"/>
  <c r="B13" i="3"/>
  <c r="B12" i="3"/>
  <c r="B21" i="2"/>
  <c r="B26" i="2"/>
  <c r="C30" i="3"/>
  <c r="B3" i="3"/>
  <c r="B8" i="2"/>
  <c r="B12" i="2"/>
  <c r="B13" i="2"/>
  <c r="B22" i="3"/>
  <c r="B30" i="3"/>
  <c r="B27" i="3"/>
  <c r="B8" i="3"/>
  <c r="C29" i="2"/>
  <c r="B18" i="3"/>
  <c r="B29" i="2"/>
  <c r="B15" i="2"/>
  <c r="B31" i="3"/>
  <c r="B18" i="2"/>
  <c r="B10" i="3"/>
  <c r="B32" i="2"/>
  <c r="C28" i="2"/>
  <c r="C30" i="2"/>
  <c r="B20" i="2"/>
  <c r="B24" i="3"/>
  <c r="B28" i="3"/>
  <c r="B7" i="3"/>
  <c r="B4" i="3"/>
  <c r="B16" i="2"/>
  <c r="B7" i="2"/>
  <c r="C19" i="2"/>
  <c r="C13" i="2"/>
  <c r="C12" i="2"/>
  <c r="C14" i="2"/>
  <c r="B23" i="3"/>
  <c r="B9" i="2"/>
  <c r="B30" i="2"/>
  <c r="C32" i="2"/>
  <c r="B10" i="2"/>
  <c r="B9" i="3"/>
  <c r="B24" i="2"/>
  <c r="B20" i="3"/>
  <c r="C9" i="2"/>
  <c r="C10" i="2"/>
  <c r="B28" i="2"/>
  <c r="B23" i="2"/>
  <c r="B17" i="3"/>
  <c r="C8" i="2"/>
  <c r="C7" i="2"/>
  <c r="C11" i="2"/>
  <c r="B15" i="3"/>
  <c r="C32" i="3"/>
  <c r="C6" i="2"/>
  <c r="C25" i="3"/>
  <c r="C26" i="3"/>
  <c r="C24" i="3"/>
  <c r="C27" i="3"/>
  <c r="C28" i="3"/>
  <c r="C29" i="3"/>
  <c r="C17" i="3" l="1"/>
  <c r="C20" i="2"/>
  <c r="C16" i="3"/>
  <c r="C24" i="2"/>
  <c r="C16" i="2"/>
  <c r="C21" i="2"/>
  <c r="C15" i="2"/>
  <c r="C22" i="2"/>
  <c r="C6" i="3"/>
  <c r="C25" i="2"/>
  <c r="C4" i="4"/>
  <c r="C5" i="4"/>
  <c r="C20" i="3"/>
  <c r="C21" i="4"/>
  <c r="C10" i="3"/>
  <c r="C18" i="3"/>
  <c r="C8" i="3"/>
  <c r="C16" i="4"/>
  <c r="C9" i="4"/>
  <c r="C10" i="4"/>
  <c r="C17" i="4"/>
  <c r="C5" i="3"/>
  <c r="C13" i="3"/>
  <c r="C12" i="4"/>
  <c r="C14" i="4"/>
  <c r="C21" i="3"/>
  <c r="C22" i="3"/>
  <c r="C23" i="4"/>
  <c r="C12" i="3"/>
  <c r="C9"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6F09A1DF-13DF-0541-9E9F-4A78251D3B7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<sst xmlns="http://schemas.openxmlformats.org/spreadsheetml/2006/main" count="468" uniqueCount="162">
  <si>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</si>
  <si>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</si>
  <si>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</si>
  <si>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</si>
  <si>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</si>
  <si>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</si>
  <si>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</si>
  <si>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</si>
  <si>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</si>
  <si>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</si>
  <si>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</si>
  <si>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</si>
  <si>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</si>
  <si>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</si>
  <si>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</si>
  <si>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</si>
  <si>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</si>
  <si>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</si>
  <si>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</si>
  <si>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</si>
  <si>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</si>
  <si>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</si>
  <si>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</si>
  <si>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</si>
  <si>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</si>
  <si>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</si>
  <si>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</si>
  <si>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</si>
  <si>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</si>
  <si>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</si>
  <si>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</si>
  <si>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</si>
  <si>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</si>
  <si>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</si>
  <si>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</si>
  <si>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</si>
  <si>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</si>
  <si>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</si>
  <si>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</si>
  <si>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</si>
  <si>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</si>
  <si>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</si>
  <si>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</si>
  <si>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</si>
  <si>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</si>
  <si>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</si>
  <si>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</si>
  <si>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</si>
  <si>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</si>
  <si>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</si>
  <si>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</si>
  <si>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</si>
  <si>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</si>
  <si>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</si>
  <si>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</si>
  <si>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</si>
  <si>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</si>
  <si>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</si>
  <si>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</si>
  <si>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</si>
  <si>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</si>
  <si>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</si>
  <si>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</si>
  <si>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</si>
  <si>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</si>
  <si>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</si>
  <si>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</si>
  <si>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</si>
  <si>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</si>
  <si>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</si>
  <si>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</si>
  <si>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</si>
  <si>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</si>
  <si>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</si>
  <si>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</si>
  <si>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</si>
  <si>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</si>
  <si>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</si>
  <si>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</si>
  <si>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</si>
  <si>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</si>
  <si>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</si>
  <si>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</si>
  <si>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</si>
  <si>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</si>
  <si>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</si>
  <si>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</si>
  <si>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</si>
  <si>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</si>
  <si>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</si>
  <si>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</si>
  <si>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INFORMATION</t>
  </si>
  <si>
    <t>STAFFED</t>
  </si>
  <si>
    <t>SELF CHECK</t>
  </si>
  <si>
    <t>Historical marker</t>
  </si>
  <si>
    <t xml:space="preserve">SAANICH </t>
  </si>
  <si>
    <t>Remembrance Day 2022</t>
  </si>
  <si>
    <t>VICTORIA</t>
  </si>
  <si>
    <t>ESQUIMALT</t>
  </si>
  <si>
    <t>LANGFORD</t>
  </si>
  <si>
    <t>METCHOSIN</t>
  </si>
  <si>
    <t>NORTH SAANICH</t>
  </si>
  <si>
    <t>SECRET</t>
  </si>
  <si>
    <t>SIDNEY</t>
  </si>
  <si>
    <t>BC Indians War Memorial</t>
  </si>
  <si>
    <t>Beacon Hill Park</t>
  </si>
  <si>
    <t>Falaise Park</t>
  </si>
  <si>
    <t>DND Stone House</t>
  </si>
  <si>
    <t>300 Victoria View Rd</t>
  </si>
  <si>
    <t>God's Acre Cemetary</t>
  </si>
  <si>
    <t>Veteran's Dr</t>
  </si>
  <si>
    <t>Veterans Memorial Park</t>
  </si>
  <si>
    <t>Aldwyn Rd</t>
  </si>
  <si>
    <t>Cadet Training Centre</t>
  </si>
  <si>
    <t>100 Albert Head Rd</t>
  </si>
  <si>
    <t>COLWOOD</t>
  </si>
  <si>
    <t>Royal Roads University</t>
  </si>
  <si>
    <t>Military College Parade Square</t>
  </si>
  <si>
    <t>BRENTWOOD BAY</t>
  </si>
  <si>
    <t>Central Saanich Cenotaph</t>
  </si>
  <si>
    <t>Pioneer Park</t>
  </si>
  <si>
    <t>Lt. H Gray VC Memorial</t>
  </si>
  <si>
    <t>BC Aviation Museum</t>
  </si>
  <si>
    <t>Royal Oak Cenotaph</t>
  </si>
  <si>
    <t>Royal Oak Burial Park</t>
  </si>
  <si>
    <t>CAF 'Star of Military' plaque</t>
  </si>
  <si>
    <t>Beacon Park</t>
  </si>
  <si>
    <t>Memorial Trees plaque</t>
  </si>
  <si>
    <t>Shelbourne Ave centre median</t>
  </si>
  <si>
    <t>Chinese War Memorial</t>
  </si>
  <si>
    <t>Gate of Harmonious Interest</t>
  </si>
  <si>
    <t>Spirit of the Republic</t>
  </si>
  <si>
    <t>Confederation Garden Court</t>
  </si>
  <si>
    <t>Year that the plaque was erected</t>
  </si>
  <si>
    <t>Take selfie at  totem pole or send GPS track ie: Strava</t>
  </si>
  <si>
    <t>What is in statue's left hand?</t>
  </si>
  <si>
    <t>Maple Leaf on Ground to the left of Memorial: .</t>
  </si>
  <si>
    <t>How many men and women?__</t>
  </si>
  <si>
    <t xml:space="preserve">Plaque on left hand side of granite stone (second paragraph:) </t>
  </si>
  <si>
    <t>Date on plaque:</t>
  </si>
  <si>
    <t>June ___,2007</t>
  </si>
  <si>
    <t xml:space="preserve">Bottom name on right: </t>
  </si>
  <si>
    <t>Yuen,______</t>
  </si>
  <si>
    <t>19___</t>
  </si>
  <si>
    <t>__________</t>
  </si>
  <si>
    <t xml:space="preserve">Sign on right: Lot 12 is </t>
  </si>
  <si>
    <t>The ______Residence</t>
  </si>
  <si>
    <t xml:space="preserve">Sign above Chapel </t>
  </si>
  <si>
    <t>Consecrated  July 18__</t>
  </si>
  <si>
    <t xml:space="preserve">Plaque at foot of Statue </t>
  </si>
  <si>
    <t>Erected October __, 2001</t>
  </si>
  <si>
    <t xml:space="preserve">On Sign on Fence </t>
  </si>
  <si>
    <t>By order of ___</t>
  </si>
  <si>
    <t xml:space="preserve">On plaque "military college period </t>
  </si>
  <si>
    <t>19__-1995</t>
  </si>
  <si>
    <t xml:space="preserve">Plaque on left of Cenotaph </t>
  </si>
  <si>
    <t>Year of the Veteran 20__</t>
  </si>
  <si>
    <t>On Stone house at #300</t>
  </si>
  <si>
    <t>Number of window panes to the left of the door</t>
  </si>
  <si>
    <t>___</t>
  </si>
  <si>
    <t>How many Canadians served on aircraft carriers of the RN Fleet Air Arm"</t>
  </si>
  <si>
    <t>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</si>
</sst>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2">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20" xfId="0" applyBorder="1"/>
    <xf numFmtId="0" fontId="0" fillId="0" borderId="21" xfId="0" applyBorder="1"/>
    <xf numFmtId="0" fontId="0" fillId="0" borderId="17"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xf numFmtId="0" fontId="31" fillId="0" borderId="0" xfId="0" applyFont="1" applyAlignment="1">
      <alignment wrapText="1"/>
    </xf>
    <xf numFmtId="167" fontId="0" fillId="0" borderId="13" xfId="0" applyNumberFormat="1" applyBorder="1"/>
    <xf numFmtId="49" fontId="5" fillId="0" borderId="14" xfId="0" quotePrefix="1"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Alignment="1">
      <alignment horizontal="center" wrapText="1"/>
    </xf>
    <xf numFmtId="0" fontId="10"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vertical="top"/>
    </xf>
    <xf numFmtId="15" fontId="0" fillId="0" borderId="0" xfId="0" applyNumberFormat="1" applyAlignment="1">
      <alignment horizontal="left" vertical="top"/>
    </xf>
    <xf numFmtId="0" fontId="0" fillId="0" borderId="0" xfId="0"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Alignment="1">
      <alignment horizontal="left" vertical="center"/>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50" zoomScaleNormal="150" zoomScalePageLayoutView="135" workbookViewId="0">
      <selection activeCell="B4" sqref="B4"/>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1" t="s">
        <v>83</v>
      </c>
      <c r="B1" s="101"/>
      <c r="C1" s="101"/>
      <c r="D1" s="101"/>
      <c r="E1" s="101"/>
      <c r="F1" s="101"/>
      <c r="G1" s="101"/>
      <c r="H1" s="101"/>
      <c r="I1" s="77" t="s">
        <v>85</v>
      </c>
      <c r="Q1" s="100" t="s">
        <v>89</v>
      </c>
      <c r="R1" s="100"/>
      <c r="S1" s="100"/>
      <c r="T1" s="100"/>
      <c r="U1" s="100"/>
      <c r="V1" s="100"/>
      <c r="W1" s="100"/>
      <c r="X1" s="100"/>
      <c r="Y1" s="100"/>
      <c r="Z1" s="100"/>
    </row>
    <row r="2" spans="1:26" ht="13" customHeight="1" thickBot="1" x14ac:dyDescent="0.2">
      <c r="H2" s="82"/>
      <c r="I2" s="82"/>
      <c r="Q2" s="100"/>
      <c r="R2" s="100"/>
      <c r="S2" s="100"/>
      <c r="T2" s="100"/>
      <c r="U2" s="100"/>
      <c r="V2" s="100"/>
      <c r="W2" s="100"/>
      <c r="X2" s="100"/>
      <c r="Y2" s="100"/>
      <c r="Z2" s="100"/>
    </row>
    <row r="3" spans="1:26" s="93" customFormat="1" ht="13" customHeight="1" thickBot="1" x14ac:dyDescent="0.2">
      <c r="A3" s="91" t="s">
        <v>82</v>
      </c>
      <c r="B3" s="92">
        <v>44700</v>
      </c>
      <c r="H3" s="94"/>
      <c r="I3" s="94"/>
      <c r="Q3" s="100"/>
      <c r="R3" s="100"/>
      <c r="S3" s="100"/>
      <c r="T3" s="100"/>
      <c r="U3" s="100"/>
      <c r="V3" s="100"/>
      <c r="W3" s="100"/>
      <c r="X3" s="100"/>
      <c r="Y3" s="100"/>
      <c r="Z3" s="100"/>
    </row>
    <row r="4" spans="1:26" ht="13" customHeight="1" x14ac:dyDescent="0.15">
      <c r="A4" s="80" t="s">
        <v>86</v>
      </c>
      <c r="B4" s="90">
        <v>44870</v>
      </c>
      <c r="C4"/>
      <c r="H4" s="82"/>
      <c r="I4" s="82"/>
      <c r="Q4" s="100"/>
      <c r="R4" s="100"/>
      <c r="S4" s="100"/>
      <c r="T4" s="100"/>
      <c r="U4" s="100"/>
      <c r="V4" s="100"/>
      <c r="W4" s="100"/>
      <c r="X4" s="100"/>
      <c r="Y4" s="100"/>
      <c r="Z4" s="100"/>
    </row>
    <row r="5" spans="1:26" ht="14" thickBot="1" x14ac:dyDescent="0.2">
      <c r="H5" s="82"/>
      <c r="I5" s="82"/>
      <c r="Q5" s="100"/>
      <c r="R5" s="100"/>
      <c r="S5" s="100"/>
      <c r="T5" s="100"/>
      <c r="U5" s="100"/>
      <c r="V5" s="100"/>
      <c r="W5" s="100"/>
      <c r="X5" s="100"/>
      <c r="Y5" s="100"/>
      <c r="Z5" s="100"/>
    </row>
    <row r="6" spans="1:26" ht="18" x14ac:dyDescent="0.2">
      <c r="A6" s="11" t="s">
        <v>18</v>
      </c>
      <c r="B6" s="60">
        <v>200</v>
      </c>
      <c r="C6">
        <f>IF(Brevet_Length&gt;=1200,Brevet_Length,IF(Brevet_Length&gt;=1000,1000,IF(Brevet_Length&gt;=600,600,IF(Brevet_Length&gt;=400,400,IF(Brevet_Length&gt;=300,300,IF(Brevet_Length&gt;=200,200,100))))))</f>
        <v>200</v>
      </c>
      <c r="J6" s="105" t="s">
        <v>63</v>
      </c>
      <c r="K6" s="105"/>
      <c r="Q6" s="64" t="s">
        <v>64</v>
      </c>
      <c r="R6" s="64"/>
      <c r="S6" s="64"/>
      <c r="T6" s="64"/>
      <c r="U6" s="64"/>
      <c r="V6" s="64"/>
      <c r="W6" s="64"/>
    </row>
    <row r="7" spans="1:26" ht="14" thickBot="1" x14ac:dyDescent="0.2">
      <c r="A7" s="12" t="s">
        <v>19</v>
      </c>
      <c r="B7" s="13">
        <f>IF(brevet=1200,90,IF(brevet=1000,75,IF(brevet=600,40,IF(brevet=400,27,IF(brevet=300,20,IF(brevet=200,13.5,IF(brevet=100,7,0)))))))</f>
        <v>13.5</v>
      </c>
      <c r="Q7" t="s">
        <v>65</v>
      </c>
    </row>
    <row r="8" spans="1:26" ht="19" thickBot="1" x14ac:dyDescent="0.25">
      <c r="A8" s="12" t="s">
        <v>20</v>
      </c>
      <c r="B8" s="102" t="s">
        <v>96</v>
      </c>
      <c r="C8" s="103"/>
      <c r="D8" s="103"/>
      <c r="E8" s="103"/>
      <c r="F8" s="103"/>
      <c r="G8" s="103"/>
      <c r="H8" s="104"/>
      <c r="I8" s="24"/>
      <c r="J8" s="24"/>
      <c r="K8" s="24"/>
      <c r="Q8" s="64" t="s">
        <v>66</v>
      </c>
    </row>
    <row r="9" spans="1:26" ht="18" x14ac:dyDescent="0.2">
      <c r="A9" s="12" t="s">
        <v>21</v>
      </c>
      <c r="B9" s="61">
        <v>5236</v>
      </c>
      <c r="C9" s="21"/>
      <c r="F9" s="22"/>
      <c r="G9" s="22"/>
      <c r="H9" s="22"/>
      <c r="I9" s="22"/>
      <c r="J9" s="22"/>
      <c r="K9" s="22"/>
      <c r="Q9" s="64" t="s">
        <v>67</v>
      </c>
    </row>
    <row r="10" spans="1:26" ht="18" x14ac:dyDescent="0.2">
      <c r="A10" s="43" t="s">
        <v>48</v>
      </c>
      <c r="B10" s="62">
        <v>44876</v>
      </c>
      <c r="Q10" s="64" t="s">
        <v>68</v>
      </c>
    </row>
    <row r="11" spans="1:26" ht="6" customHeight="1" x14ac:dyDescent="0.15">
      <c r="B11" s="83"/>
    </row>
    <row r="12" spans="1:26" ht="18" customHeight="1" thickBot="1" x14ac:dyDescent="0.25">
      <c r="A12" s="79" t="s">
        <v>22</v>
      </c>
      <c r="B12" s="62">
        <v>44876</v>
      </c>
      <c r="Q12" s="64" t="s">
        <v>76</v>
      </c>
    </row>
    <row r="13" spans="1:26" ht="19" thickBot="1" x14ac:dyDescent="0.25">
      <c r="A13" s="10" t="s">
        <v>23</v>
      </c>
      <c r="B13" s="63">
        <v>0.29166666666666669</v>
      </c>
      <c r="D13" s="97" t="s">
        <v>81</v>
      </c>
      <c r="E13" s="98"/>
      <c r="F13" s="98"/>
      <c r="G13" s="98"/>
      <c r="H13" s="98"/>
      <c r="I13" s="106" t="s">
        <v>71</v>
      </c>
      <c r="J13" s="98"/>
      <c r="K13" s="99"/>
      <c r="Q13" s="64" t="s">
        <v>75</v>
      </c>
    </row>
    <row r="14" spans="1:26" ht="14" thickBot="1" x14ac:dyDescent="0.2">
      <c r="D14" s="6" t="s">
        <v>24</v>
      </c>
      <c r="E14" s="7" t="s">
        <v>25</v>
      </c>
      <c r="F14" s="54" t="s">
        <v>26</v>
      </c>
      <c r="G14" s="54" t="s">
        <v>27</v>
      </c>
      <c r="H14" s="55" t="s">
        <v>28</v>
      </c>
      <c r="I14" s="7" t="s">
        <v>60</v>
      </c>
      <c r="J14" s="7" t="s">
        <v>61</v>
      </c>
      <c r="K14" s="8" t="s">
        <v>62</v>
      </c>
      <c r="L14" t="s">
        <v>3</v>
      </c>
      <c r="M14" t="s">
        <v>4</v>
      </c>
      <c r="N14" t="s">
        <v>5</v>
      </c>
      <c r="O14" t="s">
        <v>6</v>
      </c>
      <c r="Q14" s="64" t="s">
        <v>69</v>
      </c>
    </row>
    <row r="15" spans="1:26" ht="17" customHeight="1" x14ac:dyDescent="0.15">
      <c r="C15" s="3" t="s">
        <v>7</v>
      </c>
      <c r="D15" s="95">
        <v>0</v>
      </c>
      <c r="E15" s="66" t="s">
        <v>97</v>
      </c>
      <c r="F15" s="67" t="s">
        <v>92</v>
      </c>
      <c r="G15" s="67" t="s">
        <v>104</v>
      </c>
      <c r="H15" s="68" t="s">
        <v>105</v>
      </c>
      <c r="I15" s="67"/>
      <c r="J15" s="67"/>
      <c r="K15" s="68"/>
      <c r="L15" s="4">
        <f>Start_date+Start_time</f>
        <v>44876.291666666664</v>
      </c>
      <c r="M15" s="4">
        <f>L15+"1:00"</f>
        <v>44876.333333333328</v>
      </c>
      <c r="N15" s="5">
        <f>IF(ISBLANK(Distance),"",Open Control_1)</f>
        <v>44876.291666666664</v>
      </c>
      <c r="O15" s="5">
        <f>IF(ISBLANK(Distance),"",Close Control_1)</f>
        <v>44876.333333333328</v>
      </c>
      <c r="Q15" s="64" t="s">
        <v>84</v>
      </c>
    </row>
    <row r="16" spans="1:26" ht="17" customHeight="1" x14ac:dyDescent="0.15">
      <c r="B16" s="72"/>
      <c r="C16" s="3" t="s">
        <v>8</v>
      </c>
      <c r="D16" s="23">
        <v>24.5</v>
      </c>
      <c r="E16" s="66" t="s">
        <v>95</v>
      </c>
      <c r="F16" s="67" t="s">
        <v>91</v>
      </c>
      <c r="G16" s="67" t="s">
        <v>94</v>
      </c>
      <c r="H16" s="68" t="s">
        <v>106</v>
      </c>
      <c r="I16" s="67" t="s">
        <v>145</v>
      </c>
      <c r="J16" s="67" t="s">
        <v>146</v>
      </c>
      <c r="K16" s="68"/>
      <c r="L16">
        <f>IF(ISBLANK(Distance),"",IF(Distance&gt;1000,(Distance-1000)/26+33.0847,(IF(Distance&gt;600,(Distance-600)/28+18.799,(IF(Distance&gt;400,(Distance-400)/30+12.1324,(IF(Distance&gt;200,(Distance-200)/32+5.8824,Distance/34))))))))</f>
        <v>0.72058823529411764</v>
      </c>
      <c r="M16">
        <f t="shared" ref="M16:M24" si="0">IF(ISBLANK(Distance),"",IF(Distance&gt;=brevet,IF(brevet&gt;1200,(brevet-1200)*75/1000+90,Max_time),IF(Distance&gt;1200,(Distance-1200)*75/1000+90,IF(Distance&gt;1000,(Distance-1000)/(1000/75)+75,IF(Distance&gt;600,(Distance-600)/(400/35)+40,IF(Distance&lt;=60,(Distance/20+1),Distance/15))))))</f>
        <v>2.2250000000000001</v>
      </c>
      <c r="N16" s="5">
        <f>IF(ISBLANK(Distance),"",Open_time Control_1+(INT(Open)&amp;":"&amp;IF(ROUND(((Open-INT(Open))*60),0)&lt;10,0,"")&amp;ROUND(((Open-INT(Open))*60),0)))</f>
        <v>44876.321527777778</v>
      </c>
      <c r="O16" s="5">
        <f>IF(ISBLANK(Distance),"",Open_time Control_1+(INT(Close)&amp;":"&amp;IF(ROUND(((Close-INT(Close))*60),0)&lt;10,0,"")&amp;ROUND(((Close-INT(Close))*60),0)))</f>
        <v>44876.384722222218</v>
      </c>
      <c r="Q16" s="64" t="s">
        <v>70</v>
      </c>
    </row>
    <row r="17" spans="2:17" ht="17" customHeight="1" x14ac:dyDescent="0.15">
      <c r="B17" s="72"/>
      <c r="C17" s="3" t="s">
        <v>9</v>
      </c>
      <c r="D17" s="23">
        <v>38.4</v>
      </c>
      <c r="E17" s="66" t="s">
        <v>98</v>
      </c>
      <c r="F17" s="67" t="s">
        <v>91</v>
      </c>
      <c r="G17" s="67" t="s">
        <v>107</v>
      </c>
      <c r="H17" s="68" t="s">
        <v>108</v>
      </c>
      <c r="I17" s="67" t="s">
        <v>157</v>
      </c>
      <c r="J17" s="67" t="s">
        <v>158</v>
      </c>
      <c r="K17" s="68" t="s">
        <v>159</v>
      </c>
      <c r="L17">
        <f>IF(ISBLANK(Distance),"",IF(Distance&gt;1000,(Distance-1000)/26+33.0847,(IF(Distance&gt;600,(Distance-600)/28+18.799,(IF(Distance&gt;400,(Distance-400)/30+12.1324,(IF(Distance&gt;200,(Distance-200)/32+5.8824,Distance/34))))))))</f>
        <v>1.1294117647058823</v>
      </c>
      <c r="M17">
        <f t="shared" si="0"/>
        <v>2.92</v>
      </c>
      <c r="N17" s="5">
        <f>IF(ISBLANK(Distance),"",Open_time Control_1+(INT(Open)&amp;":"&amp;IF(ROUND(((Open-INT(Open))*60),0)&lt;10,0,"")&amp;ROUND(((Open-INT(Open))*60),0)))</f>
        <v>44876.338888888888</v>
      </c>
      <c r="O17" s="5">
        <f>IF(ISBLANK(Distance),"",Open_time Control_1+(INT(Close)&amp;":"&amp;IF(ROUND(((Close-INT(Close))*60),0)&lt;10,0,"")&amp;ROUND(((Close-INT(Close))*60),0)))</f>
        <v>44876.413194444445</v>
      </c>
    </row>
    <row r="18" spans="2:17" ht="17" customHeight="1" x14ac:dyDescent="0.15">
      <c r="B18" s="72"/>
      <c r="C18" s="3" t="s">
        <v>10</v>
      </c>
      <c r="D18" s="23">
        <v>42.7</v>
      </c>
      <c r="E18" s="66" t="s">
        <v>98</v>
      </c>
      <c r="F18" s="67" t="s">
        <v>91</v>
      </c>
      <c r="G18" s="67" t="s">
        <v>109</v>
      </c>
      <c r="H18" s="68" t="s">
        <v>110</v>
      </c>
      <c r="I18" s="67" t="s">
        <v>147</v>
      </c>
      <c r="J18" s="67" t="s">
        <v>148</v>
      </c>
      <c r="K18" s="68"/>
      <c r="L18">
        <f t="shared" ref="L18:L24" si="1">IF(ISBLANK(Distance),"",IF(Distance&gt;1000,(Distance-1000)/26+33.0847,(IF(Distance&gt;600,(Distance-600)/28+18.799,(IF(Distance&gt;400,(Distance-400)/30+12.1324,(IF(Distance&gt;200,(Distance-200)/32+5.8824,Distance/34))))))))</f>
        <v>1.2558823529411764</v>
      </c>
      <c r="M18">
        <f t="shared" si="0"/>
        <v>3.1350000000000002</v>
      </c>
      <c r="N18" s="5">
        <f>IF(ISBLANK(Distance),"",Open_time Control_1+(INT(Open)&amp;":"&amp;IF(ROUND(((Open-INT(Open))*60),0)&lt;10,0,"")&amp;ROUND(((Open-INT(Open))*60),0)))</f>
        <v>44876.34375</v>
      </c>
      <c r="O18" s="5">
        <f>IF(ISBLANK(Distance),"",Open_time Control_1+(INT(Close)&amp;":"&amp;IF(ROUND(((Close-INT(Close))*60),0)&lt;10,0,"")&amp;ROUND(((Close-INT(Close))*60),0)))</f>
        <v>44876.422222222223</v>
      </c>
    </row>
    <row r="19" spans="2:17" ht="17" customHeight="1" x14ac:dyDescent="0.15">
      <c r="B19" s="72"/>
      <c r="C19" s="3" t="s">
        <v>11</v>
      </c>
      <c r="D19" s="23">
        <v>52.5</v>
      </c>
      <c r="E19" s="66" t="s">
        <v>99</v>
      </c>
      <c r="F19" s="67" t="s">
        <v>91</v>
      </c>
      <c r="G19" s="67" t="s">
        <v>111</v>
      </c>
      <c r="H19" s="68" t="s">
        <v>112</v>
      </c>
      <c r="I19" s="67" t="s">
        <v>149</v>
      </c>
      <c r="J19" s="67" t="s">
        <v>150</v>
      </c>
      <c r="K19" s="68"/>
      <c r="L19">
        <f t="shared" si="1"/>
        <v>1.5441176470588236</v>
      </c>
      <c r="M19">
        <f t="shared" si="0"/>
        <v>3.625</v>
      </c>
      <c r="N19" s="5">
        <f>IF(ISBLANK(Distance),"",Open_time Control_1+(INT(Open)&amp;":"&amp;IF(ROUND(((Open-INT(Open))*60),0)&lt;10,0,"")&amp;ROUND(((Open-INT(Open))*60),0)))</f>
        <v>44876.356249999997</v>
      </c>
      <c r="O19" s="5">
        <f>IF(ISBLANK(Distance),"",Open_time Control_1+(INT(Close)&amp;":"&amp;IF(ROUND(((Close-INT(Close))*60),0)&lt;10,0,"")&amp;ROUND(((Close-INT(Close))*60),0)))</f>
        <v>44876.443055555552</v>
      </c>
      <c r="Q19" s="77"/>
    </row>
    <row r="20" spans="2:17" ht="17" customHeight="1" x14ac:dyDescent="0.15">
      <c r="B20" s="72"/>
      <c r="C20" s="3" t="s">
        <v>12</v>
      </c>
      <c r="D20" s="23">
        <v>69.3</v>
      </c>
      <c r="E20" s="66" t="s">
        <v>100</v>
      </c>
      <c r="F20" s="67" t="s">
        <v>91</v>
      </c>
      <c r="G20" s="67" t="s">
        <v>113</v>
      </c>
      <c r="H20" s="68" t="s">
        <v>114</v>
      </c>
      <c r="I20" s="67" t="s">
        <v>151</v>
      </c>
      <c r="J20" s="96" t="s">
        <v>152</v>
      </c>
      <c r="K20" s="68"/>
      <c r="L20">
        <f t="shared" si="1"/>
        <v>2.0382352941176469</v>
      </c>
      <c r="M20">
        <f t="shared" si="0"/>
        <v>4.62</v>
      </c>
      <c r="N20" s="5">
        <f>IF(ISBLANK(Distance),"",Open_time Control_1+(INT(Open)&amp;":"&amp;IF(ROUND(((Open-INT(Open))*60),0)&lt;10,0,"")&amp;ROUND(((Open-INT(Open))*60),0)))</f>
        <v>44876.376388888886</v>
      </c>
      <c r="O20" s="5">
        <f>IF(ISBLANK(Distance),"",Open_time Control_1+(INT(Close)&amp;":"&amp;IF(ROUND(((Close-INT(Close))*60),0)&lt;10,0,"")&amp;ROUND(((Close-INT(Close))*60),0)))</f>
        <v>44876.484027777777</v>
      </c>
    </row>
    <row r="21" spans="2:17" ht="17" customHeight="1" x14ac:dyDescent="0.15">
      <c r="B21" s="72"/>
      <c r="C21" s="3" t="s">
        <v>13</v>
      </c>
      <c r="D21" s="23">
        <v>76.7</v>
      </c>
      <c r="E21" s="66" t="s">
        <v>115</v>
      </c>
      <c r="F21" s="67" t="s">
        <v>91</v>
      </c>
      <c r="G21" s="67" t="s">
        <v>117</v>
      </c>
      <c r="H21" s="68" t="s">
        <v>116</v>
      </c>
      <c r="I21" s="67" t="s">
        <v>153</v>
      </c>
      <c r="J21" s="67" t="s">
        <v>154</v>
      </c>
      <c r="K21" s="68"/>
      <c r="L21">
        <f t="shared" si="1"/>
        <v>2.2558823529411764</v>
      </c>
      <c r="M21">
        <f t="shared" si="0"/>
        <v>5.1133333333333333</v>
      </c>
      <c r="N21" s="5">
        <f>IF(ISBLANK(Distance),"",Open_time Control_1+(INT(Open)&amp;":"&amp;IF(ROUND(((Open-INT(Open))*60),0)&lt;10,0,"")&amp;ROUND(((Open-INT(Open))*60),0)))</f>
        <v>44876.385416666664</v>
      </c>
      <c r="O21" s="5">
        <f>IF(ISBLANK(Distance),"",Open_time Control_1+(INT(Close)&amp;":"&amp;IF(ROUND(((Close-INT(Close))*60),0)&lt;10,0,"")&amp;ROUND(((Close-INT(Close))*60),0)))</f>
        <v>44876.504861111105</v>
      </c>
    </row>
    <row r="22" spans="2:17" ht="17" customHeight="1" x14ac:dyDescent="0.15">
      <c r="B22" s="72"/>
      <c r="C22" s="3" t="s">
        <v>14</v>
      </c>
      <c r="D22" s="23">
        <v>103.7</v>
      </c>
      <c r="E22" s="66" t="s">
        <v>118</v>
      </c>
      <c r="F22" s="67" t="s">
        <v>91</v>
      </c>
      <c r="G22" s="67" t="s">
        <v>119</v>
      </c>
      <c r="H22" s="68" t="s">
        <v>120</v>
      </c>
      <c r="I22" s="67" t="s">
        <v>155</v>
      </c>
      <c r="J22" s="67" t="s">
        <v>156</v>
      </c>
      <c r="K22" s="68"/>
      <c r="L22">
        <f t="shared" si="1"/>
        <v>3.0500000000000003</v>
      </c>
      <c r="M22">
        <f t="shared" si="0"/>
        <v>6.9133333333333331</v>
      </c>
      <c r="N22" s="5">
        <f>IF(ISBLANK(Distance),"",Open_time Control_1+(INT(Open)&amp;":"&amp;IF(ROUND(((Open-INT(Open))*60),0)&lt;10,0,"")&amp;ROUND(((Open-INT(Open))*60),0)))</f>
        <v>44876.418749999997</v>
      </c>
      <c r="O22" s="5">
        <f>IF(ISBLANK(Distance),"",Open_time Control_1+(INT(Close)&amp;":"&amp;IF(ROUND(((Close-INT(Close))*60),0)&lt;10,0,"")&amp;ROUND(((Close-INT(Close))*60),0)))</f>
        <v>44876.579861111109</v>
      </c>
    </row>
    <row r="23" spans="2:17" ht="17" customHeight="1" x14ac:dyDescent="0.15">
      <c r="B23" s="72"/>
      <c r="C23" s="3" t="s">
        <v>15</v>
      </c>
      <c r="D23" s="23"/>
      <c r="E23" s="66"/>
      <c r="F23" s="67"/>
      <c r="G23" s="67"/>
      <c r="H23" s="68"/>
      <c r="I23" s="67"/>
      <c r="J23" s="67"/>
      <c r="K23" s="6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72"/>
      <c r="C24" s="3" t="s">
        <v>16</v>
      </c>
      <c r="D24" s="47"/>
      <c r="E24" s="69" t="s">
        <v>102</v>
      </c>
      <c r="F24" s="70"/>
      <c r="G24" s="70"/>
      <c r="H24" s="71"/>
      <c r="I24" s="70"/>
      <c r="J24" s="70"/>
      <c r="K24" s="71"/>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56"/>
      <c r="E25" s="57"/>
      <c r="F25" s="58"/>
      <c r="G25" s="58"/>
      <c r="H25" s="58"/>
      <c r="I25" s="58"/>
      <c r="J25" s="58"/>
      <c r="K25" s="59"/>
      <c r="N25" s="5"/>
      <c r="O25" s="5"/>
    </row>
    <row r="26" spans="2:17" ht="14" thickBot="1" x14ac:dyDescent="0.2">
      <c r="D26" s="97" t="s">
        <v>77</v>
      </c>
      <c r="E26" s="98"/>
      <c r="F26" s="98"/>
      <c r="G26" s="98"/>
      <c r="H26" s="98"/>
      <c r="I26" s="106" t="s">
        <v>72</v>
      </c>
      <c r="J26" s="98"/>
      <c r="K26" s="99"/>
    </row>
    <row r="27" spans="2:17" ht="14" thickBot="1" x14ac:dyDescent="0.2">
      <c r="D27" s="6" t="s">
        <v>24</v>
      </c>
      <c r="E27" s="7" t="s">
        <v>25</v>
      </c>
      <c r="F27" s="54" t="s">
        <v>26</v>
      </c>
      <c r="G27" s="54" t="s">
        <v>27</v>
      </c>
      <c r="H27" s="55" t="s">
        <v>28</v>
      </c>
      <c r="I27" s="7" t="s">
        <v>60</v>
      </c>
      <c r="J27" s="7" t="s">
        <v>61</v>
      </c>
      <c r="K27" s="8" t="s">
        <v>62</v>
      </c>
      <c r="L27" t="s">
        <v>3</v>
      </c>
      <c r="M27" t="s">
        <v>4</v>
      </c>
      <c r="N27" t="s">
        <v>5</v>
      </c>
      <c r="O27" t="s">
        <v>6</v>
      </c>
    </row>
    <row r="28" spans="2:17" ht="17" customHeight="1" x14ac:dyDescent="0.15">
      <c r="D28" s="23">
        <v>122</v>
      </c>
      <c r="E28" s="66" t="s">
        <v>101</v>
      </c>
      <c r="F28" s="67" t="s">
        <v>91</v>
      </c>
      <c r="G28" s="67" t="s">
        <v>121</v>
      </c>
      <c r="H28" s="68" t="s">
        <v>122</v>
      </c>
      <c r="I28" s="67" t="s">
        <v>136</v>
      </c>
      <c r="J28" s="67" t="s">
        <v>160</v>
      </c>
      <c r="K28" s="68" t="s">
        <v>161</v>
      </c>
      <c r="L28">
        <f>IF(ISBLANK(D28),"",IF(D28&gt;1000,(D28-1000)/26+33.0847,(IF(D28&gt;600,(D28-600)/28+18.799,(IF(D28&gt;400,(D28-400)/30+12.1324,(IF(D28&gt;200,(D28-200)/32+5.8824,D28/34))))))))</f>
        <v>3.5882352941176472</v>
      </c>
      <c r="M28">
        <f t="shared" ref="M28:M37" si="2">IF(ISBLANK(D28),"",IF((D28=0),1,IF(D28&gt;=brevet,IF(brevet&gt;1200,(brevet-1200)*75/1000+90,Max_time),IF(D28&gt;1200,(D28-1200)*75/1000+90,IF(D28&gt;1000,(D28-1000)/(1000/75)+75,IF(D28&gt;600,(D28-600)/(400/35)+40,IF(D28&lt;=60,D28/20+1,D28/15)))))))</f>
        <v>8.1333333333333329</v>
      </c>
      <c r="N28" s="5">
        <f>IF(ISBLANK(D28),"",Open_time Control_1+(INT(L28)&amp;":"&amp;IF(ROUND(((L28-INT(L28))*60),0)&lt;10,0,"")&amp;ROUND(((L28-INT(L28))*60),0)))</f>
        <v>44876.440972222219</v>
      </c>
      <c r="O28" s="5">
        <f>IF(ISBLANK(D28),"",Open_time Control_1+(INT(M28)&amp;":"&amp;IF(ROUND(((M28-INT(M28))*60),0)&lt;10,0,"")&amp;ROUND(((M28-INT(M28))*60),0)))</f>
        <v>44876.630555555552</v>
      </c>
    </row>
    <row r="29" spans="2:17" ht="17" customHeight="1" x14ac:dyDescent="0.15">
      <c r="D29" s="23">
        <v>140.9</v>
      </c>
      <c r="E29" s="66" t="s">
        <v>95</v>
      </c>
      <c r="F29" s="67" t="s">
        <v>91</v>
      </c>
      <c r="G29" s="67" t="s">
        <v>123</v>
      </c>
      <c r="H29" s="68" t="s">
        <v>124</v>
      </c>
      <c r="I29" s="67" t="s">
        <v>138</v>
      </c>
      <c r="J29" s="67" t="s">
        <v>137</v>
      </c>
      <c r="K29" s="68"/>
      <c r="L29">
        <f t="shared" ref="L29:L37" si="3">IF(ISBLANK(D29),"",IF(D29&gt;1000,(D29-1000)/26+33.0847,(IF(D29&gt;600,(D29-600)/28+18.799,(IF(D29&gt;400,(D29-400)/30+12.1324,(IF(D29&gt;200,(D29-200)/32+5.8824,D29/34))))))))</f>
        <v>4.1441176470588239</v>
      </c>
      <c r="M29">
        <f t="shared" si="2"/>
        <v>9.3933333333333344</v>
      </c>
      <c r="N29" s="5">
        <f>IF(ISBLANK(D29),"",Open_time Control_1+(INT(L29)&amp;":"&amp;IF(ROUND(((L29-INT(L29))*60),0)&lt;10,0,"")&amp;ROUND(((L29-INT(L29))*60),0)))</f>
        <v>44876.464583333334</v>
      </c>
      <c r="O29" s="5">
        <f>IF(ISBLANK(D29),"",Open_time Control_1+(INT(M29)&amp;":"&amp;IF(ROUND(((M29-INT(M29))*60),0)&lt;10,0,"")&amp;ROUND(((M29-INT(M29))*60),0)))</f>
        <v>44876.683333333334</v>
      </c>
    </row>
    <row r="30" spans="2:17" ht="17" customHeight="1" x14ac:dyDescent="0.15">
      <c r="D30" s="23">
        <v>161.9</v>
      </c>
      <c r="E30" s="66" t="s">
        <v>103</v>
      </c>
      <c r="F30" s="67" t="s">
        <v>91</v>
      </c>
      <c r="G30" s="67" t="s">
        <v>125</v>
      </c>
      <c r="H30" s="68" t="s">
        <v>126</v>
      </c>
      <c r="I30" s="67" t="s">
        <v>139</v>
      </c>
      <c r="J30" s="67" t="s">
        <v>140</v>
      </c>
      <c r="K30" s="68"/>
      <c r="L30">
        <f t="shared" si="3"/>
        <v>4.7617647058823529</v>
      </c>
      <c r="M30">
        <f t="shared" si="2"/>
        <v>10.793333333333333</v>
      </c>
      <c r="N30" s="5">
        <f>IF(ISBLANK(D30),"",Open_time Control_1+(INT(L30)&amp;":"&amp;IF(ROUND(((L30-INT(L30))*60),0)&lt;10,0,"")&amp;ROUND(((L30-INT(L30))*60),0)))</f>
        <v>44876.490277777775</v>
      </c>
      <c r="O30" s="5">
        <f>IF(ISBLANK(D30),"",Open_time Control_1+(INT(M30)&amp;":"&amp;IF(ROUND(((M30-INT(M30))*60),0)&lt;10,0,"")&amp;ROUND(((M30-INT(M30))*60),0)))</f>
        <v>44876.741666666661</v>
      </c>
    </row>
    <row r="31" spans="2:17" ht="17" customHeight="1" x14ac:dyDescent="0.15">
      <c r="D31" s="23">
        <v>186.1</v>
      </c>
      <c r="E31" s="66" t="s">
        <v>95</v>
      </c>
      <c r="F31" s="67" t="s">
        <v>91</v>
      </c>
      <c r="G31" s="67" t="s">
        <v>127</v>
      </c>
      <c r="H31" s="68" t="s">
        <v>128</v>
      </c>
      <c r="I31" s="67" t="s">
        <v>133</v>
      </c>
      <c r="J31" s="67" t="s">
        <v>143</v>
      </c>
      <c r="K31" s="68"/>
      <c r="L31">
        <f t="shared" si="3"/>
        <v>5.473529411764706</v>
      </c>
      <c r="M31">
        <f t="shared" si="2"/>
        <v>12.406666666666666</v>
      </c>
      <c r="N31" s="5">
        <f>IF(ISBLANK(D31),"",Open_time Control_1+(INT(L31)&amp;":"&amp;IF(ROUND(((L31-INT(L31))*60),0)&lt;10,0,"")&amp;ROUND(((L31-INT(L31))*60),0)))</f>
        <v>44876.519444444442</v>
      </c>
      <c r="O31" s="5">
        <f>IF(ISBLANK(D31),"",Open_time Control_1+(INT(M31)&amp;":"&amp;IF(ROUND(((M31-INT(M31))*60),0)&lt;10,0,"")&amp;ROUND(((M31-INT(M31))*60),0)))</f>
        <v>44876.808333333334</v>
      </c>
    </row>
    <row r="32" spans="2:17" ht="17" customHeight="1" x14ac:dyDescent="0.15">
      <c r="D32" s="23">
        <v>197.6</v>
      </c>
      <c r="E32" s="66" t="s">
        <v>97</v>
      </c>
      <c r="F32" s="67" t="s">
        <v>91</v>
      </c>
      <c r="G32" s="67" t="s">
        <v>129</v>
      </c>
      <c r="H32" s="68" t="s">
        <v>130</v>
      </c>
      <c r="I32" s="67" t="s">
        <v>141</v>
      </c>
      <c r="J32" s="67" t="s">
        <v>142</v>
      </c>
      <c r="K32" s="68"/>
      <c r="L32">
        <f t="shared" si="3"/>
        <v>5.8117647058823527</v>
      </c>
      <c r="M32">
        <f t="shared" si="2"/>
        <v>13.173333333333334</v>
      </c>
      <c r="N32" s="5">
        <f>IF(ISBLANK(D32),"",Open_time Control_1+(INT(L32)&amp;":"&amp;IF(ROUND(((L32-INT(L32))*60),0)&lt;10,0,"")&amp;ROUND(((L32-INT(L32))*60),0)))</f>
        <v>44876.534027777772</v>
      </c>
      <c r="O32" s="5">
        <f>IF(ISBLANK(D32),"",Open_time Control_1+(INT(M32)&amp;":"&amp;IF(ROUND(((M32-INT(M32))*60),0)&lt;10,0,"")&amp;ROUND(((M32-INT(M32))*60),0)))</f>
        <v>44876.840277777774</v>
      </c>
    </row>
    <row r="33" spans="4:15" ht="17" customHeight="1" x14ac:dyDescent="0.15">
      <c r="D33" s="23">
        <v>199</v>
      </c>
      <c r="E33" s="66" t="s">
        <v>97</v>
      </c>
      <c r="F33" s="67" t="s">
        <v>91</v>
      </c>
      <c r="G33" s="67" t="s">
        <v>131</v>
      </c>
      <c r="H33" s="68" t="s">
        <v>132</v>
      </c>
      <c r="I33" s="67" t="s">
        <v>135</v>
      </c>
      <c r="J33" s="67" t="s">
        <v>144</v>
      </c>
      <c r="K33" s="68"/>
      <c r="L33">
        <f t="shared" si="3"/>
        <v>5.8529411764705879</v>
      </c>
      <c r="M33">
        <f t="shared" si="2"/>
        <v>13.266666666666667</v>
      </c>
      <c r="N33" s="5">
        <f>IF(ISBLANK(D33),"",Open_time Control_1+(INT(L33)&amp;":"&amp;IF(ROUND(((L33-INT(L33))*60),0)&lt;10,0,"")&amp;ROUND(((L33-INT(L33))*60),0)))</f>
        <v>44876.535416666666</v>
      </c>
      <c r="O33" s="5">
        <f>IF(ISBLANK(D33),"",Open_time Control_1+(INT(M33)&amp;":"&amp;IF(ROUND(((M33-INT(M33))*60),0)&lt;10,0,"")&amp;ROUND(((M33-INT(M33))*60),0)))</f>
        <v>44876.844444444439</v>
      </c>
    </row>
    <row r="34" spans="4:15" ht="17" customHeight="1" x14ac:dyDescent="0.15">
      <c r="D34" s="23">
        <v>201.2</v>
      </c>
      <c r="E34" s="66" t="s">
        <v>97</v>
      </c>
      <c r="F34" s="67" t="s">
        <v>93</v>
      </c>
      <c r="G34" s="67" t="s">
        <v>104</v>
      </c>
      <c r="H34" s="68" t="s">
        <v>105</v>
      </c>
      <c r="I34" s="67" t="s">
        <v>134</v>
      </c>
      <c r="J34" s="96"/>
      <c r="K34" s="68"/>
      <c r="L34">
        <f t="shared" si="3"/>
        <v>5.9198999999999993</v>
      </c>
      <c r="M34">
        <f t="shared" si="2"/>
        <v>13.5</v>
      </c>
      <c r="N34" s="5">
        <f>IF(ISBLANK(D34),"",Open_time Control_1+(INT(L34)&amp;":"&amp;IF(ROUND(((L34-INT(L34))*60),0)&lt;10,0,"")&amp;ROUND(((L34-INT(L34))*60),0)))</f>
        <v>44876.538194444445</v>
      </c>
      <c r="O34" s="5">
        <f>IF(ISBLANK(D34),"",Open_time Control_1+(INT(M34)&amp;":"&amp;IF(ROUND(((M34-INT(M34))*60),0)&lt;10,0,"")&amp;ROUND(((M34-INT(M34))*60),0)))</f>
        <v>44876.854166666664</v>
      </c>
    </row>
    <row r="35" spans="4:15" ht="17" customHeight="1" x14ac:dyDescent="0.15">
      <c r="D35" s="23"/>
      <c r="E35" s="66"/>
      <c r="F35" s="67"/>
      <c r="G35" s="67"/>
      <c r="H35" s="68"/>
      <c r="I35" s="67"/>
      <c r="J35" s="67"/>
      <c r="K35" s="68"/>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3"/>
      <c r="E36" s="66" t="s">
        <v>102</v>
      </c>
      <c r="F36" s="67"/>
      <c r="G36" s="67"/>
      <c r="H36" s="68"/>
      <c r="I36" s="67"/>
      <c r="J36" s="67"/>
      <c r="K36" s="6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47"/>
      <c r="E37" s="69"/>
      <c r="F37" s="70"/>
      <c r="G37" s="70"/>
      <c r="H37" s="71"/>
      <c r="I37" s="70"/>
      <c r="J37" s="70"/>
      <c r="K37" s="71"/>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56"/>
      <c r="E38" s="57"/>
      <c r="F38" s="58"/>
      <c r="G38" s="58"/>
      <c r="H38" s="58"/>
      <c r="I38" s="58"/>
      <c r="J38" s="58"/>
      <c r="K38" s="59"/>
      <c r="N38" s="5"/>
      <c r="O38" s="5"/>
    </row>
    <row r="39" spans="4:15" ht="14" thickBot="1" x14ac:dyDescent="0.2">
      <c r="D39" s="97" t="s">
        <v>79</v>
      </c>
      <c r="E39" s="98"/>
      <c r="F39" s="98"/>
      <c r="G39" s="98"/>
      <c r="H39" s="98"/>
      <c r="I39" s="97" t="s">
        <v>78</v>
      </c>
      <c r="J39" s="98"/>
      <c r="K39" s="99"/>
    </row>
    <row r="40" spans="4:15" ht="14" thickBot="1" x14ac:dyDescent="0.2">
      <c r="D40" s="6" t="s">
        <v>24</v>
      </c>
      <c r="E40" s="7" t="s">
        <v>25</v>
      </c>
      <c r="F40" s="54" t="s">
        <v>26</v>
      </c>
      <c r="G40" s="54" t="s">
        <v>27</v>
      </c>
      <c r="H40" s="78" t="s">
        <v>28</v>
      </c>
      <c r="I40" s="7" t="s">
        <v>60</v>
      </c>
      <c r="J40" s="7" t="s">
        <v>61</v>
      </c>
      <c r="K40" s="8" t="s">
        <v>62</v>
      </c>
      <c r="L40" t="s">
        <v>3</v>
      </c>
      <c r="M40" t="s">
        <v>4</v>
      </c>
      <c r="N40" t="s">
        <v>5</v>
      </c>
      <c r="O40" t="s">
        <v>6</v>
      </c>
    </row>
    <row r="41" spans="4:15" ht="17" customHeight="1" x14ac:dyDescent="0.15">
      <c r="D41" s="23"/>
      <c r="E41" s="66"/>
      <c r="F41" s="67"/>
      <c r="G41" s="67"/>
      <c r="H41" s="68"/>
      <c r="I41" s="67"/>
      <c r="J41" s="67"/>
      <c r="K41" s="68"/>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3"/>
      <c r="E42" s="66"/>
      <c r="F42" s="67"/>
      <c r="G42" s="67"/>
      <c r="H42" s="68"/>
      <c r="I42" s="67"/>
      <c r="J42" s="67"/>
      <c r="K42" s="68"/>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3"/>
      <c r="E43" s="66"/>
      <c r="F43" s="67"/>
      <c r="G43" s="67"/>
      <c r="H43" s="68"/>
      <c r="I43" s="67"/>
      <c r="J43" s="67"/>
      <c r="K43" s="68"/>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3"/>
      <c r="E44" s="66"/>
      <c r="F44" s="67"/>
      <c r="G44" s="67"/>
      <c r="H44" s="68"/>
      <c r="I44" s="67"/>
      <c r="J44" s="67"/>
      <c r="K44" s="68"/>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3"/>
      <c r="E45" s="66"/>
      <c r="F45" s="67"/>
      <c r="G45" s="67"/>
      <c r="H45" s="68"/>
      <c r="I45" s="67"/>
      <c r="J45" s="67"/>
      <c r="K45" s="68"/>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3"/>
      <c r="E46" s="66"/>
      <c r="F46" s="67"/>
      <c r="G46" s="67"/>
      <c r="H46" s="68"/>
      <c r="I46" s="67"/>
      <c r="J46" s="67"/>
      <c r="K46" s="68"/>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3"/>
      <c r="E47" s="66"/>
      <c r="F47" s="67"/>
      <c r="G47" s="67"/>
      <c r="H47" s="68"/>
      <c r="I47" s="67"/>
      <c r="J47" s="67"/>
      <c r="K47" s="68"/>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3"/>
      <c r="E48" s="66"/>
      <c r="F48" s="67"/>
      <c r="G48" s="67"/>
      <c r="H48" s="68"/>
      <c r="I48" s="67"/>
      <c r="J48" s="67"/>
      <c r="K48" s="68"/>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3"/>
      <c r="E49" s="66"/>
      <c r="F49" s="67"/>
      <c r="G49" s="67"/>
      <c r="H49" s="68"/>
      <c r="I49" s="67"/>
      <c r="J49" s="67"/>
      <c r="K49" s="6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47"/>
      <c r="E50" s="69"/>
      <c r="F50" s="70"/>
      <c r="G50" s="70"/>
      <c r="H50" s="71"/>
      <c r="I50" s="70"/>
      <c r="J50" s="70"/>
      <c r="K50" s="71"/>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56"/>
      <c r="E51" s="57"/>
      <c r="F51" s="58"/>
      <c r="G51" s="58"/>
      <c r="H51" s="58"/>
      <c r="I51" s="58"/>
      <c r="J51" s="58"/>
      <c r="K51" s="59"/>
      <c r="N51" s="5"/>
      <c r="O51" s="5"/>
    </row>
    <row r="52" spans="4:15" ht="14" thickBot="1" x14ac:dyDescent="0.2">
      <c r="D52" s="97" t="s">
        <v>87</v>
      </c>
      <c r="E52" s="98"/>
      <c r="F52" s="98"/>
      <c r="G52" s="98"/>
      <c r="H52" s="98"/>
      <c r="I52" s="97" t="s">
        <v>88</v>
      </c>
      <c r="J52" s="98"/>
      <c r="K52" s="99"/>
    </row>
    <row r="53" spans="4:15" ht="14" thickBot="1" x14ac:dyDescent="0.2">
      <c r="D53" s="6" t="s">
        <v>24</v>
      </c>
      <c r="E53" s="7" t="s">
        <v>25</v>
      </c>
      <c r="F53" s="54" t="s">
        <v>26</v>
      </c>
      <c r="G53" s="54" t="s">
        <v>27</v>
      </c>
      <c r="H53" s="78" t="s">
        <v>28</v>
      </c>
      <c r="I53" s="7" t="s">
        <v>60</v>
      </c>
      <c r="J53" s="7" t="s">
        <v>61</v>
      </c>
      <c r="K53" s="8" t="s">
        <v>62</v>
      </c>
      <c r="L53" t="s">
        <v>3</v>
      </c>
      <c r="M53" t="s">
        <v>4</v>
      </c>
      <c r="N53" t="s">
        <v>5</v>
      </c>
      <c r="O53" t="s">
        <v>6</v>
      </c>
    </row>
    <row r="54" spans="4:15" ht="17" customHeight="1" x14ac:dyDescent="0.15">
      <c r="D54" s="23"/>
      <c r="E54" s="66"/>
      <c r="F54" s="67"/>
      <c r="G54" s="67"/>
      <c r="H54" s="68"/>
      <c r="I54" s="67"/>
      <c r="J54" s="67"/>
      <c r="K54" s="68"/>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3"/>
      <c r="E55" s="66"/>
      <c r="F55" s="67"/>
      <c r="G55" s="67"/>
      <c r="H55" s="68"/>
      <c r="I55" s="67"/>
      <c r="J55" s="67"/>
      <c r="K55" s="68"/>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3"/>
      <c r="E56" s="66"/>
      <c r="F56" s="67"/>
      <c r="G56" s="67"/>
      <c r="H56" s="68"/>
      <c r="I56" s="67"/>
      <c r="J56" s="67"/>
      <c r="K56" s="68"/>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3"/>
      <c r="E57" s="66"/>
      <c r="F57" s="67"/>
      <c r="G57" s="67"/>
      <c r="H57" s="68"/>
      <c r="I57" s="67"/>
      <c r="J57" s="67"/>
      <c r="K57" s="68"/>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3"/>
      <c r="E58" s="66"/>
      <c r="F58" s="67"/>
      <c r="G58" s="67"/>
      <c r="H58" s="68"/>
      <c r="I58" s="67"/>
      <c r="J58" s="67"/>
      <c r="K58" s="68"/>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3"/>
      <c r="E59" s="66"/>
      <c r="F59" s="67"/>
      <c r="G59" s="67"/>
      <c r="H59" s="68"/>
      <c r="I59" s="67"/>
      <c r="J59" s="67"/>
      <c r="K59" s="68"/>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3"/>
      <c r="E60" s="66"/>
      <c r="F60" s="67"/>
      <c r="G60" s="67"/>
      <c r="H60" s="68"/>
      <c r="I60" s="67"/>
      <c r="J60" s="67"/>
      <c r="K60" s="68"/>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3"/>
      <c r="E61" s="66"/>
      <c r="F61" s="67"/>
      <c r="G61" s="67"/>
      <c r="H61" s="68"/>
      <c r="I61" s="67"/>
      <c r="J61" s="67"/>
      <c r="K61" s="68"/>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3"/>
      <c r="E62" s="66"/>
      <c r="F62" s="67"/>
      <c r="G62" s="67"/>
      <c r="H62" s="68"/>
      <c r="I62" s="67"/>
      <c r="J62" s="67"/>
      <c r="K62" s="68"/>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47"/>
      <c r="E63" s="69"/>
      <c r="F63" s="70"/>
      <c r="G63" s="70"/>
      <c r="H63" s="71"/>
      <c r="I63" s="70"/>
      <c r="J63" s="70"/>
      <c r="K63" s="71"/>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Normal="100" zoomScalePageLayoutView="92" workbookViewId="0">
      <selection activeCell="F19" sqref="F19"/>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80</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f>Control_1 Open_time</f>
        <v>44876.291666666664</v>
      </c>
      <c r="C3" s="26">
        <f>Control_1 Close_time</f>
        <v>44876.333333333328</v>
      </c>
      <c r="D3" s="27"/>
      <c r="E3" s="28" t="str">
        <f>IF(ISBLANK(Control_1 Establishment_1),"",Control_1 Establishment_1)</f>
        <v>STAFFED</v>
      </c>
      <c r="F3" s="84" t="str">
        <f>IF(ISBLANK('Control Entry'!I15),"",'Control Entry'!I15)</f>
        <v/>
      </c>
      <c r="G3" s="85"/>
      <c r="H3" s="24" t="s">
        <v>29</v>
      </c>
      <c r="K3" s="14"/>
      <c r="O3" s="131" t="s">
        <v>33</v>
      </c>
      <c r="P3" s="131"/>
      <c r="Q3" s="131"/>
      <c r="R3" s="131"/>
      <c r="S3" s="75" t="str">
        <f>IF('Control Entry'!D28=0,"","#1")</f>
        <v>#1</v>
      </c>
      <c r="U3" s="38"/>
    </row>
    <row r="4" spans="1:22" ht="36" customHeight="1" x14ac:dyDescent="0.2">
      <c r="A4" s="34">
        <f>IF(ISBLANK(Distance Control_1),"",Control_1 Distance)</f>
        <v>0</v>
      </c>
      <c r="B4" s="35">
        <f>Control_1 Open_time</f>
        <v>44876.291666666664</v>
      </c>
      <c r="C4" s="35">
        <f>Control_1 Close_time</f>
        <v>44876.333333333328</v>
      </c>
      <c r="D4" s="36" t="str">
        <f>IF(ISBLANK(Locale Control_1),"",Locale Control_1)</f>
        <v>VICTORIA</v>
      </c>
      <c r="E4" s="28" t="str">
        <f>IF(ISBLANK(Control_1 Establishment_2),"",Control_1 Establishment_2)</f>
        <v>BC Indians War Memorial</v>
      </c>
      <c r="F4" s="84" t="str">
        <f>IF(ISBLANK('Control Entry'!J15),"",'Control Entry'!J15)</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f>Control_1 Open_time</f>
        <v>44876.291666666664</v>
      </c>
      <c r="C5" s="30">
        <f>Control_1 Close_time</f>
        <v>44876.333333333328</v>
      </c>
      <c r="D5" s="31"/>
      <c r="E5" s="32" t="str">
        <f>IF(ISBLANK(Control_1 Establishment_3),"",Control_1 Establishment_3)</f>
        <v>Beacon Hill Park</v>
      </c>
      <c r="F5" s="88" t="str">
        <f>IF(ISBLANK('Control Entry'!K15),"",'Control Entry'!K15)</f>
        <v/>
      </c>
      <c r="G5" s="87"/>
      <c r="H5" s="24" t="s">
        <v>29</v>
      </c>
      <c r="K5" s="14"/>
      <c r="M5" s="15"/>
      <c r="N5" s="107" t="s">
        <v>47</v>
      </c>
      <c r="O5" s="107"/>
      <c r="P5" s="52">
        <f>IF(ISBLANK(Brevet_Number),"",Brevet_Number)</f>
        <v>5236</v>
      </c>
      <c r="Q5" s="53"/>
      <c r="R5" s="119">
        <f>IF(ISBLANK('Control Entry'!$B10),"",'Control Entry'!$B10)</f>
        <v>44876</v>
      </c>
      <c r="S5" s="119"/>
      <c r="T5" s="119"/>
      <c r="U5" s="119"/>
      <c r="V5" s="40"/>
    </row>
    <row r="6" spans="1:22" ht="36" customHeight="1" x14ac:dyDescent="0.2">
      <c r="A6" s="25"/>
      <c r="B6" s="26">
        <f>Control_2 Open_time</f>
        <v>44876.321527777778</v>
      </c>
      <c r="C6" s="26">
        <f>Control_2 Close_time</f>
        <v>44876.384722222218</v>
      </c>
      <c r="D6" s="33"/>
      <c r="E6" s="28" t="str">
        <f>IF(ISBLANK(Control_2 Establishment_1),"",Control_2 Establishment_1)</f>
        <v>INFORMATION</v>
      </c>
      <c r="F6" s="84" t="str">
        <f>IF(ISBLANK('Control Entry'!I16),"",'Control Entry'!I16)</f>
        <v xml:space="preserve">Sign on right: Lot 12 is </v>
      </c>
      <c r="G6" s="85"/>
      <c r="H6" s="24" t="s">
        <v>29</v>
      </c>
      <c r="K6" s="14"/>
      <c r="L6" s="134" t="str">
        <f>IF(ISBLANK(Brevet_Description),"",Brevet_Description)</f>
        <v>Remembrance Day 2022</v>
      </c>
      <c r="M6" s="134"/>
      <c r="N6" s="134"/>
      <c r="O6" s="134"/>
      <c r="P6" s="134"/>
      <c r="Q6" s="134"/>
      <c r="R6" s="134"/>
      <c r="S6" s="134"/>
      <c r="T6" s="134"/>
      <c r="U6" s="134"/>
    </row>
    <row r="7" spans="1:22" ht="36" customHeight="1" x14ac:dyDescent="0.2">
      <c r="A7" s="34">
        <f>IF(ISBLANK(Distance Control_2),"",Control_2 Distance)</f>
        <v>24.5</v>
      </c>
      <c r="B7" s="35">
        <f>Control_2 Open_time</f>
        <v>44876.321527777778</v>
      </c>
      <c r="C7" s="35">
        <f>Control_2 Close_time</f>
        <v>44876.384722222218</v>
      </c>
      <c r="D7" s="36" t="str">
        <f>IF(ISBLANK(Locale Control_2),"",Locale Control_2)</f>
        <v xml:space="preserve">SAANICH </v>
      </c>
      <c r="E7" s="48" t="str">
        <f>IF(ISBLANK(Control_2 Establishment_2),"",Control_2 Establishment_2)</f>
        <v>Historical marker</v>
      </c>
      <c r="F7" s="86" t="str">
        <f>IF(ISBLANK('Control Entry'!J16),"",'Control Entry'!J16)</f>
        <v>The ______Residence</v>
      </c>
      <c r="G7" s="85"/>
      <c r="H7" s="24" t="s">
        <v>29</v>
      </c>
      <c r="J7" s="74"/>
      <c r="L7" s="74"/>
    </row>
    <row r="8" spans="1:22" ht="36" customHeight="1" thickBot="1" x14ac:dyDescent="0.25">
      <c r="A8" s="29"/>
      <c r="B8" s="30">
        <f>Control_2 Open_time</f>
        <v>44876.321527777778</v>
      </c>
      <c r="C8" s="30">
        <f>Control_2 Close_time</f>
        <v>44876.384722222218</v>
      </c>
      <c r="D8" s="31"/>
      <c r="E8" s="73" t="str">
        <f>IF(ISBLANK(Control_2 Establishment_3),"",Control_2 Establishment_3)</f>
        <v>Falaise Park</v>
      </c>
      <c r="F8" s="88" t="str">
        <f>IF(ISBLANK('Control Entry'!K16),"",'Control Entry'!K16)</f>
        <v/>
      </c>
      <c r="G8" s="87"/>
      <c r="H8" s="24" t="s">
        <v>29</v>
      </c>
      <c r="J8" s="15" t="s">
        <v>34</v>
      </c>
      <c r="L8" s="120"/>
      <c r="M8" s="120"/>
      <c r="N8" s="120"/>
      <c r="O8" s="120"/>
      <c r="P8" s="120"/>
      <c r="Q8" s="120"/>
      <c r="S8" s="41" t="s">
        <v>46</v>
      </c>
      <c r="T8" s="127"/>
      <c r="U8" s="127"/>
    </row>
    <row r="9" spans="1:22" ht="36" customHeight="1" thickBot="1" x14ac:dyDescent="0.3">
      <c r="A9" s="25"/>
      <c r="B9" s="26">
        <f>Control_3 Open_time</f>
        <v>44876.338888888888</v>
      </c>
      <c r="C9" s="26">
        <f>Control_3 Close_time</f>
        <v>44876.413194444445</v>
      </c>
      <c r="D9" s="33"/>
      <c r="E9" s="28" t="str">
        <f>IF(ISBLANK(Control_3 Establishment_1),"",Control_3 Establishment_1)</f>
        <v>INFORMATION</v>
      </c>
      <c r="F9" s="84" t="str">
        <f>IF(ISBLANK('Control Entry'!I17),"",'Control Entry'!I17)</f>
        <v>On Stone house at #300</v>
      </c>
      <c r="G9" s="85"/>
      <c r="H9" s="24" t="s">
        <v>29</v>
      </c>
      <c r="J9" s="15" t="s">
        <v>35</v>
      </c>
      <c r="K9" s="15"/>
      <c r="L9" s="136" t="s">
        <v>54</v>
      </c>
      <c r="M9" s="136"/>
      <c r="N9" s="136"/>
      <c r="O9" s="136"/>
      <c r="P9" s="136"/>
      <c r="Q9" s="136"/>
      <c r="R9" s="136"/>
      <c r="S9" s="136"/>
      <c r="T9" s="136"/>
      <c r="U9" s="136"/>
    </row>
    <row r="10" spans="1:22" ht="36" customHeight="1" thickBot="1" x14ac:dyDescent="0.3">
      <c r="A10" s="34">
        <f>IF(ISBLANK(Distance Control_3),"",Control_3 Distance)</f>
        <v>38.4</v>
      </c>
      <c r="B10" s="35">
        <f>Control_3 Open_time</f>
        <v>44876.338888888888</v>
      </c>
      <c r="C10" s="35">
        <f>Control_3 Close_time</f>
        <v>44876.413194444445</v>
      </c>
      <c r="D10" s="36" t="str">
        <f>IF(ISBLANK(Locale Control_3),"",Locale Control_3)</f>
        <v>ESQUIMALT</v>
      </c>
      <c r="E10" s="28" t="str">
        <f>IF(ISBLANK(Control_3 Establishment_2),"",Control_3 Establishment_2)</f>
        <v>DND Stone House</v>
      </c>
      <c r="F10" s="86" t="str">
        <f>IF(ISBLANK('Control Entry'!J17),"",'Control Entry'!J17)</f>
        <v>Number of window panes to the left of the door</v>
      </c>
      <c r="G10" s="85"/>
      <c r="H10" s="24" t="s">
        <v>29</v>
      </c>
      <c r="J10" s="15"/>
      <c r="K10" s="15"/>
      <c r="L10" s="129"/>
      <c r="M10" s="129"/>
      <c r="N10" s="129"/>
      <c r="O10" s="129"/>
      <c r="P10" s="129"/>
      <c r="Q10" s="129"/>
      <c r="R10" s="129"/>
      <c r="S10" s="129"/>
      <c r="T10" s="129"/>
      <c r="U10" s="129"/>
    </row>
    <row r="11" spans="1:22" ht="36" customHeight="1" thickBot="1" x14ac:dyDescent="0.3">
      <c r="A11" s="29"/>
      <c r="B11" s="30">
        <f>Control_3 Open_time</f>
        <v>44876.338888888888</v>
      </c>
      <c r="C11" s="30">
        <f>Control_3 Close_time</f>
        <v>44876.413194444445</v>
      </c>
      <c r="D11" s="31"/>
      <c r="E11" s="32" t="str">
        <f>IF(ISBLANK(Control_3 Establishment_3),"",Control_3 Establishment_3)</f>
        <v>300 Victoria View Rd</v>
      </c>
      <c r="F11" s="88" t="str">
        <f>IF(ISBLANK('Control Entry'!K17),"",'Control Entry'!K17)</f>
        <v>___</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f>Control_4 Open_time</f>
        <v>44876.34375</v>
      </c>
      <c r="C12" s="26">
        <f>Control_4 Close_time</f>
        <v>44876.422222222223</v>
      </c>
      <c r="D12" s="33"/>
      <c r="E12" s="28" t="str">
        <f>IF(ISBLANK(Control_4 Establishment_1),"",Control_4 Establishment_1)</f>
        <v>INFORMATION</v>
      </c>
      <c r="F12" s="84" t="str">
        <f>IF(ISBLANK('Control Entry'!I18),"",'Control Entry'!I18)</f>
        <v xml:space="preserve">Sign above Chapel </v>
      </c>
      <c r="G12" s="85"/>
      <c r="H12" s="24" t="s">
        <v>29</v>
      </c>
      <c r="J12" s="15" t="s">
        <v>38</v>
      </c>
      <c r="K12" s="15"/>
      <c r="L12" s="129"/>
      <c r="M12" s="129"/>
      <c r="N12" s="129"/>
      <c r="O12" s="15"/>
      <c r="P12" s="15" t="s">
        <v>39</v>
      </c>
      <c r="Q12" s="15"/>
      <c r="R12" s="15"/>
      <c r="S12" s="117"/>
      <c r="T12" s="117"/>
      <c r="U12" s="117"/>
    </row>
    <row r="13" spans="1:22" ht="36" customHeight="1" thickBot="1" x14ac:dyDescent="0.3">
      <c r="A13" s="34">
        <f>IF(ISBLANK(Distance Control_4),"",Control_4 Distance)</f>
        <v>42.7</v>
      </c>
      <c r="B13" s="35">
        <f>Control_4 Open_time</f>
        <v>44876.34375</v>
      </c>
      <c r="C13" s="35">
        <f>Control_4 Close_time</f>
        <v>44876.422222222223</v>
      </c>
      <c r="D13" s="36" t="str">
        <f>IF(ISBLANK(Locale Control_4),"",Locale Control_4)</f>
        <v>ESQUIMALT</v>
      </c>
      <c r="E13" s="28" t="str">
        <f>IF(ISBLANK(Control_4 Establishment_2),"",Control_4 Establishment_2)</f>
        <v>God's Acre Cemetary</v>
      </c>
      <c r="F13" s="86" t="str">
        <f>IF(ISBLANK('Control Entry'!J18),"",'Control Entry'!J18)</f>
        <v>Consecrated  July 18__</v>
      </c>
      <c r="G13" s="85"/>
      <c r="H13" s="24" t="s">
        <v>29</v>
      </c>
      <c r="J13" s="15" t="s">
        <v>40</v>
      </c>
      <c r="L13" s="139"/>
      <c r="M13" s="139"/>
      <c r="N13" s="139"/>
      <c r="P13" s="15" t="s">
        <v>41</v>
      </c>
      <c r="Q13" s="15"/>
      <c r="R13" s="118"/>
      <c r="S13" s="118"/>
      <c r="T13" s="118"/>
      <c r="U13" s="118"/>
    </row>
    <row r="14" spans="1:22" ht="36" customHeight="1" thickBot="1" x14ac:dyDescent="0.25">
      <c r="A14" s="29"/>
      <c r="B14" s="30">
        <f>Control_4 Open_time</f>
        <v>44876.34375</v>
      </c>
      <c r="C14" s="30">
        <f>Control_4 Close_time</f>
        <v>44876.422222222223</v>
      </c>
      <c r="D14" s="31"/>
      <c r="E14" s="32" t="str">
        <f>IF(ISBLANK(Control_4 Establishment_3),"",Control_4 Establishment_3)</f>
        <v>Veteran's Dr</v>
      </c>
      <c r="F14" s="88" t="str">
        <f>IF(ISBLANK('Control Entry'!K18),"",'Control Entry'!K18)</f>
        <v/>
      </c>
      <c r="G14" s="87"/>
      <c r="H14" s="24" t="s">
        <v>29</v>
      </c>
    </row>
    <row r="15" spans="1:22" ht="36" customHeight="1" x14ac:dyDescent="0.2">
      <c r="A15" s="25"/>
      <c r="B15" s="26">
        <f>Control_5 Open_time</f>
        <v>44876.356249999997</v>
      </c>
      <c r="C15" s="26">
        <f>Control_5 Close_time</f>
        <v>44876.443055555552</v>
      </c>
      <c r="D15" s="33"/>
      <c r="E15" s="28" t="str">
        <f>IF(ISBLANK(Control_5 Establishment_1),"",Control_5 Establishment_1)</f>
        <v>INFORMATION</v>
      </c>
      <c r="F15" s="84" t="str">
        <f>IF(ISBLANK('Control Entry'!I19),"",'Control Entry'!I19)</f>
        <v xml:space="preserve">Plaque at foot of Statue </v>
      </c>
      <c r="G15" s="85"/>
      <c r="H15" s="24" t="s">
        <v>29</v>
      </c>
      <c r="J15" s="15"/>
      <c r="L15" s="133" t="s">
        <v>58</v>
      </c>
      <c r="M15" s="133"/>
      <c r="N15" s="133"/>
      <c r="O15" s="133"/>
      <c r="P15" s="133"/>
      <c r="Q15" s="133"/>
      <c r="R15" s="133"/>
      <c r="S15" s="133"/>
      <c r="T15" s="133"/>
      <c r="U15" s="133"/>
    </row>
    <row r="16" spans="1:22" ht="36" customHeight="1" thickBot="1" x14ac:dyDescent="0.25">
      <c r="A16" s="34">
        <f>IF(ISBLANK(Distance Control_5),"",Control_5 Distance)</f>
        <v>52.5</v>
      </c>
      <c r="B16" s="35">
        <f>Control_5 Open_time</f>
        <v>44876.356249999997</v>
      </c>
      <c r="C16" s="35">
        <f>Control_5 Close_time</f>
        <v>44876.443055555552</v>
      </c>
      <c r="D16" s="36" t="str">
        <f>IF(ISBLANK(Locale Control_5),"",Locale Control_5)</f>
        <v>LANGFORD</v>
      </c>
      <c r="E16" s="28" t="str">
        <f>IF(ISBLANK(Control_5 Establishment_2),"",Control_5 Establishment_2)</f>
        <v>Veterans Memorial Park</v>
      </c>
      <c r="F16" s="84" t="str">
        <f>IF(ISBLANK('Control Entry'!J19),"",'Control Entry'!J19)</f>
        <v>Erected October __, 2001</v>
      </c>
      <c r="G16" s="85"/>
      <c r="H16" s="24" t="s">
        <v>29</v>
      </c>
      <c r="L16" s="137"/>
      <c r="M16" s="137"/>
      <c r="N16" s="137"/>
      <c r="O16" s="137"/>
      <c r="P16" s="137"/>
      <c r="Q16" s="137"/>
      <c r="R16" s="137"/>
      <c r="S16" s="137"/>
      <c r="T16" s="137"/>
      <c r="U16" s="137"/>
    </row>
    <row r="17" spans="1:22" ht="36" customHeight="1" thickBot="1" x14ac:dyDescent="0.25">
      <c r="A17" s="29"/>
      <c r="B17" s="30">
        <f>Control_5 Open_time</f>
        <v>44876.356249999997</v>
      </c>
      <c r="C17" s="30">
        <f>Control_5 Close_time</f>
        <v>44876.443055555552</v>
      </c>
      <c r="D17" s="31"/>
      <c r="E17" s="32" t="str">
        <f>IF(ISBLANK(Control_5 Establishment_3),"",Control_5 Establishment_3)</f>
        <v>Aldwyn Rd</v>
      </c>
      <c r="F17" s="88" t="str">
        <f>IF(ISBLANK('Control Entry'!K19),"",'Control Entry'!K19)</f>
        <v/>
      </c>
      <c r="G17" s="87"/>
      <c r="H17" s="24" t="s">
        <v>29</v>
      </c>
    </row>
    <row r="18" spans="1:22" ht="36" customHeight="1" x14ac:dyDescent="0.2">
      <c r="A18" s="25"/>
      <c r="B18" s="26">
        <f>Control_6 Open_time</f>
        <v>44876.376388888886</v>
      </c>
      <c r="C18" s="26">
        <f>Control_6 Close_time</f>
        <v>44876.484027777777</v>
      </c>
      <c r="D18" s="33"/>
      <c r="E18" s="28" t="str">
        <f>IF(ISBLANK(Control_6 Establishment_1),"",Control_6 Establishment_1)</f>
        <v>INFORMATION</v>
      </c>
      <c r="F18" s="84" t="str">
        <f>IF(ISBLANK('Control Entry'!I20),"",'Control Entry'!I20)</f>
        <v xml:space="preserve">On Sign on Fence </v>
      </c>
      <c r="G18" s="85"/>
      <c r="H18" s="24" t="s">
        <v>29</v>
      </c>
    </row>
    <row r="19" spans="1:22" ht="36" customHeight="1" x14ac:dyDescent="0.2">
      <c r="A19" s="34">
        <f>IF(ISBLANK(Distance Control_6),"",Control_6 Distance)</f>
        <v>69.3</v>
      </c>
      <c r="B19" s="35">
        <f>Control_6 Open_time</f>
        <v>44876.376388888886</v>
      </c>
      <c r="C19" s="35">
        <f>Control_6 Close_time</f>
        <v>44876.484027777777</v>
      </c>
      <c r="D19" s="36" t="str">
        <f>IF(ISBLANK(Locale Control_6),"",Locale Control_6)</f>
        <v>METCHOSIN</v>
      </c>
      <c r="E19" s="28" t="str">
        <f>IF(ISBLANK(Control_6 Establishment_2),"",Control_6 Establishment_2)</f>
        <v>Cadet Training Centre</v>
      </c>
      <c r="F19" s="86" t="str">
        <f>IF(ISBLANK('Control Entry'!J20),"",'Control Entry'!J20)</f>
        <v>By order of ___</v>
      </c>
      <c r="G19" s="85"/>
      <c r="H19" s="24" t="s">
        <v>29</v>
      </c>
    </row>
    <row r="20" spans="1:22" ht="36" customHeight="1" thickBot="1" x14ac:dyDescent="0.25">
      <c r="A20" s="29"/>
      <c r="B20" s="30">
        <f>Control_6 Open_time</f>
        <v>44876.376388888886</v>
      </c>
      <c r="C20" s="30">
        <f>Control_6 Close_time</f>
        <v>44876.484027777777</v>
      </c>
      <c r="D20" s="31"/>
      <c r="E20" s="32" t="str">
        <f>IF(ISBLANK(Control_6 Establishment_3),"",Control_6 Establishment_3)</f>
        <v>100 Albert Head Rd</v>
      </c>
      <c r="F20" s="88" t="str">
        <f>IF(ISBLANK('Control Entry'!K20),"",'Control Entry'!K20)</f>
        <v/>
      </c>
      <c r="G20" s="87"/>
      <c r="H20" s="24" t="s">
        <v>29</v>
      </c>
      <c r="J20" s="50" t="s">
        <v>44</v>
      </c>
      <c r="K20" s="50"/>
      <c r="L20" s="128">
        <f>IF(ISBLANK('Control Entry'!B12),"",'Control Entry'!B12)</f>
        <v>44876</v>
      </c>
      <c r="M20" s="128"/>
      <c r="N20" s="128"/>
      <c r="P20" s="15" t="s">
        <v>0</v>
      </c>
      <c r="Q20" s="15"/>
      <c r="S20" s="132">
        <f>IF(ISBLANK('Control Entry'!B13),"",'Control Entry'!B13)</f>
        <v>0.29166666666666669</v>
      </c>
      <c r="T20" s="132"/>
      <c r="U20" s="132"/>
    </row>
    <row r="21" spans="1:22" ht="36" customHeight="1" x14ac:dyDescent="0.2">
      <c r="A21" s="25"/>
      <c r="B21" s="26">
        <f>Control_7 Open_time</f>
        <v>44876.385416666664</v>
      </c>
      <c r="C21" s="26">
        <f>Control_7 Close_time</f>
        <v>44876.504861111105</v>
      </c>
      <c r="D21" s="33"/>
      <c r="E21" s="28" t="str">
        <f>IF(ISBLANK(Control_7 Establishment_1),"",Control_7 Establishment_1)</f>
        <v>INFORMATION</v>
      </c>
      <c r="F21" s="84" t="str">
        <f>IF(ISBLANK('Control Entry'!I21),"",'Control Entry'!I21)</f>
        <v xml:space="preserve">On plaque "military college period </v>
      </c>
      <c r="G21" s="85"/>
      <c r="H21" s="24" t="s">
        <v>29</v>
      </c>
      <c r="J21" s="50"/>
      <c r="K21" s="50"/>
      <c r="L21" s="44"/>
      <c r="M21" s="44"/>
      <c r="N21" s="44"/>
      <c r="P21" s="15"/>
      <c r="Q21" s="15"/>
      <c r="S21" s="51"/>
      <c r="T21" s="51"/>
      <c r="U21" s="51"/>
    </row>
    <row r="22" spans="1:22" ht="36" customHeight="1" thickBot="1" x14ac:dyDescent="0.25">
      <c r="A22" s="34">
        <f>IF(ISBLANK(Distance Control_7),"",Control_7 Distance)</f>
        <v>76.7</v>
      </c>
      <c r="B22" s="35">
        <f>Control_7 Open_time</f>
        <v>44876.385416666664</v>
      </c>
      <c r="C22" s="35">
        <f>Control_7 Close_time</f>
        <v>44876.504861111105</v>
      </c>
      <c r="D22" s="36" t="str">
        <f>IF(ISBLANK(Locale Control_7),"",Locale Control_7)</f>
        <v>COLWOOD</v>
      </c>
      <c r="E22" s="28" t="str">
        <f>IF(ISBLANK(Control_7 Establishment_2),"",Control_7 Establishment_2)</f>
        <v>Military College Parade Square</v>
      </c>
      <c r="F22" s="86" t="str">
        <f>IF(ISBLANK('Control Entry'!J21),"",'Control Entry'!J21)</f>
        <v>19__-1995</v>
      </c>
      <c r="G22" s="85"/>
      <c r="H22" s="24" t="s">
        <v>29</v>
      </c>
      <c r="J22" s="50" t="s">
        <v>45</v>
      </c>
      <c r="K22" s="50"/>
      <c r="L22" s="138"/>
      <c r="M22" s="138"/>
      <c r="N22" s="138"/>
      <c r="P22" s="15" t="s">
        <v>1</v>
      </c>
      <c r="Q22" s="15"/>
      <c r="S22" s="135"/>
      <c r="T22" s="135"/>
      <c r="U22" s="135"/>
    </row>
    <row r="23" spans="1:22" ht="36" customHeight="1" thickBot="1" x14ac:dyDescent="0.25">
      <c r="A23" s="29"/>
      <c r="B23" s="30">
        <f>Control_7 Open_time</f>
        <v>44876.385416666664</v>
      </c>
      <c r="C23" s="30">
        <f>Control_7 Close_time</f>
        <v>44876.504861111105</v>
      </c>
      <c r="D23" s="31"/>
      <c r="E23" s="32" t="str">
        <f>IF(ISBLANK(Control_7 Establishment_3),"",Control_7 Establishment_3)</f>
        <v>Royal Roads University</v>
      </c>
      <c r="F23" s="88" t="str">
        <f>IF(ISBLANK('Control Entry'!K21),"",'Control Entry'!K21)</f>
        <v/>
      </c>
      <c r="G23" s="87"/>
      <c r="H23" s="24" t="s">
        <v>29</v>
      </c>
      <c r="J23" s="50"/>
      <c r="K23" s="50"/>
      <c r="L23" s="44"/>
      <c r="M23" s="44"/>
      <c r="N23" s="44"/>
      <c r="P23" s="15"/>
      <c r="Q23" s="15"/>
    </row>
    <row r="24" spans="1:22" ht="36" customHeight="1" thickBot="1" x14ac:dyDescent="0.25">
      <c r="A24" s="25"/>
      <c r="B24" s="26">
        <f>Control_8 Open_time</f>
        <v>44876.418749999997</v>
      </c>
      <c r="C24" s="26">
        <f>Control_8 Close_time</f>
        <v>44876.579861111109</v>
      </c>
      <c r="D24" s="33"/>
      <c r="E24" s="28" t="str">
        <f>IF(ISBLANK(Control_8 Establishment_1),"",Control_8 Establishment_1)</f>
        <v>INFORMATION</v>
      </c>
      <c r="F24" s="84" t="str">
        <f>IF(ISBLANK('Control Entry'!I22),"",'Control Entry'!I22)</f>
        <v xml:space="preserve">Plaque on left of Cenotaph </v>
      </c>
      <c r="G24" s="85"/>
      <c r="H24" s="24" t="s">
        <v>29</v>
      </c>
      <c r="J24" s="135"/>
      <c r="K24" s="135"/>
      <c r="L24" s="135"/>
      <c r="M24" s="135"/>
      <c r="N24" s="135"/>
      <c r="P24" s="15" t="s">
        <v>2</v>
      </c>
      <c r="Q24" s="15"/>
      <c r="S24" s="135"/>
      <c r="T24" s="135"/>
      <c r="U24" s="135"/>
    </row>
    <row r="25" spans="1:22" ht="36" customHeight="1" x14ac:dyDescent="0.2">
      <c r="A25" s="34">
        <f>IF(ISBLANK(Distance Control_8),"",Control_8 Distance)</f>
        <v>103.7</v>
      </c>
      <c r="B25" s="35">
        <f>Control_8 Open_time</f>
        <v>44876.418749999997</v>
      </c>
      <c r="C25" s="35">
        <f>Control_8 Close_time</f>
        <v>44876.579861111109</v>
      </c>
      <c r="D25" s="36" t="str">
        <f>IF(ISBLANK(Locale Control_8),"",Locale Control_8)</f>
        <v>BRENTWOOD BAY</v>
      </c>
      <c r="E25" s="28" t="str">
        <f>IF(ISBLANK(Control_8 Establishment_2),"",Control_8 Establishment_2)</f>
        <v>Central Saanich Cenotaph</v>
      </c>
      <c r="F25" s="84" t="str">
        <f>IF(ISBLANK('Control Entry'!J22),"",'Control Entry'!J22)</f>
        <v>Year of the Veteran 20__</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f>Control_8 Open_time</f>
        <v>44876.418749999997</v>
      </c>
      <c r="C26" s="30">
        <f>Control_8 Close_time</f>
        <v>44876.579861111109</v>
      </c>
      <c r="D26" s="31"/>
      <c r="E26" s="32" t="str">
        <f>IF(ISBLANK(Control_8 Establishment_3),"",Control_8 Establishment_3)</f>
        <v>Pioneer Park</v>
      </c>
      <c r="F26" s="88" t="str">
        <f>IF(ISBLANK('Control Entry'!K22),"",'Control Entry'!K22)</f>
        <v/>
      </c>
      <c r="G26" s="87"/>
      <c r="H26" s="24" t="s">
        <v>29</v>
      </c>
    </row>
    <row r="27" spans="1:22" ht="36" customHeight="1" x14ac:dyDescent="0.2">
      <c r="A27" s="25"/>
      <c r="B27" s="26" t="str">
        <f>Control_9 Open_time</f>
        <v/>
      </c>
      <c r="C27" s="26" t="str">
        <f>Control_9 Close_time</f>
        <v/>
      </c>
      <c r="D27" s="33"/>
      <c r="E27" s="28" t="str">
        <f>IF(ISBLANK(Control_9 Establishment_1),"",Control_9 Establishment_1)</f>
        <v/>
      </c>
      <c r="F27" s="84" t="str">
        <f>IF(ISBLANK('Control Entry'!I23),"",'Control Entry'!I23)</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IF(ISBLANK(Distance Control_9),"",Control_9 Distance)</f>
        <v/>
      </c>
      <c r="B28" s="35" t="str">
        <f>Control_9 Open_time</f>
        <v/>
      </c>
      <c r="C28" s="35" t="str">
        <f>Control_9 Close_time</f>
        <v/>
      </c>
      <c r="D28" s="36" t="str">
        <f>IF(ISBLANK(Locale Control_9),"",Locale Control_9)</f>
        <v/>
      </c>
      <c r="E28" s="28" t="str">
        <f>IF(ISBLANK(Control_9 Establishment_2),"",Control_9 Establishment_2)</f>
        <v/>
      </c>
      <c r="F28" s="84" t="str">
        <f>IF(ISBLANK('Control Entry'!J23),"",'Control Entry'!J23)</f>
        <v/>
      </c>
      <c r="G28" s="85"/>
      <c r="H28" s="24" t="s">
        <v>29</v>
      </c>
    </row>
    <row r="29" spans="1:22" ht="36" customHeight="1" thickBot="1" x14ac:dyDescent="0.25">
      <c r="A29" s="29"/>
      <c r="B29" s="30" t="str">
        <f>Control_9 Open_time</f>
        <v/>
      </c>
      <c r="C29" s="30" t="str">
        <f>Control_9 Close_time</f>
        <v/>
      </c>
      <c r="D29" s="31"/>
      <c r="E29" s="32" t="str">
        <f>IF(ISBLANK(Control_9 Establishment_3),"",Control_9 Establishment_3)</f>
        <v/>
      </c>
      <c r="F29" s="88" t="str">
        <f>IF(ISBLANK('Control Entry'!K23),"",'Control Entry'!K23)</f>
        <v/>
      </c>
      <c r="G29" s="87"/>
      <c r="H29" s="24" t="s">
        <v>29</v>
      </c>
      <c r="M29" s="108" t="s">
        <v>42</v>
      </c>
      <c r="N29" s="108"/>
      <c r="O29" s="108"/>
      <c r="P29" s="108"/>
      <c r="Q29" s="108"/>
      <c r="R29" s="108"/>
      <c r="S29" s="108"/>
      <c r="T29" s="108"/>
      <c r="U29" s="49"/>
    </row>
    <row r="30" spans="1:22" ht="36" customHeight="1" x14ac:dyDescent="0.2">
      <c r="A30" s="25"/>
      <c r="B30" s="26" t="str">
        <f>Control_10 Open_time</f>
        <v/>
      </c>
      <c r="C30" s="26" t="str">
        <f>Control_10 Close_time</f>
        <v/>
      </c>
      <c r="D30" s="33"/>
      <c r="E30" s="28" t="str">
        <f>IF(ISBLANK(Control_10 Establishment_1),"",Control_10 Establishment_1)</f>
        <v/>
      </c>
      <c r="F30" s="84" t="str">
        <f>IF(ISBLANK('Control Entry'!I24),"",'Control Entry'!I24)</f>
        <v/>
      </c>
      <c r="G30" s="85"/>
      <c r="H30" s="24" t="s">
        <v>29</v>
      </c>
      <c r="M30" s="16"/>
      <c r="N30" s="18"/>
      <c r="O30" s="18"/>
      <c r="P30" s="19"/>
      <c r="Q30" s="16"/>
      <c r="R30" s="18"/>
      <c r="S30" s="18"/>
      <c r="T30" s="19"/>
    </row>
    <row r="31" spans="1:22" ht="36" customHeight="1" x14ac:dyDescent="0.2">
      <c r="A31" s="34" t="str">
        <f>IF(ISBLANK(Distance Control_10),"",Control_10 Distance)</f>
        <v/>
      </c>
      <c r="B31" s="35" t="str">
        <f>Control_10 Open_time</f>
        <v/>
      </c>
      <c r="C31" s="35" t="str">
        <f>Control_10 Close_time</f>
        <v/>
      </c>
      <c r="D31" s="36" t="str">
        <f>IF(ISBLANK(Locale Control_10),"",Locale Control_10)</f>
        <v>SECRET</v>
      </c>
      <c r="E31" s="28" t="str">
        <f>IF(ISBLANK(Control_10 Establishment_2),"",Control_10 Establishment_2)</f>
        <v/>
      </c>
      <c r="F31" s="84" t="str">
        <f>IF(ISBLANK('Control Entry'!J24),"",'Control Entry'!J24)</f>
        <v/>
      </c>
      <c r="G31" s="85"/>
      <c r="H31" s="24" t="s">
        <v>29</v>
      </c>
      <c r="M31" s="17"/>
      <c r="P31" s="20"/>
      <c r="Q31" s="17"/>
      <c r="T31" s="20"/>
    </row>
    <row r="32" spans="1:22" ht="36" customHeight="1" thickBot="1" x14ac:dyDescent="0.25">
      <c r="A32" s="29"/>
      <c r="B32" s="30" t="str">
        <f>Control_10 Open_time</f>
        <v/>
      </c>
      <c r="C32" s="30" t="str">
        <f>Control_10 Close_time</f>
        <v/>
      </c>
      <c r="D32" s="31"/>
      <c r="E32" s="32" t="str">
        <f>IF(ISBLANK(Control_10 Establishment_3),"",Control_10 Establishment_3)</f>
        <v/>
      </c>
      <c r="F32" s="88" t="str">
        <f>IF(ISBLANK('Control Entry'!K24),"",'Control Entry'!K24)</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G7" sqref="G7"/>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f>'Control Entry'!N28</f>
        <v>44876.440972222219</v>
      </c>
      <c r="C3" s="26">
        <f>'Control Entry'!O28</f>
        <v>44876.630555555552</v>
      </c>
      <c r="D3" s="27"/>
      <c r="E3" s="28" t="str">
        <f>IF(ISBLANK('Control Entry'!F28),"",'Control Entry'!F28)</f>
        <v>INFORMATION</v>
      </c>
      <c r="F3" s="84" t="str">
        <f>IF(ISBLANK('Control Entry'!I28),"",'Control Entry'!I28)</f>
        <v>Maple Leaf on Ground to the left of Memorial: .</v>
      </c>
      <c r="G3" s="85"/>
      <c r="H3" s="24" t="s">
        <v>29</v>
      </c>
      <c r="K3" s="14"/>
      <c r="O3" s="131" t="s">
        <v>73</v>
      </c>
      <c r="P3" s="131"/>
      <c r="Q3" s="131"/>
      <c r="R3" s="131"/>
      <c r="S3" s="75" t="str">
        <f>IF('Control Entry'!D28=0,"","#2")</f>
        <v>#2</v>
      </c>
      <c r="U3" s="38"/>
    </row>
    <row r="4" spans="1:22" ht="36" customHeight="1" x14ac:dyDescent="0.2">
      <c r="A4" s="34">
        <f>IF(ISBLANK('Control Entry'!D28),"",'Control Entry'!D28)</f>
        <v>122</v>
      </c>
      <c r="B4" s="35">
        <f>'Control Entry'!N28</f>
        <v>44876.440972222219</v>
      </c>
      <c r="C4" s="35">
        <f>'Control Entry'!O28</f>
        <v>44876.630555555552</v>
      </c>
      <c r="D4" s="36" t="str">
        <f>IF(ISBLANK('Control Entry'!E28),"",'Control Entry'!E28)</f>
        <v>NORTH SAANICH</v>
      </c>
      <c r="E4" s="28" t="str">
        <f>IF(ISBLANK('Control Entry'!G28),"",'Control Entry'!G28)</f>
        <v>Lt. H Gray VC Memorial</v>
      </c>
      <c r="F4" s="84" t="str">
        <f>IF(ISBLANK('Control Entry'!J28),"",'Control Entry'!J28)</f>
        <v>How many Canadians served on aircraft carriers of the RN Fleet Air Arm"</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f>'Control Entry'!N28</f>
        <v>44876.440972222219</v>
      </c>
      <c r="C5" s="30">
        <f>'Control Entry'!O28</f>
        <v>44876.630555555552</v>
      </c>
      <c r="D5" s="31"/>
      <c r="E5" s="32" t="str">
        <f>IF(ISBLANK('Control Entry'!H28),"",'Control Entry'!H28)</f>
        <v>BC Aviation Museum</v>
      </c>
      <c r="F5" s="88" t="str">
        <f>IF(ISBLANK('Control Entry'!K28),"",'Control Entry'!K28)</f>
        <v>_____</v>
      </c>
      <c r="G5" s="87"/>
      <c r="H5" s="24" t="s">
        <v>29</v>
      </c>
      <c r="K5" s="14"/>
      <c r="M5" s="15"/>
      <c r="N5" s="107" t="s">
        <v>47</v>
      </c>
      <c r="O5" s="107"/>
      <c r="P5" s="52">
        <f>IF(ISBLANK(Brevet_Number),"",Brevet_Number)</f>
        <v>5236</v>
      </c>
      <c r="Q5" s="53"/>
      <c r="R5" s="119">
        <f>IF(ISBLANK('Control Entry'!$B10),"",'Control Entry'!$B10)</f>
        <v>44876</v>
      </c>
      <c r="S5" s="119"/>
      <c r="T5" s="119"/>
      <c r="U5" s="119"/>
      <c r="V5" s="40"/>
    </row>
    <row r="6" spans="1:22" ht="36" customHeight="1" x14ac:dyDescent="0.2">
      <c r="A6" s="25"/>
      <c r="B6" s="26">
        <f>'Control Entry'!N29</f>
        <v>44876.464583333334</v>
      </c>
      <c r="C6" s="26">
        <f>'Control Entry'!O29</f>
        <v>44876.683333333334</v>
      </c>
      <c r="D6" s="33"/>
      <c r="E6" s="28" t="str">
        <f>IF(ISBLANK('Control Entry'!F29),"",'Control Entry'!F29)</f>
        <v>INFORMATION</v>
      </c>
      <c r="F6" s="84" t="str">
        <f>IF(ISBLANK('Control Entry'!I29),"",'Control Entry'!I29)</f>
        <v xml:space="preserve">Plaque on left hand side of granite stone (second paragraph:) </v>
      </c>
      <c r="G6" s="85"/>
      <c r="H6" s="24" t="s">
        <v>29</v>
      </c>
      <c r="K6" s="14"/>
      <c r="L6" s="134" t="str">
        <f>IF(ISBLANK(Brevet_Description),"",Brevet_Description)</f>
        <v>Remembrance Day 2022</v>
      </c>
      <c r="M6" s="134"/>
      <c r="N6" s="134"/>
      <c r="O6" s="134"/>
      <c r="P6" s="134"/>
      <c r="Q6" s="134"/>
      <c r="R6" s="134"/>
      <c r="S6" s="134"/>
      <c r="T6" s="134"/>
      <c r="U6" s="134"/>
    </row>
    <row r="7" spans="1:22" ht="36" customHeight="1" x14ac:dyDescent="0.2">
      <c r="A7" s="34">
        <f>IF(ISBLANK('Control Entry'!D29),"",'Control Entry'!D29)</f>
        <v>140.9</v>
      </c>
      <c r="B7" s="35">
        <f>'Control Entry'!N29</f>
        <v>44876.464583333334</v>
      </c>
      <c r="C7" s="35">
        <f>'Control Entry'!O29</f>
        <v>44876.683333333334</v>
      </c>
      <c r="D7" s="36" t="str">
        <f>IF(ISBLANK('Control Entry'!E29),"",'Control Entry'!E29)</f>
        <v xml:space="preserve">SAANICH </v>
      </c>
      <c r="E7" s="28" t="str">
        <f>IF(ISBLANK('Control Entry'!G29),"",'Control Entry'!G29)</f>
        <v>Royal Oak Cenotaph</v>
      </c>
      <c r="F7" s="86" t="str">
        <f>IF(ISBLANK('Control Entry'!J29),"",'Control Entry'!J29)</f>
        <v>How many men and women?__</v>
      </c>
      <c r="G7" s="85"/>
      <c r="H7" s="24" t="s">
        <v>29</v>
      </c>
    </row>
    <row r="8" spans="1:22" ht="36" customHeight="1" thickBot="1" x14ac:dyDescent="0.25">
      <c r="A8" s="29"/>
      <c r="B8" s="30">
        <f>'Control Entry'!N29</f>
        <v>44876.464583333334</v>
      </c>
      <c r="C8" s="30">
        <f>'Control Entry'!O29</f>
        <v>44876.683333333334</v>
      </c>
      <c r="D8" s="31"/>
      <c r="E8" s="32" t="str">
        <f>IF(ISBLANK('Control Entry'!H29),"",'Control Entry'!H29)</f>
        <v>Royal Oak Burial Park</v>
      </c>
      <c r="F8" s="88" t="str">
        <f>IF(ISBLANK('Control Entry'!K29),"",'Control Entry'!K29)</f>
        <v/>
      </c>
      <c r="G8" s="87"/>
      <c r="H8" s="24" t="s">
        <v>29</v>
      </c>
      <c r="J8" s="15" t="s">
        <v>34</v>
      </c>
      <c r="L8" s="120"/>
      <c r="M8" s="120"/>
      <c r="N8" s="120"/>
      <c r="O8" s="120"/>
      <c r="P8" s="120"/>
      <c r="Q8" s="120"/>
      <c r="S8" s="41" t="s">
        <v>46</v>
      </c>
      <c r="T8" s="127"/>
      <c r="U8" s="127"/>
    </row>
    <row r="9" spans="1:22" ht="36" customHeight="1" thickBot="1" x14ac:dyDescent="0.3">
      <c r="A9" s="25"/>
      <c r="B9" s="26">
        <f>'Control Entry'!N30</f>
        <v>44876.490277777775</v>
      </c>
      <c r="C9" s="26">
        <f>'Control Entry'!O30</f>
        <v>44876.741666666661</v>
      </c>
      <c r="D9" s="33"/>
      <c r="E9" s="28" t="str">
        <f>IF(ISBLANK('Control Entry'!F30),"",'Control Entry'!F30)</f>
        <v>INFORMATION</v>
      </c>
      <c r="F9" s="84" t="str">
        <f>IF(ISBLANK('Control Entry'!I30),"",'Control Entry'!I30)</f>
        <v>Date on plaque:</v>
      </c>
      <c r="G9" s="85"/>
      <c r="H9" s="24" t="s">
        <v>29</v>
      </c>
      <c r="J9" s="15" t="s">
        <v>35</v>
      </c>
      <c r="K9" s="15"/>
      <c r="L9" s="136" t="s">
        <v>54</v>
      </c>
      <c r="M9" s="136"/>
      <c r="N9" s="136"/>
      <c r="O9" s="136"/>
      <c r="P9" s="136"/>
      <c r="Q9" s="136"/>
      <c r="R9" s="136"/>
      <c r="S9" s="136"/>
      <c r="T9" s="136"/>
      <c r="U9" s="136"/>
    </row>
    <row r="10" spans="1:22" ht="36" customHeight="1" thickBot="1" x14ac:dyDescent="0.3">
      <c r="A10" s="34">
        <f>IF(ISBLANK('Control Entry'!D30),"",'Control Entry'!D30)</f>
        <v>161.9</v>
      </c>
      <c r="B10" s="35">
        <f>'Control Entry'!N30</f>
        <v>44876.490277777775</v>
      </c>
      <c r="C10" s="35">
        <f>'Control Entry'!O30</f>
        <v>44876.741666666661</v>
      </c>
      <c r="D10" s="36" t="str">
        <f>IF(ISBLANK('Control Entry'!E30),"",'Control Entry'!E30)</f>
        <v>SIDNEY</v>
      </c>
      <c r="E10" s="48" t="str">
        <f>IF(ISBLANK('Control Entry'!G30),"",'Control Entry'!G30)</f>
        <v>CAF 'Star of Military' plaque</v>
      </c>
      <c r="F10" s="86" t="str">
        <f>IF(ISBLANK('Control Entry'!J30),"",'Control Entry'!J30)</f>
        <v>June ___,2007</v>
      </c>
      <c r="G10" s="85"/>
      <c r="H10" s="24" t="s">
        <v>29</v>
      </c>
      <c r="J10" s="15"/>
      <c r="K10" s="15"/>
      <c r="L10" s="129"/>
      <c r="M10" s="129"/>
      <c r="N10" s="129"/>
      <c r="O10" s="129"/>
      <c r="P10" s="129"/>
      <c r="Q10" s="129"/>
      <c r="R10" s="129"/>
      <c r="S10" s="129"/>
      <c r="T10" s="129"/>
      <c r="U10" s="129"/>
    </row>
    <row r="11" spans="1:22" ht="36" customHeight="1" thickBot="1" x14ac:dyDescent="0.3">
      <c r="A11" s="29"/>
      <c r="B11" s="30">
        <f>'Control Entry'!N30</f>
        <v>44876.490277777775</v>
      </c>
      <c r="C11" s="30">
        <f>'Control Entry'!O30</f>
        <v>44876.741666666661</v>
      </c>
      <c r="D11" s="31"/>
      <c r="E11" s="32" t="str">
        <f>IF(ISBLANK('Control Entry'!H30),"",'Control Entry'!H30)</f>
        <v>Beacon Park</v>
      </c>
      <c r="F11" s="88" t="str">
        <f>IF(ISBLANK('Control Entry'!K30),"",'Control Entry'!K30)</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f>'Control Entry'!N31</f>
        <v>44876.519444444442</v>
      </c>
      <c r="C12" s="26">
        <f>'Control Entry'!O31</f>
        <v>44876.808333333334</v>
      </c>
      <c r="D12" s="33"/>
      <c r="E12" s="28" t="str">
        <f>IF(ISBLANK('Control Entry'!F31),"",'Control Entry'!F31)</f>
        <v>INFORMATION</v>
      </c>
      <c r="F12" s="84" t="str">
        <f>IF(ISBLANK('Control Entry'!I31),"",'Control Entry'!I31)</f>
        <v>Year that the plaque was erected</v>
      </c>
      <c r="G12" s="85"/>
      <c r="H12" s="24" t="s">
        <v>29</v>
      </c>
      <c r="J12" s="15" t="s">
        <v>38</v>
      </c>
      <c r="K12" s="15"/>
      <c r="L12" s="129"/>
      <c r="M12" s="129"/>
      <c r="N12" s="129"/>
      <c r="O12" s="15"/>
      <c r="P12" s="15" t="s">
        <v>39</v>
      </c>
      <c r="Q12" s="15"/>
      <c r="R12" s="15"/>
      <c r="S12" s="117"/>
      <c r="T12" s="117"/>
      <c r="U12" s="117"/>
    </row>
    <row r="13" spans="1:22" ht="36" customHeight="1" thickBot="1" x14ac:dyDescent="0.3">
      <c r="A13" s="34">
        <f>IF(ISBLANK('Control Entry'!D31),"",'Control Entry'!D31)</f>
        <v>186.1</v>
      </c>
      <c r="B13" s="35">
        <f>'Control Entry'!N31</f>
        <v>44876.519444444442</v>
      </c>
      <c r="C13" s="35">
        <f>'Control Entry'!O31</f>
        <v>44876.808333333334</v>
      </c>
      <c r="D13" s="36" t="str">
        <f>IF(ISBLANK('Control Entry'!E31),"",'Control Entry'!E31)</f>
        <v xml:space="preserve">SAANICH </v>
      </c>
      <c r="E13" s="28" t="str">
        <f>IF(ISBLANK('Control Entry'!G31),"",'Control Entry'!G31)</f>
        <v>Memorial Trees plaque</v>
      </c>
      <c r="F13" s="84" t="str">
        <f>IF(ISBLANK('Control Entry'!J31),"",'Control Entry'!J31)</f>
        <v>19___</v>
      </c>
      <c r="G13" s="85"/>
      <c r="H13" s="24" t="s">
        <v>29</v>
      </c>
      <c r="J13" s="15" t="s">
        <v>40</v>
      </c>
      <c r="L13" s="139"/>
      <c r="M13" s="139"/>
      <c r="N13" s="139"/>
      <c r="P13" s="15" t="s">
        <v>41</v>
      </c>
      <c r="Q13" s="15"/>
      <c r="R13" s="118"/>
      <c r="S13" s="118"/>
      <c r="T13" s="118"/>
      <c r="U13" s="118"/>
    </row>
    <row r="14" spans="1:22" ht="36" customHeight="1" thickBot="1" x14ac:dyDescent="0.25">
      <c r="A14" s="29"/>
      <c r="B14" s="30">
        <f>'Control Entry'!N31</f>
        <v>44876.519444444442</v>
      </c>
      <c r="C14" s="30">
        <f>'Control Entry'!O31</f>
        <v>44876.808333333334</v>
      </c>
      <c r="D14" s="31"/>
      <c r="E14" s="32" t="str">
        <f>IF(ISBLANK('Control Entry'!H31),"",'Control Entry'!H31)</f>
        <v>Shelbourne Ave centre median</v>
      </c>
      <c r="F14" s="88" t="str">
        <f>IF(ISBLANK('Control Entry'!K31),"",'Control Entry'!K31)</f>
        <v/>
      </c>
      <c r="G14" s="87"/>
      <c r="H14" s="24" t="s">
        <v>29</v>
      </c>
    </row>
    <row r="15" spans="1:22" ht="36" customHeight="1" x14ac:dyDescent="0.2">
      <c r="A15" s="25"/>
      <c r="B15" s="26">
        <f>'Control Entry'!N32</f>
        <v>44876.534027777772</v>
      </c>
      <c r="C15" s="26">
        <f>'Control Entry'!O32</f>
        <v>44876.840277777774</v>
      </c>
      <c r="D15" s="33"/>
      <c r="E15" s="28" t="str">
        <f>IF(ISBLANK('Control Entry'!F32),"",'Control Entry'!F32)</f>
        <v>INFORMATION</v>
      </c>
      <c r="F15" s="84" t="str">
        <f>IF(ISBLANK('Control Entry'!I32),"",'Control Entry'!I32)</f>
        <v xml:space="preserve">Bottom name on right: </v>
      </c>
      <c r="G15" s="85"/>
      <c r="H15" s="24" t="s">
        <v>29</v>
      </c>
      <c r="J15" s="15"/>
      <c r="L15" s="133" t="s">
        <v>58</v>
      </c>
      <c r="M15" s="133"/>
      <c r="N15" s="133"/>
      <c r="O15" s="133"/>
      <c r="P15" s="133"/>
      <c r="Q15" s="133"/>
      <c r="R15" s="133"/>
      <c r="S15" s="133"/>
      <c r="T15" s="133"/>
      <c r="U15" s="133"/>
    </row>
    <row r="16" spans="1:22" ht="36" customHeight="1" thickBot="1" x14ac:dyDescent="0.25">
      <c r="A16" s="34">
        <f>IF(ISBLANK('Control Entry'!D32),"",'Control Entry'!D32)</f>
        <v>197.6</v>
      </c>
      <c r="B16" s="35">
        <f>'Control Entry'!N32</f>
        <v>44876.534027777772</v>
      </c>
      <c r="C16" s="35">
        <f>'Control Entry'!O32</f>
        <v>44876.840277777774</v>
      </c>
      <c r="D16" s="36" t="str">
        <f>IF(ISBLANK('Control Entry'!E32),"",'Control Entry'!E32)</f>
        <v>VICTORIA</v>
      </c>
      <c r="E16" s="28" t="str">
        <f>IF(ISBLANK('Control Entry'!G32),"",'Control Entry'!G32)</f>
        <v>Chinese War Memorial</v>
      </c>
      <c r="F16" s="84" t="str">
        <f>IF(ISBLANK('Control Entry'!J32),"",'Control Entry'!J32)</f>
        <v>Yuen,______</v>
      </c>
      <c r="G16" s="85"/>
      <c r="H16" s="24" t="s">
        <v>29</v>
      </c>
      <c r="L16" s="137"/>
      <c r="M16" s="137"/>
      <c r="N16" s="137"/>
      <c r="O16" s="137"/>
      <c r="P16" s="137"/>
      <c r="Q16" s="137"/>
      <c r="R16" s="137"/>
      <c r="S16" s="137"/>
      <c r="T16" s="137"/>
      <c r="U16" s="137"/>
    </row>
    <row r="17" spans="1:22" ht="36" customHeight="1" thickBot="1" x14ac:dyDescent="0.25">
      <c r="A17" s="29"/>
      <c r="B17" s="30">
        <f>'Control Entry'!N32</f>
        <v>44876.534027777772</v>
      </c>
      <c r="C17" s="30">
        <f>'Control Entry'!O32</f>
        <v>44876.840277777774</v>
      </c>
      <c r="D17" s="31"/>
      <c r="E17" s="32" t="str">
        <f>IF(ISBLANK('Control Entry'!H32),"",'Control Entry'!H32)</f>
        <v>Gate of Harmonious Interest</v>
      </c>
      <c r="F17" s="88" t="str">
        <f>IF(ISBLANK('Control Entry'!K32),"",'Control Entry'!K32)</f>
        <v/>
      </c>
      <c r="G17" s="87"/>
      <c r="H17" s="24" t="s">
        <v>29</v>
      </c>
    </row>
    <row r="18" spans="1:22" ht="36" customHeight="1" x14ac:dyDescent="0.2">
      <c r="A18" s="25"/>
      <c r="B18" s="26">
        <f>'Control Entry'!N33</f>
        <v>44876.535416666666</v>
      </c>
      <c r="C18" s="26">
        <f>'Control Entry'!O33</f>
        <v>44876.844444444439</v>
      </c>
      <c r="D18" s="33"/>
      <c r="E18" s="28" t="str">
        <f>IF(ISBLANK('Control Entry'!F33),"",'Control Entry'!F33)</f>
        <v>INFORMATION</v>
      </c>
      <c r="F18" s="84" t="str">
        <f>IF(ISBLANK('Control Entry'!I33),"",'Control Entry'!I33)</f>
        <v>What is in statue's left hand?</v>
      </c>
      <c r="G18" s="85"/>
      <c r="H18" s="24" t="s">
        <v>29</v>
      </c>
    </row>
    <row r="19" spans="1:22" ht="36" customHeight="1" x14ac:dyDescent="0.2">
      <c r="A19" s="34">
        <f>IF(ISBLANK('Control Entry'!D33),"",'Control Entry'!D33)</f>
        <v>199</v>
      </c>
      <c r="B19" s="35">
        <f>'Control Entry'!N33</f>
        <v>44876.535416666666</v>
      </c>
      <c r="C19" s="35">
        <f>'Control Entry'!O33</f>
        <v>44876.844444444439</v>
      </c>
      <c r="D19" s="36" t="str">
        <f>IF(ISBLANK('Control Entry'!E33),"",'Control Entry'!E33)</f>
        <v>VICTORIA</v>
      </c>
      <c r="E19" s="28" t="str">
        <f>IF(ISBLANK('Control Entry'!G33),"",'Control Entry'!G33)</f>
        <v>Spirit of the Republic</v>
      </c>
      <c r="F19" s="84" t="str">
        <f>IF(ISBLANK('Control Entry'!J33),"",'Control Entry'!J33)</f>
        <v>__________</v>
      </c>
      <c r="G19" s="85"/>
      <c r="H19" s="24" t="s">
        <v>29</v>
      </c>
    </row>
    <row r="20" spans="1:22" ht="36" customHeight="1" thickBot="1" x14ac:dyDescent="0.25">
      <c r="A20" s="29"/>
      <c r="B20" s="30">
        <f>'Control Entry'!N33</f>
        <v>44876.535416666666</v>
      </c>
      <c r="C20" s="30">
        <f>'Control Entry'!O33</f>
        <v>44876.844444444439</v>
      </c>
      <c r="D20" s="31"/>
      <c r="E20" s="32" t="str">
        <f>IF(ISBLANK('Control Entry'!H33),"",'Control Entry'!H33)</f>
        <v>Confederation Garden Court</v>
      </c>
      <c r="F20" s="88" t="str">
        <f>IF(ISBLANK('Control Entry'!K33),"",'Control Entry'!K33)</f>
        <v/>
      </c>
      <c r="G20" s="87"/>
      <c r="H20" s="24" t="s">
        <v>29</v>
      </c>
      <c r="J20" s="50" t="s">
        <v>44</v>
      </c>
      <c r="K20" s="50"/>
      <c r="L20" s="140">
        <f>IF(ISBLANK('Control Entry'!B12),"",'Control Entry'!B12)</f>
        <v>44876</v>
      </c>
      <c r="M20" s="140"/>
      <c r="N20" s="140"/>
      <c r="P20" s="15" t="s">
        <v>0</v>
      </c>
      <c r="Q20" s="15"/>
      <c r="S20" s="132">
        <f>IF(ISBLANK('Control Entry'!B13),"",'Control Entry'!B13)</f>
        <v>0.29166666666666669</v>
      </c>
      <c r="T20" s="132"/>
      <c r="U20" s="132"/>
    </row>
    <row r="21" spans="1:22" ht="36" customHeight="1" x14ac:dyDescent="0.2">
      <c r="A21" s="25"/>
      <c r="B21" s="26">
        <f>'Control Entry'!N34</f>
        <v>44876.538194444445</v>
      </c>
      <c r="C21" s="26">
        <f>'Control Entry'!O34</f>
        <v>44876.854166666664</v>
      </c>
      <c r="D21" s="33"/>
      <c r="E21" s="28" t="str">
        <f>IF(ISBLANK('Control Entry'!F34),"",'Control Entry'!F34)</f>
        <v>SELF CHECK</v>
      </c>
      <c r="F21" s="84" t="str">
        <f>IF(ISBLANK('Control Entry'!I34),"",'Control Entry'!I34)</f>
        <v>Take selfie at  totem pole or send GPS track ie: Strava</v>
      </c>
      <c r="G21" s="85"/>
      <c r="H21" s="24" t="s">
        <v>29</v>
      </c>
      <c r="J21" s="134" t="s">
        <v>90</v>
      </c>
      <c r="K21" s="134"/>
      <c r="L21" s="134"/>
      <c r="M21" s="134"/>
      <c r="N21" s="134"/>
      <c r="O21" s="134"/>
      <c r="P21" s="134"/>
      <c r="Q21" s="134"/>
      <c r="R21" s="134"/>
      <c r="S21" s="134"/>
      <c r="T21" s="134"/>
      <c r="U21" s="134"/>
    </row>
    <row r="22" spans="1:22" ht="36" customHeight="1" thickBot="1" x14ac:dyDescent="0.25">
      <c r="A22" s="34">
        <f>IF(ISBLANK('Control Entry'!D34),"",'Control Entry'!D34)</f>
        <v>201.2</v>
      </c>
      <c r="B22" s="35">
        <f>'Control Entry'!N34</f>
        <v>44876.538194444445</v>
      </c>
      <c r="C22" s="35">
        <f>'Control Entry'!O34</f>
        <v>44876.854166666664</v>
      </c>
      <c r="D22" s="36" t="str">
        <f>IF(ISBLANK('Control Entry'!E34),"",'Control Entry'!E34)</f>
        <v>VICTORIA</v>
      </c>
      <c r="E22" s="28" t="str">
        <f>IF(ISBLANK('Control Entry'!G34),"",'Control Entry'!G34)</f>
        <v>BC Indians War Memorial</v>
      </c>
      <c r="F22" s="84" t="str">
        <f>IF(ISBLANK('Control Entry'!J34),"",'Control Entry'!J34)</f>
        <v/>
      </c>
      <c r="G22" s="85"/>
      <c r="H22" s="24" t="s">
        <v>29</v>
      </c>
      <c r="J22" s="50" t="s">
        <v>45</v>
      </c>
      <c r="K22" s="50"/>
      <c r="L22" s="138"/>
      <c r="M22" s="138"/>
      <c r="N22" s="138"/>
      <c r="P22" s="15" t="s">
        <v>1</v>
      </c>
      <c r="Q22" s="15"/>
      <c r="S22" s="135"/>
      <c r="T22" s="135"/>
      <c r="U22" s="135"/>
    </row>
    <row r="23" spans="1:22" ht="36" customHeight="1" thickBot="1" x14ac:dyDescent="0.25">
      <c r="A23" s="29"/>
      <c r="B23" s="30">
        <f>'Control Entry'!N34</f>
        <v>44876.538194444445</v>
      </c>
      <c r="C23" s="30">
        <f>'Control Entry'!O34</f>
        <v>44876.854166666664</v>
      </c>
      <c r="D23" s="31"/>
      <c r="E23" s="32" t="str">
        <f>IF(ISBLANK('Control Entry'!H34),"",'Control Entry'!H34)</f>
        <v>Beacon Hill Park</v>
      </c>
      <c r="F23" s="88" t="str">
        <f>IF(ISBLANK('Control Entry'!K34),"",'Control Entry'!K34)</f>
        <v/>
      </c>
      <c r="G23" s="87"/>
      <c r="H23" s="24" t="s">
        <v>29</v>
      </c>
      <c r="J23" s="50"/>
      <c r="K23" s="50"/>
      <c r="L23" s="44"/>
      <c r="M23" s="44"/>
      <c r="N23" s="44"/>
      <c r="P23" s="15"/>
      <c r="Q23" s="15"/>
    </row>
    <row r="24" spans="1:22" ht="36" customHeight="1" thickBot="1" x14ac:dyDescent="0.25">
      <c r="A24" s="25"/>
      <c r="B24" s="26" t="str">
        <f>'Control Entry'!N35</f>
        <v/>
      </c>
      <c r="C24" s="26" t="str">
        <f>'Control Entry'!O35</f>
        <v/>
      </c>
      <c r="D24" s="33"/>
      <c r="E24" s="28" t="str">
        <f>IF(ISBLANK('Control Entry'!F35),"",'Control Entry'!F35)</f>
        <v/>
      </c>
      <c r="F24" s="84" t="str">
        <f>IF(ISBLANK('Control Entry'!I35),"",'Control Entry'!I35)</f>
        <v/>
      </c>
      <c r="G24" s="85"/>
      <c r="H24" s="24" t="s">
        <v>29</v>
      </c>
      <c r="J24" s="135"/>
      <c r="K24" s="135"/>
      <c r="L24" s="135"/>
      <c r="M24" s="135"/>
      <c r="N24" s="135"/>
      <c r="P24" s="15" t="s">
        <v>2</v>
      </c>
      <c r="Q24" s="15"/>
      <c r="S24" s="135"/>
      <c r="T24" s="135"/>
      <c r="U24" s="135"/>
    </row>
    <row r="25" spans="1:22" ht="36" customHeight="1" x14ac:dyDescent="0.2">
      <c r="A25" s="34" t="str">
        <f>IF(ISBLANK('Control Entry'!D35),"",'Control Entry'!D35)</f>
        <v/>
      </c>
      <c r="B25" s="35" t="str">
        <f>'Control Entry'!N35</f>
        <v/>
      </c>
      <c r="C25" s="35" t="str">
        <f>'Control Entry'!O35</f>
        <v/>
      </c>
      <c r="D25" s="36" t="str">
        <f>IF(ISBLANK('Control Entry'!E35),"",'Control Entry'!E35)</f>
        <v/>
      </c>
      <c r="E25" s="28" t="str">
        <f>IF(ISBLANK('Control Entry'!G35),"",'Control Entry'!G35)</f>
        <v/>
      </c>
      <c r="F25" s="84" t="str">
        <f>IF(ISBLANK('Control Entry'!J35),"",'Control Entry'!J35)</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Entry'!N35</f>
        <v/>
      </c>
      <c r="C26" s="30" t="str">
        <f>'Control Entry'!O35</f>
        <v/>
      </c>
      <c r="D26" s="31"/>
      <c r="E26" s="32" t="str">
        <f>IF(ISBLANK('Control Entry'!H35),"",'Control Entry'!H35)</f>
        <v/>
      </c>
      <c r="F26" s="88" t="str">
        <f>IF(ISBLANK('Control Entry'!K35),"",'Control Entry'!K35)</f>
        <v/>
      </c>
      <c r="G26" s="87"/>
      <c r="H26" s="24" t="s">
        <v>29</v>
      </c>
    </row>
    <row r="27" spans="1:22" ht="36" customHeight="1" x14ac:dyDescent="0.2">
      <c r="A27" s="25"/>
      <c r="B27" s="26" t="str">
        <f>'Control Entry'!N36</f>
        <v/>
      </c>
      <c r="C27" s="26" t="str">
        <f>'Control Entry'!O36</f>
        <v/>
      </c>
      <c r="D27" s="33"/>
      <c r="E27" s="28" t="str">
        <f>IF(ISBLANK('Control Entry'!F36),"",'Control Entry'!F36)</f>
        <v/>
      </c>
      <c r="F27" s="84" t="str">
        <f>IF(ISBLANK('Control Entry'!I36),"",'Control Entry'!I36)</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Entry'!D36),"",'Control Entry'!D36)</f>
        <v/>
      </c>
      <c r="B28" s="35" t="str">
        <f>'Control Entry'!N36</f>
        <v/>
      </c>
      <c r="C28" s="35" t="str">
        <f>'Control Entry'!O36</f>
        <v/>
      </c>
      <c r="D28" s="36" t="str">
        <f>IF(ISBLANK('Control Entry'!E36),"",'Control Entry'!E36)</f>
        <v>SECRET</v>
      </c>
      <c r="E28" s="28" t="str">
        <f>IF(ISBLANK('Control Entry'!G36),"",'Control Entry'!G36)</f>
        <v/>
      </c>
      <c r="F28" s="84" t="str">
        <f>IF(ISBLANK('Control Entry'!J36),"",'Control Entry'!J36)</f>
        <v/>
      </c>
      <c r="G28" s="85"/>
      <c r="H28" s="24" t="s">
        <v>29</v>
      </c>
    </row>
    <row r="29" spans="1:22" ht="36" customHeight="1" thickBot="1" x14ac:dyDescent="0.25">
      <c r="A29" s="29"/>
      <c r="B29" s="30" t="str">
        <f>'Control Entry'!N36</f>
        <v/>
      </c>
      <c r="C29" s="30" t="str">
        <f>'Control Entry'!O36</f>
        <v/>
      </c>
      <c r="D29" s="31"/>
      <c r="E29" s="32" t="str">
        <f>IF(ISBLANK('Control Entry'!H36),"",'Control Entry'!H36)</f>
        <v/>
      </c>
      <c r="F29" s="88" t="str">
        <f>IF(ISBLANK('Control Entry'!K36),"",'Control Entry'!K36)</f>
        <v/>
      </c>
      <c r="G29" s="87"/>
      <c r="H29" s="24" t="s">
        <v>29</v>
      </c>
      <c r="M29" s="108" t="s">
        <v>42</v>
      </c>
      <c r="N29" s="108"/>
      <c r="O29" s="108"/>
      <c r="P29" s="108"/>
      <c r="Q29" s="108"/>
      <c r="R29" s="108"/>
      <c r="S29" s="108"/>
      <c r="T29" s="108"/>
      <c r="U29" s="49"/>
    </row>
    <row r="30" spans="1:22" ht="36" customHeight="1" x14ac:dyDescent="0.2">
      <c r="A30" s="25"/>
      <c r="B30" s="26" t="str">
        <f>'Control Entry'!N37</f>
        <v/>
      </c>
      <c r="C30" s="26" t="str">
        <f>'Control Entry'!O37</f>
        <v/>
      </c>
      <c r="D30" s="33"/>
      <c r="E30" s="28" t="str">
        <f>IF(ISBLANK('Control Entry'!F37),"",'Control Entry'!F37)</f>
        <v/>
      </c>
      <c r="F30" s="84" t="str">
        <f>IF(ISBLANK('Control Entry'!I37),"",'Control Entry'!I37)</f>
        <v/>
      </c>
      <c r="G30" s="85"/>
      <c r="H30" s="24" t="s">
        <v>29</v>
      </c>
      <c r="M30" s="16"/>
      <c r="N30" s="18"/>
      <c r="O30" s="18"/>
      <c r="P30" s="19"/>
      <c r="Q30" s="16"/>
      <c r="R30" s="18"/>
      <c r="S30" s="18"/>
      <c r="T30" s="19"/>
    </row>
    <row r="31" spans="1:22" ht="36" customHeight="1" x14ac:dyDescent="0.2">
      <c r="A31" s="34" t="str">
        <f>IF(ISBLANK('Control Entry'!D37),"",'Control Entry'!D37)</f>
        <v/>
      </c>
      <c r="B31" s="35" t="str">
        <f>'Control Entry'!N37</f>
        <v/>
      </c>
      <c r="C31" s="35" t="str">
        <f>'Control Entry'!O37</f>
        <v/>
      </c>
      <c r="D31" s="36" t="str">
        <f>IF(ISBLANK('Control Entry'!E37),"",'Control Entry'!E37)</f>
        <v/>
      </c>
      <c r="E31" s="28" t="str">
        <f>IF(ISBLANK('Control Entry'!G37),"",'Control Entry'!G37)</f>
        <v/>
      </c>
      <c r="F31" s="84" t="str">
        <f>IF(ISBLANK('Control Entry'!J37),"",'Control Entry'!J37)</f>
        <v/>
      </c>
      <c r="G31" s="85"/>
      <c r="H31" s="24" t="s">
        <v>29</v>
      </c>
      <c r="M31" s="17"/>
      <c r="P31" s="20"/>
      <c r="Q31" s="17"/>
      <c r="T31" s="20"/>
    </row>
    <row r="32" spans="1:22" ht="36" customHeight="1" thickBot="1" x14ac:dyDescent="0.25">
      <c r="A32" s="29"/>
      <c r="B32" s="30" t="str">
        <f>'Control Entry'!N37</f>
        <v/>
      </c>
      <c r="C32" s="30" t="str">
        <f>'Control Entry'!O37</f>
        <v/>
      </c>
      <c r="D32" s="31"/>
      <c r="E32" s="32" t="str">
        <f>IF(ISBLANK('Control Entry'!H37),"",'Control Entry'!H37)</f>
        <v/>
      </c>
      <c r="F32" s="88" t="str">
        <f>IF(ISBLANK('Control Entry'!K37),"",'Control Entry'!K37)</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9"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t="str">
        <f>'Control Entry'!N41</f>
        <v/>
      </c>
      <c r="C3" s="26" t="str">
        <f>'Control Entry'!O41</f>
        <v/>
      </c>
      <c r="D3" s="27"/>
      <c r="E3" s="28" t="str">
        <f>IF(ISBLANK('Control Entry'!F41),"",'Control Entry'!F41)</f>
        <v/>
      </c>
      <c r="F3" s="84" t="str">
        <f>IF(ISBLANK('Control Entry'!I41),"",'Control Entry'!I41)</f>
        <v/>
      </c>
      <c r="G3" s="85"/>
      <c r="H3" s="24" t="s">
        <v>29</v>
      </c>
      <c r="K3" s="14"/>
      <c r="O3" s="131" t="s">
        <v>73</v>
      </c>
      <c r="P3" s="131"/>
      <c r="Q3" s="131"/>
      <c r="R3" s="131"/>
      <c r="S3" s="75" t="str">
        <f>IF('Control Entry'!D41&lt;&gt;0,"#3",IF(AND('Control Entry'!D41=0,'Control Entry'!D54&lt;&gt;0),"#1",""))</f>
        <v/>
      </c>
      <c r="T3" s="76"/>
      <c r="U3" s="38"/>
    </row>
    <row r="4" spans="1:22" ht="36" customHeight="1" x14ac:dyDescent="0.2">
      <c r="A4" s="34" t="str">
        <f>IF(ISBLANK('Control Entry'!D41),"",'Control Entry'!D41)</f>
        <v/>
      </c>
      <c r="B4" s="35" t="str">
        <f>'Control Entry'!N41</f>
        <v/>
      </c>
      <c r="C4" s="35" t="str">
        <f>'Control Entry'!O41</f>
        <v/>
      </c>
      <c r="D4" s="36" t="str">
        <f>IF(ISBLANK('Control Entry'!E41),"",'Control Entry'!E41)</f>
        <v/>
      </c>
      <c r="E4" s="28" t="str">
        <f>IF(ISBLANK('Control Entry'!G41),"",'Control Entry'!G41)</f>
        <v/>
      </c>
      <c r="F4" s="84" t="str">
        <f>IF(ISBLANK('Control Entry'!J41),"",'Control Entry'!J41)</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t="str">
        <f>'Control Entry'!N41</f>
        <v/>
      </c>
      <c r="C5" s="30" t="str">
        <f>'Control Entry'!O41</f>
        <v/>
      </c>
      <c r="D5" s="31"/>
      <c r="E5" s="32" t="str">
        <f>IF(ISBLANK('Control Entry'!H41),"",'Control Entry'!H41)</f>
        <v/>
      </c>
      <c r="F5" s="88" t="str">
        <f>IF(ISBLANK('Control Entry'!K41),"",'Control Entry'!K41)</f>
        <v/>
      </c>
      <c r="G5" s="87"/>
      <c r="H5" s="24" t="s">
        <v>29</v>
      </c>
      <c r="K5" s="14"/>
      <c r="M5" s="15"/>
      <c r="N5" s="107" t="s">
        <v>47</v>
      </c>
      <c r="O5" s="107"/>
      <c r="P5" s="52">
        <f>IF(ISBLANK(Brevet_Number),"",Brevet_Number)</f>
        <v>5236</v>
      </c>
      <c r="Q5" s="53"/>
      <c r="R5" s="119">
        <f>IF(ISBLANK('Control Entry'!$B10),"",'Control Entry'!$B10)</f>
        <v>44876</v>
      </c>
      <c r="S5" s="119"/>
      <c r="T5" s="119"/>
      <c r="U5" s="119"/>
      <c r="V5" s="40"/>
    </row>
    <row r="6" spans="1:22" ht="36" customHeight="1" x14ac:dyDescent="0.2">
      <c r="A6" s="25"/>
      <c r="B6" s="26" t="str">
        <f>'Control Entry'!N42</f>
        <v/>
      </c>
      <c r="C6" s="26" t="str">
        <f>'Control Entry'!O42</f>
        <v/>
      </c>
      <c r="D6" s="33"/>
      <c r="E6" s="28" t="str">
        <f>IF(ISBLANK('Control Entry'!F42),"",'Control Entry'!F42)</f>
        <v/>
      </c>
      <c r="F6" s="84" t="str">
        <f>IF(ISBLANK('Control Entry'!I42),"",'Control Entry'!I42)</f>
        <v/>
      </c>
      <c r="G6" s="85"/>
      <c r="H6" s="24" t="s">
        <v>29</v>
      </c>
      <c r="K6" s="14"/>
      <c r="L6" s="134" t="str">
        <f>IF(ISBLANK(Brevet_Description),"",Brevet_Description)</f>
        <v>Remembrance Day 2022</v>
      </c>
      <c r="M6" s="134"/>
      <c r="N6" s="134"/>
      <c r="O6" s="134"/>
      <c r="P6" s="134"/>
      <c r="Q6" s="134"/>
      <c r="R6" s="134"/>
      <c r="S6" s="134"/>
      <c r="T6" s="134"/>
      <c r="U6" s="134"/>
    </row>
    <row r="7" spans="1:22" ht="36" customHeight="1" x14ac:dyDescent="0.2">
      <c r="A7" s="34" t="str">
        <f>IF(ISBLANK('Control Entry'!D42),"",'Control Entry'!D42)</f>
        <v/>
      </c>
      <c r="B7" s="35" t="str">
        <f>'Control Entry'!N42</f>
        <v/>
      </c>
      <c r="C7" s="35" t="str">
        <f>'Control Entry'!O42</f>
        <v/>
      </c>
      <c r="D7" s="36" t="str">
        <f>IF(ISBLANK('Control Entry'!E42),"",'Control Entry'!E42)</f>
        <v/>
      </c>
      <c r="E7" s="28" t="str">
        <f>IF(ISBLANK('Control Entry'!G42),"",'Control Entry'!G42)</f>
        <v/>
      </c>
      <c r="F7" s="84" t="str">
        <f>IF(ISBLANK('Control Entry'!J42),"",'Control Entry'!J42)</f>
        <v/>
      </c>
      <c r="G7" s="85"/>
      <c r="H7" s="24" t="s">
        <v>29</v>
      </c>
    </row>
    <row r="8" spans="1:22" ht="36" customHeight="1" thickBot="1" x14ac:dyDescent="0.25">
      <c r="A8" s="29"/>
      <c r="B8" s="30" t="str">
        <f>'Control Entry'!N42</f>
        <v/>
      </c>
      <c r="C8" s="30" t="str">
        <f>'Control Entry'!O42</f>
        <v/>
      </c>
      <c r="D8" s="31"/>
      <c r="E8" s="32" t="str">
        <f>IF(ISBLANK('Control Entry'!H42),"",'Control Entry'!H42)</f>
        <v/>
      </c>
      <c r="F8" s="88" t="str">
        <f>IF(ISBLANK('Control Entry'!K42),"",'Control Entry'!K42)</f>
        <v/>
      </c>
      <c r="G8" s="87"/>
      <c r="H8" s="24" t="s">
        <v>29</v>
      </c>
      <c r="J8" s="15" t="s">
        <v>34</v>
      </c>
      <c r="L8" s="120"/>
      <c r="M8" s="120"/>
      <c r="N8" s="120"/>
      <c r="O8" s="120"/>
      <c r="P8" s="120"/>
      <c r="Q8" s="120"/>
      <c r="S8" s="41" t="s">
        <v>46</v>
      </c>
      <c r="T8" s="127"/>
      <c r="U8" s="127"/>
    </row>
    <row r="9" spans="1:22" ht="36" customHeight="1" thickBot="1" x14ac:dyDescent="0.3">
      <c r="A9" s="25"/>
      <c r="B9" s="26" t="str">
        <f>'Control Entry'!N43</f>
        <v/>
      </c>
      <c r="C9" s="26" t="str">
        <f>'Control Entry'!O43</f>
        <v/>
      </c>
      <c r="D9" s="33"/>
      <c r="E9" s="28" t="str">
        <f>IF(ISBLANK('Control Entry'!F43),"",'Control Entry'!F43)</f>
        <v/>
      </c>
      <c r="F9" s="84" t="str">
        <f>IF(ISBLANK('Control Entry'!I43),"",'Control Entry'!I43)</f>
        <v/>
      </c>
      <c r="G9" s="85"/>
      <c r="H9" s="24" t="s">
        <v>29</v>
      </c>
      <c r="J9" s="15" t="s">
        <v>35</v>
      </c>
      <c r="K9" s="15"/>
      <c r="L9" s="136" t="s">
        <v>54</v>
      </c>
      <c r="M9" s="136"/>
      <c r="N9" s="136"/>
      <c r="O9" s="136"/>
      <c r="P9" s="136"/>
      <c r="Q9" s="136"/>
      <c r="R9" s="136"/>
      <c r="S9" s="136"/>
      <c r="T9" s="136"/>
      <c r="U9" s="136"/>
    </row>
    <row r="10" spans="1:22" ht="36" customHeight="1" thickBot="1" x14ac:dyDescent="0.3">
      <c r="A10" s="34" t="str">
        <f>IF(ISBLANK('Control Entry'!D43),"",'Control Entry'!D43)</f>
        <v/>
      </c>
      <c r="B10" s="35" t="str">
        <f>'Control Entry'!N43</f>
        <v/>
      </c>
      <c r="C10" s="35" t="str">
        <f>'Control Entry'!O43</f>
        <v/>
      </c>
      <c r="D10" s="36" t="str">
        <f>IF(ISBLANK('Control Entry'!E43),"",'Control Entry'!E43)</f>
        <v/>
      </c>
      <c r="E10" s="28" t="str">
        <f>IF(ISBLANK('Control Entry'!G43),"",'Control Entry'!G43)</f>
        <v/>
      </c>
      <c r="F10" s="84" t="str">
        <f>IF(ISBLANK('Control Entry'!J43),"",'Control Entry'!J43)</f>
        <v/>
      </c>
      <c r="G10" s="85"/>
      <c r="H10" s="24" t="s">
        <v>29</v>
      </c>
      <c r="J10" s="15"/>
      <c r="K10" s="15"/>
      <c r="L10" s="129"/>
      <c r="M10" s="129"/>
      <c r="N10" s="129"/>
      <c r="O10" s="129"/>
      <c r="P10" s="129"/>
      <c r="Q10" s="129"/>
      <c r="R10" s="129"/>
      <c r="S10" s="129"/>
      <c r="T10" s="129"/>
      <c r="U10" s="129"/>
    </row>
    <row r="11" spans="1:22" ht="36" customHeight="1" thickBot="1" x14ac:dyDescent="0.3">
      <c r="A11" s="29"/>
      <c r="B11" s="30" t="str">
        <f>'Control Entry'!N43</f>
        <v/>
      </c>
      <c r="C11" s="30" t="str">
        <f>'Control Entry'!O43</f>
        <v/>
      </c>
      <c r="D11" s="31"/>
      <c r="E11" s="32" t="str">
        <f>IF(ISBLANK('Control Entry'!H43),"",'Control Entry'!H43)</f>
        <v/>
      </c>
      <c r="F11" s="88" t="str">
        <f>IF(ISBLANK('Control Entry'!K43),"",'Control Entry'!K43)</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t="str">
        <f>'Control Entry'!N44</f>
        <v/>
      </c>
      <c r="C12" s="26" t="str">
        <f>'Control Entry'!O44</f>
        <v/>
      </c>
      <c r="D12" s="33"/>
      <c r="E12" s="28" t="str">
        <f>IF(ISBLANK('Control Entry'!F44),"",'Control Entry'!F44)</f>
        <v/>
      </c>
      <c r="F12" s="84" t="str">
        <f>IF(ISBLANK('Control Entry'!I44),"",'Control Entry'!I44)</f>
        <v/>
      </c>
      <c r="G12" s="85"/>
      <c r="H12" s="24" t="s">
        <v>29</v>
      </c>
      <c r="J12" s="15" t="s">
        <v>38</v>
      </c>
      <c r="K12" s="15"/>
      <c r="L12" s="129"/>
      <c r="M12" s="129"/>
      <c r="N12" s="129"/>
      <c r="O12" s="15"/>
      <c r="P12" s="15" t="s">
        <v>39</v>
      </c>
      <c r="Q12" s="15"/>
      <c r="R12" s="15"/>
      <c r="S12" s="117"/>
      <c r="T12" s="117"/>
      <c r="U12" s="117"/>
    </row>
    <row r="13" spans="1:22" ht="36" customHeight="1" thickBot="1" x14ac:dyDescent="0.3">
      <c r="A13" s="34" t="str">
        <f>IF(ISBLANK('Control Entry'!D44),"",'Control Entry'!D44)</f>
        <v/>
      </c>
      <c r="B13" s="35" t="str">
        <f>'Control Entry'!N44</f>
        <v/>
      </c>
      <c r="C13" s="35" t="str">
        <f>'Control Entry'!O44</f>
        <v/>
      </c>
      <c r="D13" s="36" t="str">
        <f>IF(ISBLANK('Control Entry'!E44),"",'Control Entry'!E44)</f>
        <v/>
      </c>
      <c r="E13" s="28" t="str">
        <f>IF(ISBLANK('Control Entry'!G44),"",'Control Entry'!G44)</f>
        <v/>
      </c>
      <c r="F13" s="84" t="str">
        <f>IF(ISBLANK('Control Entry'!J44),"",'Control Entry'!J44)</f>
        <v/>
      </c>
      <c r="G13" s="85"/>
      <c r="H13" s="24" t="s">
        <v>29</v>
      </c>
      <c r="J13" s="15" t="s">
        <v>40</v>
      </c>
      <c r="L13" s="139"/>
      <c r="M13" s="139"/>
      <c r="N13" s="139"/>
      <c r="P13" s="15" t="s">
        <v>41</v>
      </c>
      <c r="Q13" s="15"/>
      <c r="R13" s="118"/>
      <c r="S13" s="118"/>
      <c r="T13" s="118"/>
      <c r="U13" s="118"/>
    </row>
    <row r="14" spans="1:22" ht="36" customHeight="1" thickBot="1" x14ac:dyDescent="0.25">
      <c r="A14" s="29"/>
      <c r="B14" s="30" t="str">
        <f>'Control Entry'!N44</f>
        <v/>
      </c>
      <c r="C14" s="30" t="str">
        <f>'Control Entry'!O44</f>
        <v/>
      </c>
      <c r="D14" s="31"/>
      <c r="E14" s="32" t="str">
        <f>IF(ISBLANK('Control Entry'!H44),"",'Control Entry'!H44)</f>
        <v/>
      </c>
      <c r="F14" s="88" t="str">
        <f>IF(ISBLANK('Control Entry'!K44),"",'Control Entry'!K44)</f>
        <v/>
      </c>
      <c r="G14" s="87"/>
      <c r="H14" s="24" t="s">
        <v>29</v>
      </c>
    </row>
    <row r="15" spans="1:22" ht="36" customHeight="1" x14ac:dyDescent="0.2">
      <c r="A15" s="25"/>
      <c r="B15" s="26" t="str">
        <f>'Control Entry'!N45</f>
        <v/>
      </c>
      <c r="C15" s="26" t="str">
        <f>'Control Entry'!O45</f>
        <v/>
      </c>
      <c r="D15" s="33"/>
      <c r="E15" s="28" t="str">
        <f>IF(ISBLANK('Control Entry'!F45),"",'Control Entry'!F45)</f>
        <v/>
      </c>
      <c r="F15" s="84" t="str">
        <f>IF(ISBLANK('Control Entry'!I45),"",'Control Entry'!I45)</f>
        <v/>
      </c>
      <c r="G15" s="85"/>
      <c r="H15" s="24" t="s">
        <v>29</v>
      </c>
      <c r="J15" s="15"/>
      <c r="L15" s="133" t="s">
        <v>58</v>
      </c>
      <c r="M15" s="133"/>
      <c r="N15" s="133"/>
      <c r="O15" s="133"/>
      <c r="P15" s="133"/>
      <c r="Q15" s="133"/>
      <c r="R15" s="133"/>
      <c r="S15" s="133"/>
      <c r="T15" s="133"/>
      <c r="U15" s="133"/>
    </row>
    <row r="16" spans="1:22" ht="36" customHeight="1" thickBot="1" x14ac:dyDescent="0.25">
      <c r="A16" s="34" t="str">
        <f>IF(ISBLANK('Control Entry'!D45),"",'Control Entry'!D45)</f>
        <v/>
      </c>
      <c r="B16" s="35" t="str">
        <f>'Control Entry'!N45</f>
        <v/>
      </c>
      <c r="C16" s="35" t="str">
        <f>'Control Entry'!O45</f>
        <v/>
      </c>
      <c r="D16" s="36" t="str">
        <f>IF(ISBLANK('Control Entry'!E45),"",'Control Entry'!E45)</f>
        <v/>
      </c>
      <c r="E16" s="28" t="str">
        <f>IF(ISBLANK('Control Entry'!G45),"",'Control Entry'!G45)</f>
        <v/>
      </c>
      <c r="F16" s="84" t="str">
        <f>IF(ISBLANK('Control Entry'!J45),"",'Control Entry'!J45)</f>
        <v/>
      </c>
      <c r="G16" s="85"/>
      <c r="H16" s="24" t="s">
        <v>29</v>
      </c>
      <c r="L16" s="141"/>
      <c r="M16" s="141"/>
      <c r="N16" s="141"/>
      <c r="O16" s="141"/>
      <c r="P16" s="141"/>
      <c r="Q16" s="141"/>
      <c r="R16" s="141"/>
      <c r="S16" s="141"/>
      <c r="T16" s="141"/>
      <c r="U16" s="141"/>
    </row>
    <row r="17" spans="1:22" ht="36" customHeight="1" thickBot="1" x14ac:dyDescent="0.25">
      <c r="A17" s="29"/>
      <c r="B17" s="30" t="str">
        <f>'Control Entry'!N45</f>
        <v/>
      </c>
      <c r="C17" s="30" t="str">
        <f>'Control Entry'!O45</f>
        <v/>
      </c>
      <c r="D17" s="31"/>
      <c r="E17" s="32" t="str">
        <f>IF(ISBLANK('Control Entry'!H45),"",'Control Entry'!H45)</f>
        <v/>
      </c>
      <c r="F17" s="88" t="str">
        <f>IF(ISBLANK('Control Entry'!K45),"",'Control Entry'!K45)</f>
        <v/>
      </c>
      <c r="G17" s="87"/>
      <c r="H17" s="24" t="s">
        <v>29</v>
      </c>
    </row>
    <row r="18" spans="1:22" ht="36" customHeight="1" x14ac:dyDescent="0.2">
      <c r="A18" s="25"/>
      <c r="B18" s="26" t="str">
        <f>'Control Entry'!N46</f>
        <v/>
      </c>
      <c r="C18" s="26" t="str">
        <f>'Control Entry'!O46</f>
        <v/>
      </c>
      <c r="D18" s="33"/>
      <c r="E18" s="28" t="str">
        <f>IF(ISBLANK('Control Entry'!F46),"",'Control Entry'!F46)</f>
        <v/>
      </c>
      <c r="F18" s="84" t="str">
        <f>IF(ISBLANK('Control Entry'!I46),"",'Control Entry'!I46)</f>
        <v/>
      </c>
      <c r="G18" s="85"/>
      <c r="H18" s="24" t="s">
        <v>29</v>
      </c>
    </row>
    <row r="19" spans="1:22" ht="36" customHeight="1" x14ac:dyDescent="0.2">
      <c r="A19" s="34" t="str">
        <f>IF(ISBLANK('Control Entry'!D46),"",'Control Entry'!D46)</f>
        <v/>
      </c>
      <c r="B19" s="35" t="str">
        <f>'Control Entry'!N46</f>
        <v/>
      </c>
      <c r="C19" s="35" t="str">
        <f>'Control Entry'!O46</f>
        <v/>
      </c>
      <c r="D19" s="36" t="str">
        <f>IF(ISBLANK('Control Entry'!E46),"",'Control Entry'!E46)</f>
        <v/>
      </c>
      <c r="E19" s="28" t="str">
        <f>IF(ISBLANK('Control Entry'!G46),"",'Control Entry'!G46)</f>
        <v/>
      </c>
      <c r="F19" s="84" t="str">
        <f>IF(ISBLANK('Control Entry'!J46),"",'Control Entry'!J46)</f>
        <v/>
      </c>
      <c r="G19" s="85"/>
      <c r="H19" s="24" t="s">
        <v>29</v>
      </c>
    </row>
    <row r="20" spans="1:22" ht="36" customHeight="1" thickBot="1" x14ac:dyDescent="0.25">
      <c r="A20" s="29"/>
      <c r="B20" s="30" t="str">
        <f>'Control Entry'!N46</f>
        <v/>
      </c>
      <c r="C20" s="30" t="str">
        <f>'Control Entry'!O46</f>
        <v/>
      </c>
      <c r="D20" s="31"/>
      <c r="E20" s="32" t="str">
        <f>IF(ISBLANK('Control Entry'!H46),"",'Control Entry'!H46)</f>
        <v/>
      </c>
      <c r="F20" s="88" t="str">
        <f>IF(ISBLANK('Control Entry'!K46),"",'Control Entry'!K46)</f>
        <v/>
      </c>
      <c r="G20" s="87"/>
      <c r="H20" s="24" t="s">
        <v>29</v>
      </c>
      <c r="J20" s="50" t="s">
        <v>44</v>
      </c>
      <c r="K20" s="50"/>
      <c r="L20" s="128">
        <f>IF(ISBLANK('Control Entry'!B12),"",'Control Entry'!B12)</f>
        <v>44876</v>
      </c>
      <c r="M20" s="128"/>
      <c r="N20" s="128"/>
      <c r="P20" s="15" t="s">
        <v>0</v>
      </c>
      <c r="Q20" s="15"/>
      <c r="S20" s="132">
        <f>IF(ISBLANK('Control Entry'!B13),"",'Control Entry'!B13)</f>
        <v>0.29166666666666669</v>
      </c>
      <c r="T20" s="132"/>
      <c r="U20" s="132"/>
    </row>
    <row r="21" spans="1:22" ht="36" customHeight="1" x14ac:dyDescent="0.2">
      <c r="A21" s="25"/>
      <c r="B21" s="26" t="str">
        <f>'Control Entry'!N47</f>
        <v/>
      </c>
      <c r="C21" s="26" t="str">
        <f>'Control Entry'!O47</f>
        <v/>
      </c>
      <c r="D21" s="33"/>
      <c r="E21" s="28" t="str">
        <f>IF(ISBLANK('Control Entry'!F47),"",'Control Entry'!F47)</f>
        <v/>
      </c>
      <c r="F21" s="84" t="str">
        <f>IF(ISBLANK('Control Entry'!I47),"",'Control Entry'!I47)</f>
        <v/>
      </c>
      <c r="G21" s="85"/>
      <c r="H21" s="24" t="s">
        <v>29</v>
      </c>
      <c r="J21" s="134" t="s">
        <v>90</v>
      </c>
      <c r="K21" s="134"/>
      <c r="L21" s="134"/>
      <c r="M21" s="134"/>
      <c r="N21" s="134"/>
      <c r="O21" s="134"/>
      <c r="P21" s="134"/>
      <c r="Q21" s="134"/>
      <c r="R21" s="134"/>
      <c r="S21" s="134"/>
      <c r="T21" s="134"/>
      <c r="U21" s="134"/>
    </row>
    <row r="22" spans="1:22" ht="36" customHeight="1" thickBot="1" x14ac:dyDescent="0.25">
      <c r="A22" s="34" t="str">
        <f>IF(ISBLANK('Control Entry'!D47),"",'Control Entry'!D47)</f>
        <v/>
      </c>
      <c r="B22" s="35" t="str">
        <f>'Control Entry'!N47</f>
        <v/>
      </c>
      <c r="C22" s="35" t="str">
        <f>'Control Entry'!O47</f>
        <v/>
      </c>
      <c r="D22" s="36" t="str">
        <f>IF(ISBLANK('Control Entry'!E47),"",'Control Entry'!E47)</f>
        <v/>
      </c>
      <c r="E22" s="28" t="str">
        <f>IF(ISBLANK('Control Entry'!G47),"",'Control Entry'!G47)</f>
        <v/>
      </c>
      <c r="F22" s="84" t="str">
        <f>IF(ISBLANK('Control Entry'!J47),"",'Control Entry'!J47)</f>
        <v/>
      </c>
      <c r="G22" s="85"/>
      <c r="H22" s="24" t="s">
        <v>29</v>
      </c>
      <c r="J22" s="50" t="s">
        <v>45</v>
      </c>
      <c r="K22" s="50"/>
      <c r="L22" s="89"/>
      <c r="M22" s="89"/>
      <c r="N22" s="89"/>
      <c r="P22" s="15" t="s">
        <v>1</v>
      </c>
      <c r="Q22" s="15"/>
      <c r="S22" s="135"/>
      <c r="T22" s="135"/>
      <c r="U22" s="135"/>
    </row>
    <row r="23" spans="1:22" ht="36" customHeight="1" thickBot="1" x14ac:dyDescent="0.25">
      <c r="A23" s="29"/>
      <c r="B23" s="30" t="str">
        <f>'Control Entry'!N47</f>
        <v/>
      </c>
      <c r="C23" s="30" t="str">
        <f>'Control Entry'!O47</f>
        <v/>
      </c>
      <c r="D23" s="31"/>
      <c r="E23" s="32" t="str">
        <f>IF(ISBLANK('Control Entry'!H47),"",'Control Entry'!H47)</f>
        <v/>
      </c>
      <c r="F23" s="88" t="str">
        <f>IF(ISBLANK('Control Entry'!K47),"",'Control Entry'!K47)</f>
        <v/>
      </c>
      <c r="G23" s="87"/>
      <c r="H23" s="24" t="s">
        <v>29</v>
      </c>
      <c r="J23" s="50"/>
      <c r="K23" s="50"/>
      <c r="L23" s="44"/>
      <c r="M23" s="44"/>
      <c r="N23" s="44"/>
      <c r="P23" s="15"/>
      <c r="Q23" s="15"/>
    </row>
    <row r="24" spans="1:22" ht="36" customHeight="1" thickBot="1" x14ac:dyDescent="0.25">
      <c r="A24" s="25"/>
      <c r="B24" s="26" t="str">
        <f>'Control Entry'!N48</f>
        <v/>
      </c>
      <c r="C24" s="26" t="str">
        <f>'Control Entry'!O48</f>
        <v/>
      </c>
      <c r="D24" s="33"/>
      <c r="E24" s="28" t="str">
        <f>IF(ISBLANK('Control Entry'!F48),"",'Control Entry'!F48)</f>
        <v/>
      </c>
      <c r="F24" s="84" t="str">
        <f>IF(ISBLANK('Control Entry'!I48),"",'Control Entry'!I48)</f>
        <v/>
      </c>
      <c r="G24" s="85"/>
      <c r="H24" s="24" t="s">
        <v>29</v>
      </c>
      <c r="J24" s="135"/>
      <c r="K24" s="135"/>
      <c r="L24" s="135"/>
      <c r="M24" s="135"/>
      <c r="N24" s="135"/>
      <c r="P24" s="15" t="s">
        <v>2</v>
      </c>
      <c r="Q24" s="15"/>
      <c r="S24" s="135"/>
      <c r="T24" s="135"/>
      <c r="U24" s="135"/>
    </row>
    <row r="25" spans="1:22" ht="36" customHeight="1" x14ac:dyDescent="0.2">
      <c r="A25" s="34" t="str">
        <f>IF(ISBLANK('Control Entry'!D48),"",'Control Entry'!D48)</f>
        <v/>
      </c>
      <c r="B25" s="35" t="str">
        <f>'Control Entry'!N48</f>
        <v/>
      </c>
      <c r="C25" s="35" t="str">
        <f>'Control Entry'!O48</f>
        <v/>
      </c>
      <c r="D25" s="36" t="str">
        <f>IF(ISBLANK('Control Entry'!E48),"",'Control Entry'!E48)</f>
        <v/>
      </c>
      <c r="E25" s="28" t="str">
        <f>IF(ISBLANK('Control Entry'!G48),"",'Control Entry'!G48)</f>
        <v/>
      </c>
      <c r="F25" s="84" t="str">
        <f>IF(ISBLANK('Control Entry'!J48),"",'Control Entry'!J48)</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Entry'!N48</f>
        <v/>
      </c>
      <c r="C26" s="30" t="str">
        <f>'Control Entry'!O48</f>
        <v/>
      </c>
      <c r="D26" s="31"/>
      <c r="E26" s="32" t="str">
        <f>IF(ISBLANK('Control Entry'!H48),"",'Control Entry'!H48)</f>
        <v/>
      </c>
      <c r="F26" s="88" t="str">
        <f>IF(ISBLANK('Control Entry'!K48),"",'Control Entry'!K48)</f>
        <v/>
      </c>
      <c r="G26" s="87"/>
      <c r="H26" s="24" t="s">
        <v>29</v>
      </c>
    </row>
    <row r="27" spans="1:22" ht="36" customHeight="1" x14ac:dyDescent="0.2">
      <c r="A27" s="25"/>
      <c r="B27" s="26" t="str">
        <f>'Control Entry'!N49</f>
        <v/>
      </c>
      <c r="C27" s="26" t="str">
        <f>'Control Entry'!O49</f>
        <v/>
      </c>
      <c r="D27" s="33"/>
      <c r="E27" s="28" t="str">
        <f>IF(ISBLANK('Control Entry'!F49),"",'Control Entry'!F49)</f>
        <v/>
      </c>
      <c r="F27" s="84" t="str">
        <f>IF(ISBLANK('Control Entry'!I49),"",'Control Entry'!I49)</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Entry'!D49),"",'Control Entry'!D49)</f>
        <v/>
      </c>
      <c r="B28" s="35" t="str">
        <f>'Control Entry'!N49</f>
        <v/>
      </c>
      <c r="C28" s="35" t="str">
        <f>'Control Entry'!O49</f>
        <v/>
      </c>
      <c r="D28" s="36" t="str">
        <f>IF(ISBLANK('Control Entry'!E49),"",'Control Entry'!E49)</f>
        <v/>
      </c>
      <c r="E28" s="28" t="str">
        <f>IF(ISBLANK('Control Entry'!G49),"",'Control Entry'!G49)</f>
        <v/>
      </c>
      <c r="F28" s="84" t="str">
        <f>IF(ISBLANK('Control Entry'!J49),"",'Control Entry'!J49)</f>
        <v/>
      </c>
      <c r="G28" s="85"/>
      <c r="H28" s="24" t="s">
        <v>29</v>
      </c>
    </row>
    <row r="29" spans="1:22" ht="36" customHeight="1" thickBot="1" x14ac:dyDescent="0.25">
      <c r="A29" s="29"/>
      <c r="B29" s="30" t="str">
        <f>'Control Entry'!N49</f>
        <v/>
      </c>
      <c r="C29" s="30" t="str">
        <f>'Control Entry'!O49</f>
        <v/>
      </c>
      <c r="D29" s="31"/>
      <c r="E29" s="32" t="str">
        <f>IF(ISBLANK('Control Entry'!H49),"",'Control Entry'!H49)</f>
        <v/>
      </c>
      <c r="F29" s="88" t="str">
        <f>IF(ISBLANK('Control Entry'!K49),"",'Control Entry'!K49)</f>
        <v/>
      </c>
      <c r="G29" s="87"/>
      <c r="H29" s="24" t="s">
        <v>29</v>
      </c>
      <c r="M29" s="108" t="s">
        <v>42</v>
      </c>
      <c r="N29" s="108"/>
      <c r="O29" s="108"/>
      <c r="P29" s="108"/>
      <c r="Q29" s="108"/>
      <c r="R29" s="108"/>
      <c r="S29" s="108"/>
      <c r="T29" s="108"/>
      <c r="U29" s="49"/>
    </row>
    <row r="30" spans="1:22" ht="36" customHeight="1" x14ac:dyDescent="0.2">
      <c r="A30" s="25"/>
      <c r="B30" s="26" t="str">
        <f>'Control Entry'!N50</f>
        <v/>
      </c>
      <c r="C30" s="26" t="str">
        <f>'Control Entry'!O50</f>
        <v/>
      </c>
      <c r="D30" s="33"/>
      <c r="E30" s="28" t="str">
        <f>IF(ISBLANK('Control Entry'!F50),"",'Control Entry'!F50)</f>
        <v/>
      </c>
      <c r="F30" s="84" t="str">
        <f>IF(ISBLANK('Control Entry'!I50),"",'Control Entry'!I50)</f>
        <v/>
      </c>
      <c r="G30" s="85"/>
      <c r="H30" s="24" t="s">
        <v>29</v>
      </c>
      <c r="M30" s="16"/>
      <c r="N30" s="18"/>
      <c r="O30" s="18"/>
      <c r="P30" s="19"/>
      <c r="Q30" s="16"/>
      <c r="R30" s="18"/>
      <c r="S30" s="18"/>
      <c r="T30" s="19"/>
    </row>
    <row r="31" spans="1:22" ht="36" customHeight="1" x14ac:dyDescent="0.2">
      <c r="A31" s="34" t="str">
        <f>IF(ISBLANK('Control Entry'!D50),"",'Control Entry'!D50)</f>
        <v/>
      </c>
      <c r="B31" s="35" t="str">
        <f>'Control Entry'!N50</f>
        <v/>
      </c>
      <c r="C31" s="35" t="str">
        <f>'Control Entry'!O50</f>
        <v/>
      </c>
      <c r="D31" s="36" t="str">
        <f>IF(ISBLANK('Control Entry'!E50),"",'Control Entry'!E50)</f>
        <v/>
      </c>
      <c r="E31" s="28" t="str">
        <f>IF(ISBLANK('Control Entry'!G50),"",'Control Entry'!G50)</f>
        <v/>
      </c>
      <c r="F31" s="84" t="str">
        <f>IF(ISBLANK('Control Entry'!J50),"",'Control Entry'!J50)</f>
        <v/>
      </c>
      <c r="G31" s="85"/>
      <c r="H31" s="24" t="s">
        <v>29</v>
      </c>
      <c r="M31" s="17"/>
      <c r="P31" s="20"/>
      <c r="Q31" s="17"/>
      <c r="T31" s="20"/>
    </row>
    <row r="32" spans="1:22" ht="36" customHeight="1" thickBot="1" x14ac:dyDescent="0.25">
      <c r="A32" s="29"/>
      <c r="B32" s="30" t="str">
        <f>'Control Entry'!N50</f>
        <v/>
      </c>
      <c r="C32" s="30" t="str">
        <f>'Control Entry'!O50</f>
        <v/>
      </c>
      <c r="D32" s="31"/>
      <c r="E32" s="32" t="str">
        <f>IF(ISBLANK('Control Entry'!H50),"",'Control Entry'!H50)</f>
        <v/>
      </c>
      <c r="F32" s="88" t="str">
        <f>IF(ISBLANK('Control Entry'!K50),"",'Control Entry'!K50)</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U33" s="81"/>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A2"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14" t="s">
        <v>74</v>
      </c>
      <c r="B1" s="114"/>
      <c r="C1" s="114"/>
      <c r="D1" s="114"/>
      <c r="E1" s="114"/>
      <c r="F1" s="114"/>
      <c r="G1" s="114"/>
      <c r="H1" s="24" t="s">
        <v>29</v>
      </c>
    </row>
    <row r="2" spans="1:22" ht="33.75" customHeight="1" thickBot="1" x14ac:dyDescent="0.25">
      <c r="A2" s="65" t="s">
        <v>30</v>
      </c>
      <c r="B2" s="9" t="s">
        <v>3</v>
      </c>
      <c r="C2" s="9" t="s">
        <v>4</v>
      </c>
      <c r="D2" s="9" t="s">
        <v>25</v>
      </c>
      <c r="E2" s="9" t="s">
        <v>31</v>
      </c>
      <c r="F2" s="9" t="s">
        <v>59</v>
      </c>
      <c r="G2" s="65" t="s">
        <v>32</v>
      </c>
      <c r="H2" s="24" t="s">
        <v>29</v>
      </c>
      <c r="K2" s="113" t="s">
        <v>55</v>
      </c>
      <c r="L2" s="113"/>
      <c r="M2" s="113"/>
      <c r="N2" s="113"/>
      <c r="O2" s="113"/>
      <c r="P2" s="113"/>
      <c r="Q2" s="113"/>
      <c r="R2" s="113"/>
      <c r="S2" s="113"/>
      <c r="T2" s="113"/>
      <c r="U2" s="113"/>
    </row>
    <row r="3" spans="1:22" ht="36" customHeight="1" x14ac:dyDescent="0.45">
      <c r="A3" s="25"/>
      <c r="B3" s="26" t="str">
        <f>'Control Entry'!N54</f>
        <v/>
      </c>
      <c r="C3" s="26" t="str">
        <f>'Control Entry'!O54</f>
        <v/>
      </c>
      <c r="D3" s="27"/>
      <c r="E3" s="28" t="str">
        <f>IF(ISBLANK('Control Entry'!F54),"",'Control Entry'!F54)</f>
        <v/>
      </c>
      <c r="F3" s="84" t="str">
        <f>IF(ISBLANK('Control Entry'!I54),"",'Control Entry'!I54)</f>
        <v/>
      </c>
      <c r="G3" s="85"/>
      <c r="H3" s="24" t="s">
        <v>29</v>
      </c>
      <c r="K3" s="14"/>
      <c r="O3" s="131" t="s">
        <v>73</v>
      </c>
      <c r="P3" s="131"/>
      <c r="Q3" s="131"/>
      <c r="R3" s="131"/>
      <c r="S3" s="75" t="str">
        <f>IF(AND('Control Entry'!D41=0,'Control Entry'!D54&lt;&gt;0),"#2",IF('Control Entry'!D54=0,"","#4"))</f>
        <v/>
      </c>
      <c r="T3" s="76"/>
      <c r="U3" s="38"/>
    </row>
    <row r="4" spans="1:22" ht="36" customHeight="1" x14ac:dyDescent="0.2">
      <c r="A4" s="34" t="str">
        <f>IF(ISBLANK('Control Entry'!D54),"",'Control Entry'!D54)</f>
        <v/>
      </c>
      <c r="B4" s="35" t="str">
        <f>'Control Entry'!N54</f>
        <v/>
      </c>
      <c r="C4" s="35" t="str">
        <f>'Control Entry'!O54</f>
        <v/>
      </c>
      <c r="D4" s="36" t="str">
        <f>IF(ISBLANK('Control Entry'!E54),"",'Control Entry'!E54)</f>
        <v/>
      </c>
      <c r="E4" s="28" t="str">
        <f>IF(ISBLANK('Control Entry'!G54),"",'Control Entry'!G54)</f>
        <v/>
      </c>
      <c r="F4" s="84" t="str">
        <f>IF(ISBLANK('Control Entry'!J54),"",'Control Entry'!J54)</f>
        <v/>
      </c>
      <c r="G4" s="85"/>
      <c r="H4" s="24" t="s">
        <v>29</v>
      </c>
      <c r="K4" s="14"/>
      <c r="M4" s="116" t="str">
        <f>IF(ISBLANK(brevet),"",brevet&amp;" km Randonnée")</f>
        <v>200 km Randonnée</v>
      </c>
      <c r="N4" s="116"/>
      <c r="O4" s="116"/>
      <c r="P4" s="116"/>
      <c r="Q4" s="116"/>
      <c r="R4" s="116"/>
      <c r="S4" s="116"/>
      <c r="T4" s="116"/>
      <c r="U4" s="39"/>
    </row>
    <row r="5" spans="1:22" ht="36" customHeight="1" thickBot="1" x14ac:dyDescent="0.25">
      <c r="A5" s="29"/>
      <c r="B5" s="30" t="str">
        <f>'Control Entry'!N54</f>
        <v/>
      </c>
      <c r="C5" s="30" t="str">
        <f>'Control Entry'!O54</f>
        <v/>
      </c>
      <c r="D5" s="31"/>
      <c r="E5" s="32" t="str">
        <f>IF(ISBLANK('Control Entry'!H54),"",'Control Entry'!H54)</f>
        <v/>
      </c>
      <c r="F5" s="88" t="str">
        <f>IF(ISBLANK('Control Entry'!K54),"",'Control Entry'!K54)</f>
        <v/>
      </c>
      <c r="G5" s="87"/>
      <c r="H5" s="24" t="s">
        <v>29</v>
      </c>
      <c r="K5" s="14"/>
      <c r="M5" s="15"/>
      <c r="N5" s="107" t="s">
        <v>47</v>
      </c>
      <c r="O5" s="107"/>
      <c r="P5" s="52">
        <f>IF(ISBLANK(Brevet_Number),"",Brevet_Number)</f>
        <v>5236</v>
      </c>
      <c r="Q5" s="53"/>
      <c r="R5" s="119">
        <f>IF(ISBLANK('Control Entry'!$B10),"",'Control Entry'!$B10)</f>
        <v>44876</v>
      </c>
      <c r="S5" s="119"/>
      <c r="T5" s="119"/>
      <c r="U5" s="119"/>
      <c r="V5" s="40"/>
    </row>
    <row r="6" spans="1:22" ht="36" customHeight="1" x14ac:dyDescent="0.2">
      <c r="A6" s="25"/>
      <c r="B6" s="26" t="str">
        <f>'Control Entry'!N55</f>
        <v/>
      </c>
      <c r="C6" s="26" t="str">
        <f>'Control Entry'!O55</f>
        <v/>
      </c>
      <c r="D6" s="33"/>
      <c r="E6" s="28" t="str">
        <f>IF(ISBLANK('Control Entry'!F55),"",'Control Entry'!F55)</f>
        <v/>
      </c>
      <c r="F6" s="84" t="str">
        <f>IF(ISBLANK('Control Entry'!I55),"",'Control Entry'!I55)</f>
        <v/>
      </c>
      <c r="G6" s="85"/>
      <c r="H6" s="24" t="s">
        <v>29</v>
      </c>
      <c r="K6" s="14"/>
      <c r="L6" s="134" t="str">
        <f>IF(ISBLANK(Brevet_Description),"",Brevet_Description)</f>
        <v>Remembrance Day 2022</v>
      </c>
      <c r="M6" s="134"/>
      <c r="N6" s="134"/>
      <c r="O6" s="134"/>
      <c r="P6" s="134"/>
      <c r="Q6" s="134"/>
      <c r="R6" s="134"/>
      <c r="S6" s="134"/>
      <c r="T6" s="134"/>
      <c r="U6" s="134"/>
    </row>
    <row r="7" spans="1:22" ht="36" customHeight="1" x14ac:dyDescent="0.2">
      <c r="A7" s="34" t="str">
        <f>IF(ISBLANK('Control Entry'!D55),"",'Control Entry'!D55)</f>
        <v/>
      </c>
      <c r="B7" s="35" t="str">
        <f>'Control Entry'!N55</f>
        <v/>
      </c>
      <c r="C7" s="35" t="str">
        <f>'Control Entry'!O55</f>
        <v/>
      </c>
      <c r="D7" s="36" t="str">
        <f>IF(ISBLANK('Control Entry'!E55),"",'Control Entry'!E55)</f>
        <v/>
      </c>
      <c r="E7" s="28" t="str">
        <f>IF(ISBLANK('Control Entry'!G55),"",'Control Entry'!G55)</f>
        <v/>
      </c>
      <c r="F7" s="84" t="str">
        <f>IF(ISBLANK('Control Entry'!J55),"",'Control Entry'!J55)</f>
        <v/>
      </c>
      <c r="G7" s="85"/>
      <c r="H7" s="24" t="s">
        <v>29</v>
      </c>
    </row>
    <row r="8" spans="1:22" ht="36" customHeight="1" thickBot="1" x14ac:dyDescent="0.25">
      <c r="A8" s="29"/>
      <c r="B8" s="30" t="str">
        <f>'Control Entry'!N55</f>
        <v/>
      </c>
      <c r="C8" s="30" t="str">
        <f>'Control Entry'!O55</f>
        <v/>
      </c>
      <c r="D8" s="31"/>
      <c r="E8" s="32" t="str">
        <f>IF(ISBLANK('Control Entry'!H55),"",'Control Entry'!H55)</f>
        <v/>
      </c>
      <c r="F8" s="88" t="str">
        <f>IF(ISBLANK('Control Entry'!K55),"",'Control Entry'!K55)</f>
        <v/>
      </c>
      <c r="G8" s="87"/>
      <c r="H8" s="24" t="s">
        <v>29</v>
      </c>
      <c r="J8" s="15" t="s">
        <v>34</v>
      </c>
      <c r="L8" s="120"/>
      <c r="M8" s="120"/>
      <c r="N8" s="120"/>
      <c r="O8" s="120"/>
      <c r="P8" s="120"/>
      <c r="Q8" s="120"/>
      <c r="S8" s="41" t="s">
        <v>46</v>
      </c>
      <c r="T8" s="127"/>
      <c r="U8" s="127"/>
    </row>
    <row r="9" spans="1:22" ht="36" customHeight="1" thickBot="1" x14ac:dyDescent="0.3">
      <c r="A9" s="25"/>
      <c r="B9" s="26" t="str">
        <f>'Control Entry'!N56</f>
        <v/>
      </c>
      <c r="C9" s="26" t="str">
        <f>'Control Entry'!O56</f>
        <v/>
      </c>
      <c r="D9" s="33"/>
      <c r="E9" s="28" t="str">
        <f>IF(ISBLANK('Control Entry'!F56),"",'Control Entry'!F56)</f>
        <v/>
      </c>
      <c r="F9" s="84" t="str">
        <f>IF(ISBLANK('Control Entry'!I56),"",'Control Entry'!I56)</f>
        <v/>
      </c>
      <c r="G9" s="85"/>
      <c r="H9" s="24" t="s">
        <v>29</v>
      </c>
      <c r="J9" s="15" t="s">
        <v>35</v>
      </c>
      <c r="K9" s="15"/>
      <c r="L9" s="136" t="s">
        <v>54</v>
      </c>
      <c r="M9" s="136"/>
      <c r="N9" s="136"/>
      <c r="O9" s="136"/>
      <c r="P9" s="136"/>
      <c r="Q9" s="136"/>
      <c r="R9" s="136"/>
      <c r="S9" s="136"/>
      <c r="T9" s="136"/>
      <c r="U9" s="136"/>
    </row>
    <row r="10" spans="1:22" ht="36" customHeight="1" thickBot="1" x14ac:dyDescent="0.3">
      <c r="A10" s="34" t="str">
        <f>IF(ISBLANK('Control Entry'!D56),"",'Control Entry'!D56)</f>
        <v/>
      </c>
      <c r="B10" s="35" t="str">
        <f>'Control Entry'!N56</f>
        <v/>
      </c>
      <c r="C10" s="35" t="str">
        <f>'Control Entry'!O56</f>
        <v/>
      </c>
      <c r="D10" s="36" t="str">
        <f>IF(ISBLANK('Control Entry'!E56),"",'Control Entry'!E56)</f>
        <v/>
      </c>
      <c r="E10" s="28" t="str">
        <f>IF(ISBLANK('Control Entry'!G56),"",'Control Entry'!G56)</f>
        <v/>
      </c>
      <c r="F10" s="84" t="str">
        <f>IF(ISBLANK('Control Entry'!J56),"",'Control Entry'!J56)</f>
        <v/>
      </c>
      <c r="G10" s="85"/>
      <c r="H10" s="24" t="s">
        <v>29</v>
      </c>
      <c r="J10" s="15"/>
      <c r="K10" s="15"/>
      <c r="L10" s="129"/>
      <c r="M10" s="129"/>
      <c r="N10" s="129"/>
      <c r="O10" s="129"/>
      <c r="P10" s="129"/>
      <c r="Q10" s="129"/>
      <c r="R10" s="129"/>
      <c r="S10" s="129"/>
      <c r="T10" s="129"/>
      <c r="U10" s="129"/>
    </row>
    <row r="11" spans="1:22" ht="36" customHeight="1" thickBot="1" x14ac:dyDescent="0.3">
      <c r="A11" s="29"/>
      <c r="B11" s="30" t="str">
        <f>'Control Entry'!N56</f>
        <v/>
      </c>
      <c r="C11" s="30" t="str">
        <f>'Control Entry'!O56</f>
        <v/>
      </c>
      <c r="D11" s="31"/>
      <c r="E11" s="32" t="str">
        <f>IF(ISBLANK('Control Entry'!H56),"",'Control Entry'!H56)</f>
        <v/>
      </c>
      <c r="F11" s="88" t="str">
        <f>IF(ISBLANK('Control Entry'!K56),"",'Control Entry'!K56)</f>
        <v/>
      </c>
      <c r="G11" s="87"/>
      <c r="H11" s="24" t="s">
        <v>29</v>
      </c>
      <c r="J11" s="15" t="s">
        <v>36</v>
      </c>
      <c r="K11" s="15"/>
      <c r="L11" s="129"/>
      <c r="M11" s="129"/>
      <c r="N11" s="129"/>
      <c r="O11" s="15"/>
      <c r="P11" s="15" t="s">
        <v>37</v>
      </c>
      <c r="Q11" s="15"/>
      <c r="R11" s="15"/>
      <c r="S11" s="117"/>
      <c r="T11" s="117"/>
      <c r="U11" s="117"/>
    </row>
    <row r="12" spans="1:22" ht="36" customHeight="1" thickBot="1" x14ac:dyDescent="0.3">
      <c r="A12" s="25"/>
      <c r="B12" s="26" t="str">
        <f>'Control Entry'!N57</f>
        <v/>
      </c>
      <c r="C12" s="26" t="str">
        <f>'Control Entry'!O57</f>
        <v/>
      </c>
      <c r="D12" s="33"/>
      <c r="E12" s="28" t="str">
        <f>IF(ISBLANK('Control Entry'!F57),"",'Control Entry'!F57)</f>
        <v/>
      </c>
      <c r="F12" s="84" t="str">
        <f>IF(ISBLANK('Control Entry'!I57),"",'Control Entry'!I57)</f>
        <v/>
      </c>
      <c r="G12" s="85"/>
      <c r="H12" s="24" t="s">
        <v>29</v>
      </c>
      <c r="J12" s="15" t="s">
        <v>38</v>
      </c>
      <c r="K12" s="15"/>
      <c r="L12" s="129"/>
      <c r="M12" s="129"/>
      <c r="N12" s="129"/>
      <c r="O12" s="15"/>
      <c r="P12" s="15" t="s">
        <v>39</v>
      </c>
      <c r="Q12" s="15"/>
      <c r="R12" s="15"/>
      <c r="S12" s="117"/>
      <c r="T12" s="117"/>
      <c r="U12" s="117"/>
    </row>
    <row r="13" spans="1:22" ht="36" customHeight="1" thickBot="1" x14ac:dyDescent="0.3">
      <c r="A13" s="34" t="str">
        <f>IF(ISBLANK('Control Entry'!D57),"",'Control Entry'!D57)</f>
        <v/>
      </c>
      <c r="B13" s="35" t="str">
        <f>'Control Entry'!N57</f>
        <v/>
      </c>
      <c r="C13" s="35" t="str">
        <f>'Control Entry'!O57</f>
        <v/>
      </c>
      <c r="D13" s="36" t="str">
        <f>IF(ISBLANK('Control Entry'!E57),"",'Control Entry'!E57)</f>
        <v/>
      </c>
      <c r="E13" s="28" t="str">
        <f>IF(ISBLANK('Control Entry'!G57),"",'Control Entry'!G57)</f>
        <v/>
      </c>
      <c r="F13" s="84" t="str">
        <f>IF(ISBLANK('Control Entry'!J57),"",'Control Entry'!J57)</f>
        <v/>
      </c>
      <c r="G13" s="85"/>
      <c r="H13" s="24" t="s">
        <v>29</v>
      </c>
      <c r="J13" s="15" t="s">
        <v>40</v>
      </c>
      <c r="L13" s="139"/>
      <c r="M13" s="139"/>
      <c r="N13" s="139"/>
      <c r="P13" s="15" t="s">
        <v>41</v>
      </c>
      <c r="Q13" s="15"/>
      <c r="R13" s="118"/>
      <c r="S13" s="118"/>
      <c r="T13" s="118"/>
      <c r="U13" s="118"/>
    </row>
    <row r="14" spans="1:22" ht="36" customHeight="1" thickBot="1" x14ac:dyDescent="0.25">
      <c r="A14" s="29"/>
      <c r="B14" s="30" t="str">
        <f>'Control Entry'!N57</f>
        <v/>
      </c>
      <c r="C14" s="30" t="str">
        <f>'Control Entry'!O57</f>
        <v/>
      </c>
      <c r="D14" s="31"/>
      <c r="E14" s="32" t="str">
        <f>IF(ISBLANK('Control Entry'!H57),"",'Control Entry'!H57)</f>
        <v/>
      </c>
      <c r="F14" s="88" t="str">
        <f>IF(ISBLANK('Control Entry'!K57),"",'Control Entry'!K57)</f>
        <v/>
      </c>
      <c r="G14" s="87"/>
      <c r="H14" s="24" t="s">
        <v>29</v>
      </c>
    </row>
    <row r="15" spans="1:22" ht="36" customHeight="1" x14ac:dyDescent="0.2">
      <c r="A15" s="25"/>
      <c r="B15" s="26" t="str">
        <f>'Control Entry'!N58</f>
        <v/>
      </c>
      <c r="C15" s="26" t="str">
        <f>'Control Entry'!O58</f>
        <v/>
      </c>
      <c r="D15" s="33"/>
      <c r="E15" s="28" t="str">
        <f>IF(ISBLANK('Control Entry'!F58),"",'Control Entry'!F58)</f>
        <v/>
      </c>
      <c r="F15" s="84" t="str">
        <f>IF(ISBLANK('Control Entry'!I58),"",'Control Entry'!I58)</f>
        <v/>
      </c>
      <c r="G15" s="85"/>
      <c r="H15" s="24" t="s">
        <v>29</v>
      </c>
      <c r="J15" s="15"/>
      <c r="L15" s="133" t="s">
        <v>58</v>
      </c>
      <c r="M15" s="133"/>
      <c r="N15" s="133"/>
      <c r="O15" s="133"/>
      <c r="P15" s="133"/>
      <c r="Q15" s="133"/>
      <c r="R15" s="133"/>
      <c r="S15" s="133"/>
      <c r="T15" s="133"/>
      <c r="U15" s="133"/>
    </row>
    <row r="16" spans="1:22" ht="36" customHeight="1" thickBot="1" x14ac:dyDescent="0.25">
      <c r="A16" s="34" t="str">
        <f>IF(ISBLANK('Control Entry'!D58),"",'Control Entry'!D58)</f>
        <v/>
      </c>
      <c r="B16" s="35" t="str">
        <f>'Control Entry'!N58</f>
        <v/>
      </c>
      <c r="C16" s="35" t="str">
        <f>'Control Entry'!O58</f>
        <v/>
      </c>
      <c r="D16" s="36" t="str">
        <f>IF(ISBLANK('Control Entry'!E58),"",'Control Entry'!E58)</f>
        <v/>
      </c>
      <c r="E16" s="28" t="str">
        <f>IF(ISBLANK('Control Entry'!G58),"",'Control Entry'!G58)</f>
        <v/>
      </c>
      <c r="F16" s="84" t="str">
        <f>IF(ISBLANK('Control Entry'!J58),"",'Control Entry'!J58)</f>
        <v/>
      </c>
      <c r="G16" s="85"/>
      <c r="H16" s="24" t="s">
        <v>29</v>
      </c>
      <c r="L16" s="141"/>
      <c r="M16" s="141"/>
      <c r="N16" s="141"/>
      <c r="O16" s="141"/>
      <c r="P16" s="141"/>
      <c r="Q16" s="141"/>
      <c r="R16" s="141"/>
      <c r="S16" s="141"/>
      <c r="T16" s="141"/>
      <c r="U16" s="141"/>
    </row>
    <row r="17" spans="1:22" ht="36" customHeight="1" thickBot="1" x14ac:dyDescent="0.25">
      <c r="A17" s="29"/>
      <c r="B17" s="30" t="str">
        <f>'Control Entry'!N58</f>
        <v/>
      </c>
      <c r="C17" s="30" t="str">
        <f>'Control Entry'!O58</f>
        <v/>
      </c>
      <c r="D17" s="31"/>
      <c r="E17" s="32" t="str">
        <f>IF(ISBLANK('Control Entry'!H58),"",'Control Entry'!H58)</f>
        <v/>
      </c>
      <c r="F17" s="88" t="str">
        <f>IF(ISBLANK('Control Entry'!K58),"",'Control Entry'!K58)</f>
        <v/>
      </c>
      <c r="G17" s="87"/>
      <c r="H17" s="24" t="s">
        <v>29</v>
      </c>
    </row>
    <row r="18" spans="1:22" ht="36" customHeight="1" x14ac:dyDescent="0.2">
      <c r="A18" s="25"/>
      <c r="B18" s="26" t="str">
        <f>'Control Entry'!N59</f>
        <v/>
      </c>
      <c r="C18" s="26" t="str">
        <f>'Control Entry'!O59</f>
        <v/>
      </c>
      <c r="D18" s="33"/>
      <c r="E18" s="28" t="str">
        <f>IF(ISBLANK('Control Entry'!F59),"",'Control Entry'!F59)</f>
        <v/>
      </c>
      <c r="F18" s="84" t="str">
        <f>IF(ISBLANK('Control Entry'!I59),"",'Control Entry'!I59)</f>
        <v/>
      </c>
      <c r="G18" s="85"/>
      <c r="H18" s="24" t="s">
        <v>29</v>
      </c>
    </row>
    <row r="19" spans="1:22" ht="36" customHeight="1" x14ac:dyDescent="0.2">
      <c r="A19" s="34" t="str">
        <f>IF(ISBLANK('Control Entry'!D59),"",'Control Entry'!D59)</f>
        <v/>
      </c>
      <c r="B19" s="35" t="str">
        <f>'Control Entry'!N59</f>
        <v/>
      </c>
      <c r="C19" s="35" t="str">
        <f>'Control Entry'!O59</f>
        <v/>
      </c>
      <c r="D19" s="36" t="str">
        <f>IF(ISBLANK('Control Entry'!E59),"",'Control Entry'!E59)</f>
        <v/>
      </c>
      <c r="E19" s="28" t="str">
        <f>IF(ISBLANK('Control Entry'!G59),"",'Control Entry'!G59)</f>
        <v/>
      </c>
      <c r="F19" s="84" t="str">
        <f>IF(ISBLANK('Control Entry'!J59),"",'Control Entry'!J59)</f>
        <v/>
      </c>
      <c r="G19" s="85"/>
      <c r="H19" s="24" t="s">
        <v>29</v>
      </c>
    </row>
    <row r="20" spans="1:22" ht="36" customHeight="1" thickBot="1" x14ac:dyDescent="0.25">
      <c r="A20" s="29"/>
      <c r="B20" s="30" t="str">
        <f>'Control Entry'!N59</f>
        <v/>
      </c>
      <c r="C20" s="30" t="str">
        <f>'Control Entry'!O59</f>
        <v/>
      </c>
      <c r="D20" s="31"/>
      <c r="E20" s="32" t="str">
        <f>IF(ISBLANK('Control Entry'!H59),"",'Control Entry'!H59)</f>
        <v/>
      </c>
      <c r="F20" s="88" t="str">
        <f>IF(ISBLANK('Control Entry'!K59),"",'Control Entry'!K59)</f>
        <v/>
      </c>
      <c r="G20" s="87"/>
      <c r="H20" s="24" t="s">
        <v>29</v>
      </c>
      <c r="J20" s="50" t="s">
        <v>44</v>
      </c>
      <c r="K20" s="50"/>
      <c r="L20" s="128">
        <f>IF(ISBLANK('Control Entry'!B12),"",'Control Entry'!B12)</f>
        <v>44876</v>
      </c>
      <c r="M20" s="128"/>
      <c r="N20" s="128"/>
      <c r="P20" s="15" t="s">
        <v>0</v>
      </c>
      <c r="Q20" s="15"/>
      <c r="S20" s="132">
        <f>IF(ISBLANK('Control Entry'!B13),"",'Control Entry'!B13)</f>
        <v>0.29166666666666669</v>
      </c>
      <c r="T20" s="132"/>
      <c r="U20" s="132"/>
    </row>
    <row r="21" spans="1:22" ht="36" customHeight="1" x14ac:dyDescent="0.2">
      <c r="A21" s="25"/>
      <c r="B21" s="26" t="str">
        <f>'Control Entry'!N60</f>
        <v/>
      </c>
      <c r="C21" s="26" t="str">
        <f>'Control Entry'!O60</f>
        <v/>
      </c>
      <c r="D21" s="33"/>
      <c r="E21" s="28" t="str">
        <f>IF(ISBLANK('Control Entry'!F60),"",'Control Entry'!F60)</f>
        <v/>
      </c>
      <c r="F21" s="84" t="str">
        <f>IF(ISBLANK('Control Entry'!I60),"",'Control Entry'!I60)</f>
        <v/>
      </c>
      <c r="G21" s="85"/>
      <c r="H21" s="24" t="s">
        <v>29</v>
      </c>
      <c r="J21" s="134" t="s">
        <v>90</v>
      </c>
      <c r="K21" s="134"/>
      <c r="L21" s="134"/>
      <c r="M21" s="134"/>
      <c r="N21" s="134"/>
      <c r="O21" s="134"/>
      <c r="P21" s="134"/>
      <c r="Q21" s="134"/>
      <c r="R21" s="134"/>
      <c r="S21" s="134"/>
      <c r="T21" s="134"/>
      <c r="U21" s="134"/>
    </row>
    <row r="22" spans="1:22" ht="36" customHeight="1" thickBot="1" x14ac:dyDescent="0.25">
      <c r="A22" s="34" t="str">
        <f>IF(ISBLANK('Control Entry'!D60),"",'Control Entry'!D60)</f>
        <v/>
      </c>
      <c r="B22" s="35" t="str">
        <f>'Control Entry'!N60</f>
        <v/>
      </c>
      <c r="C22" s="35" t="str">
        <f>'Control Entry'!O60</f>
        <v/>
      </c>
      <c r="D22" s="36" t="str">
        <f>IF(ISBLANK('Control Entry'!E60),"",'Control Entry'!E60)</f>
        <v/>
      </c>
      <c r="E22" s="28" t="str">
        <f>IF(ISBLANK('Control Entry'!G60),"",'Control Entry'!G60)</f>
        <v/>
      </c>
      <c r="F22" s="84" t="str">
        <f>IF(ISBLANK('Control Entry'!J60),"",'Control Entry'!J60)</f>
        <v/>
      </c>
      <c r="G22" s="85"/>
      <c r="H22" s="24" t="s">
        <v>29</v>
      </c>
      <c r="J22" s="15" t="s">
        <v>45</v>
      </c>
      <c r="K22" s="15"/>
      <c r="M22" s="135"/>
      <c r="N22" s="135"/>
      <c r="O22" s="135"/>
      <c r="P22" s="15" t="s">
        <v>1</v>
      </c>
      <c r="Q22" s="15"/>
      <c r="S22" s="135"/>
      <c r="T22" s="135"/>
      <c r="U22" s="135"/>
    </row>
    <row r="23" spans="1:22" ht="36" customHeight="1" thickBot="1" x14ac:dyDescent="0.25">
      <c r="A23" s="29"/>
      <c r="B23" s="30" t="str">
        <f>'Control Entry'!N60</f>
        <v/>
      </c>
      <c r="C23" s="30" t="str">
        <f>'Control Entry'!O60</f>
        <v/>
      </c>
      <c r="D23" s="31"/>
      <c r="E23" s="32" t="str">
        <f>IF(ISBLANK('Control Entry'!H60),"",'Control Entry'!H60)</f>
        <v/>
      </c>
      <c r="F23" s="88" t="str">
        <f>IF(ISBLANK('Control Entry'!K60),"",'Control Entry'!K60)</f>
        <v/>
      </c>
      <c r="G23" s="87"/>
      <c r="H23" s="24" t="s">
        <v>29</v>
      </c>
      <c r="J23" s="50"/>
      <c r="K23" s="50"/>
      <c r="L23" s="44"/>
      <c r="M23" s="44"/>
      <c r="N23" s="44"/>
      <c r="P23" s="15"/>
      <c r="Q23" s="15"/>
    </row>
    <row r="24" spans="1:22" ht="36" customHeight="1" thickBot="1" x14ac:dyDescent="0.25">
      <c r="A24" s="25"/>
      <c r="B24" s="26" t="str">
        <f>'Control Entry'!N61</f>
        <v/>
      </c>
      <c r="C24" s="26" t="str">
        <f>'Control Entry'!O61</f>
        <v/>
      </c>
      <c r="D24" s="33"/>
      <c r="E24" s="28" t="str">
        <f>IF(ISBLANK('Control Entry'!F61),"",'Control Entry'!F61)</f>
        <v/>
      </c>
      <c r="F24" s="84" t="str">
        <f>IF(ISBLANK('Control Entry'!I61),"",'Control Entry'!I61)</f>
        <v/>
      </c>
      <c r="G24" s="85"/>
      <c r="H24" s="24" t="s">
        <v>29</v>
      </c>
      <c r="J24" s="135"/>
      <c r="K24" s="135"/>
      <c r="L24" s="135"/>
      <c r="M24" s="135"/>
      <c r="N24" s="135"/>
      <c r="P24" s="15" t="s">
        <v>2</v>
      </c>
      <c r="Q24" s="15"/>
      <c r="S24" s="135"/>
      <c r="T24" s="135"/>
      <c r="U24" s="135"/>
    </row>
    <row r="25" spans="1:22" ht="36" customHeight="1" x14ac:dyDescent="0.2">
      <c r="A25" s="34" t="str">
        <f>IF(ISBLANK('Control Entry'!D61),"",'Control Entry'!D61)</f>
        <v/>
      </c>
      <c r="B25" s="35" t="str">
        <f>'Control Entry'!N61</f>
        <v/>
      </c>
      <c r="C25" s="35" t="str">
        <f>'Control Entry'!O61</f>
        <v/>
      </c>
      <c r="D25" s="36" t="str">
        <f>IF(ISBLANK('Control Entry'!E61),"",'Control Entry'!E61)</f>
        <v/>
      </c>
      <c r="E25" s="28" t="str">
        <f>IF(ISBLANK('Control Entry'!G61),"",'Control Entry'!G61)</f>
        <v/>
      </c>
      <c r="F25" s="84" t="str">
        <f>IF(ISBLANK('Control Entry'!J61),"",'Control Entry'!J61)</f>
        <v/>
      </c>
      <c r="G25" s="85"/>
      <c r="H25" s="24" t="s">
        <v>29</v>
      </c>
      <c r="J25" s="130" t="s">
        <v>17</v>
      </c>
      <c r="K25" s="130"/>
      <c r="L25" s="130"/>
      <c r="M25" s="130"/>
      <c r="N25" s="130"/>
      <c r="O25" s="46"/>
      <c r="P25" s="109"/>
      <c r="Q25" s="109"/>
      <c r="R25" s="46"/>
      <c r="S25" s="107"/>
      <c r="T25" s="107"/>
      <c r="U25" s="107"/>
      <c r="V25" s="107"/>
    </row>
    <row r="26" spans="1:22" ht="36" customHeight="1" thickBot="1" x14ac:dyDescent="0.25">
      <c r="A26" s="29"/>
      <c r="B26" s="30" t="str">
        <f>'Control Entry'!N61</f>
        <v/>
      </c>
      <c r="C26" s="30" t="str">
        <f>'Control Entry'!O61</f>
        <v/>
      </c>
      <c r="D26" s="31"/>
      <c r="E26" s="32" t="str">
        <f>IF(ISBLANK('Control Entry'!H61),"",'Control Entry'!H61)</f>
        <v/>
      </c>
      <c r="F26" s="88" t="str">
        <f>IF(ISBLANK('Control Entry'!K61),"",'Control Entry'!K61)</f>
        <v/>
      </c>
      <c r="G26" s="87"/>
      <c r="H26" s="24" t="s">
        <v>29</v>
      </c>
    </row>
    <row r="27" spans="1:22" ht="36" customHeight="1" x14ac:dyDescent="0.2">
      <c r="A27" s="25"/>
      <c r="B27" s="26" t="str">
        <f>'Control Entry'!N62</f>
        <v/>
      </c>
      <c r="C27" s="26" t="str">
        <f>'Control Entry'!O62</f>
        <v/>
      </c>
      <c r="D27" s="33"/>
      <c r="E27" s="28" t="str">
        <f>IF(ISBLANK('Control Entry'!F62),"",'Control Entry'!F62)</f>
        <v/>
      </c>
      <c r="F27" s="84" t="str">
        <f>IF(ISBLANK('Control Entry'!I62),"",'Control Entry'!I62)</f>
        <v/>
      </c>
      <c r="G27" s="85"/>
      <c r="H27" s="24" t="s">
        <v>29</v>
      </c>
      <c r="K27" s="116" t="s">
        <v>56</v>
      </c>
      <c r="L27" s="109"/>
      <c r="M27" s="45" t="s">
        <v>57</v>
      </c>
      <c r="N27" s="109" t="s">
        <v>49</v>
      </c>
      <c r="O27" s="109"/>
      <c r="P27" s="109" t="s">
        <v>50</v>
      </c>
      <c r="Q27" s="109"/>
      <c r="R27" s="46" t="s">
        <v>51</v>
      </c>
      <c r="S27" s="107" t="s">
        <v>52</v>
      </c>
      <c r="T27" s="107"/>
      <c r="U27" s="107" t="s">
        <v>53</v>
      </c>
      <c r="V27" s="107"/>
    </row>
    <row r="28" spans="1:22" ht="36" customHeight="1" x14ac:dyDescent="0.2">
      <c r="A28" s="34" t="str">
        <f>IF(ISBLANK('Control Entry'!D62),"",'Control Entry'!D62)</f>
        <v/>
      </c>
      <c r="B28" s="35" t="str">
        <f>'Control Entry'!N62</f>
        <v/>
      </c>
      <c r="C28" s="35" t="str">
        <f>'Control Entry'!O62</f>
        <v/>
      </c>
      <c r="D28" s="36" t="str">
        <f>IF(ISBLANK('Control Entry'!E62),"",'Control Entry'!E62)</f>
        <v/>
      </c>
      <c r="E28" s="28" t="str">
        <f>IF(ISBLANK('Control Entry'!G62),"",'Control Entry'!G62)</f>
        <v/>
      </c>
      <c r="F28" s="84" t="str">
        <f>IF(ISBLANK('Control Entry'!J62),"",'Control Entry'!J62)</f>
        <v/>
      </c>
      <c r="G28" s="85"/>
      <c r="H28" s="24" t="s">
        <v>29</v>
      </c>
    </row>
    <row r="29" spans="1:22" ht="36" customHeight="1" thickBot="1" x14ac:dyDescent="0.25">
      <c r="A29" s="29"/>
      <c r="B29" s="30" t="str">
        <f>'Control Entry'!N62</f>
        <v/>
      </c>
      <c r="C29" s="30" t="str">
        <f>'Control Entry'!O62</f>
        <v/>
      </c>
      <c r="D29" s="31"/>
      <c r="E29" s="32" t="str">
        <f>IF(ISBLANK('Control Entry'!H62),"",'Control Entry'!H62)</f>
        <v/>
      </c>
      <c r="F29" s="88" t="str">
        <f>IF(ISBLANK('Control Entry'!K62),"",'Control Entry'!K62)</f>
        <v/>
      </c>
      <c r="G29" s="87"/>
      <c r="H29" s="24" t="s">
        <v>29</v>
      </c>
      <c r="M29" s="108" t="s">
        <v>42</v>
      </c>
      <c r="N29" s="108"/>
      <c r="O29" s="108"/>
      <c r="P29" s="108"/>
      <c r="Q29" s="108"/>
      <c r="R29" s="108"/>
      <c r="S29" s="108"/>
      <c r="T29" s="108"/>
      <c r="U29" s="49"/>
    </row>
    <row r="30" spans="1:22" ht="36" customHeight="1" x14ac:dyDescent="0.2">
      <c r="A30" s="25"/>
      <c r="B30" s="26" t="str">
        <f>'Control Entry'!N63</f>
        <v/>
      </c>
      <c r="C30" s="26" t="str">
        <f>'Control Entry'!O63</f>
        <v/>
      </c>
      <c r="D30" s="33"/>
      <c r="E30" s="28" t="str">
        <f>IF(ISBLANK('Control Entry'!F63),"",'Control Entry'!F63)</f>
        <v/>
      </c>
      <c r="F30" s="84" t="str">
        <f>IF(ISBLANK('Control Entry'!I63),"",'Control Entry'!I63)</f>
        <v/>
      </c>
      <c r="G30" s="85"/>
      <c r="H30" s="24" t="s">
        <v>29</v>
      </c>
      <c r="M30" s="16"/>
      <c r="N30" s="18"/>
      <c r="O30" s="18"/>
      <c r="P30" s="19"/>
      <c r="Q30" s="16"/>
      <c r="R30" s="18"/>
      <c r="S30" s="18"/>
      <c r="T30" s="19"/>
    </row>
    <row r="31" spans="1:22" ht="36" customHeight="1" x14ac:dyDescent="0.2">
      <c r="A31" s="34" t="str">
        <f>IF(ISBLANK('Control Entry'!D63),"",'Control Entry'!D63)</f>
        <v/>
      </c>
      <c r="B31" s="35" t="str">
        <f>'Control Entry'!N63</f>
        <v/>
      </c>
      <c r="C31" s="35" t="str">
        <f>'Control Entry'!O63</f>
        <v/>
      </c>
      <c r="D31" s="36" t="str">
        <f>IF(ISBLANK('Control Entry'!E63),"",'Control Entry'!E63)</f>
        <v/>
      </c>
      <c r="E31" s="28" t="str">
        <f>IF(ISBLANK('Control Entry'!G63),"",'Control Entry'!G63)</f>
        <v/>
      </c>
      <c r="F31" s="84" t="str">
        <f>IF(ISBLANK('Control Entry'!J63),"",'Control Entry'!J63)</f>
        <v/>
      </c>
      <c r="G31" s="85"/>
      <c r="H31" s="24" t="s">
        <v>29</v>
      </c>
      <c r="M31" s="17"/>
      <c r="P31" s="20"/>
      <c r="Q31" s="17"/>
      <c r="T31" s="20"/>
    </row>
    <row r="32" spans="1:22" ht="36" customHeight="1" thickBot="1" x14ac:dyDescent="0.25">
      <c r="A32" s="29"/>
      <c r="B32" s="30" t="str">
        <f>'Control Entry'!N63</f>
        <v/>
      </c>
      <c r="C32" s="30" t="str">
        <f>'Control Entry'!O63</f>
        <v/>
      </c>
      <c r="D32" s="31"/>
      <c r="E32" s="32" t="str">
        <f>IF(ISBLANK('Control Entry'!H63),"",'Control Entry'!H63)</f>
        <v/>
      </c>
      <c r="F32" s="88" t="str">
        <f>IF(ISBLANK('Control Entry'!K63),"",'Control Entry'!K63)</f>
        <v/>
      </c>
      <c r="G32" s="87"/>
      <c r="H32" s="24" t="s">
        <v>29</v>
      </c>
      <c r="M32" s="121" t="s">
        <v>82</v>
      </c>
      <c r="N32" s="122"/>
      <c r="O32" s="122"/>
      <c r="P32" s="123"/>
      <c r="Q32" s="124">
        <f>'Control Entry'!B3</f>
        <v>44700</v>
      </c>
      <c r="R32" s="125"/>
      <c r="S32" s="125"/>
      <c r="T32" s="126"/>
    </row>
    <row r="33" spans="1:22" ht="36" customHeight="1" x14ac:dyDescent="0.2">
      <c r="A33" s="115" t="s">
        <v>43</v>
      </c>
      <c r="B33" s="115"/>
      <c r="C33" s="115"/>
      <c r="D33" s="115"/>
      <c r="E33" s="115"/>
      <c r="F33" s="115"/>
      <c r="G33" s="115"/>
      <c r="H33" s="37"/>
      <c r="I33" s="37"/>
      <c r="M33" s="110" t="s">
        <v>86</v>
      </c>
      <c r="N33" s="111"/>
      <c r="O33" s="111"/>
      <c r="P33" s="111"/>
      <c r="Q33" s="112">
        <f>'Control Entry'!B4</f>
        <v>44870</v>
      </c>
      <c r="R33" s="113"/>
      <c r="S33" s="113"/>
      <c r="T33" s="113"/>
      <c r="U33" s="81"/>
      <c r="V33" s="44"/>
    </row>
    <row r="34" spans="1:22" ht="36" customHeight="1" x14ac:dyDescent="0.2">
      <c r="A34"/>
      <c r="O34" s="15"/>
      <c r="P34" s="15"/>
      <c r="Q34" s="15"/>
      <c r="R34" s="42"/>
    </row>
    <row r="35" spans="1:22" ht="36" customHeight="1" x14ac:dyDescent="0.2">
      <c r="A35"/>
      <c r="N35" s="108"/>
      <c r="O35" s="108"/>
      <c r="P35" s="108"/>
      <c r="Q35" s="108"/>
      <c r="R35" s="108"/>
      <c r="S35" s="108"/>
      <c r="T35" s="108"/>
      <c r="U35" s="108"/>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2022-10-07T02:55:23Z</cp:lastPrinted>
  <dcterms:created xsi:type="dcterms:W3CDTF">1997-11-12T04:43:39Z</dcterms:created>
  <dcterms:modified xsi:type="dcterms:W3CDTF">2022-11-06T01:27:45Z</dcterms:modified>
</cp:coreProperties>
</file>