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195" windowWidth="27225" windowHeight="21840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 refMode="R1C1"/>
</workbook>
</file>

<file path=xl/calcChain.xml><?xml version="1.0" encoding="utf-8"?>
<calcChain xmlns="http://schemas.openxmlformats.org/spreadsheetml/2006/main">
  <c r="C1" i="1"/>
  <c r="B2" s="1"/>
  <c r="J13"/>
  <c r="E51" i="2"/>
  <c r="E20"/>
  <c r="I10" i="1"/>
  <c r="J10" s="1"/>
  <c r="L10" s="1"/>
  <c r="C5" i="2" s="1"/>
  <c r="I11" i="1"/>
  <c r="I12"/>
  <c r="I13"/>
  <c r="I14"/>
  <c r="J14"/>
  <c r="I15"/>
  <c r="J15"/>
  <c r="I16"/>
  <c r="J16"/>
  <c r="I17"/>
  <c r="J17"/>
  <c r="I18"/>
  <c r="J18"/>
  <c r="I19"/>
  <c r="J19"/>
  <c r="K19"/>
  <c r="B31" i="2" s="1"/>
  <c r="L19" i="1"/>
  <c r="C32" i="2" s="1"/>
  <c r="I20" i="1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B46" i="2" s="1"/>
  <c r="L24" i="1"/>
  <c r="C46" i="2" s="1"/>
  <c r="I25" i="1"/>
  <c r="J25"/>
  <c r="K25"/>
  <c r="B48" i="2" s="1"/>
  <c r="L25" i="1"/>
  <c r="C48" i="2" s="1"/>
  <c r="I26" i="1"/>
  <c r="J26"/>
  <c r="K26"/>
  <c r="B51" i="2" s="1"/>
  <c r="L26" i="1"/>
  <c r="C53" i="2" s="1"/>
  <c r="I27" i="1"/>
  <c r="J27"/>
  <c r="K27"/>
  <c r="B56" i="2" s="1"/>
  <c r="L27" i="1"/>
  <c r="C54" i="2" s="1"/>
  <c r="I28" i="1"/>
  <c r="J28"/>
  <c r="K28"/>
  <c r="B58" i="2" s="1"/>
  <c r="L28" i="1"/>
  <c r="C59" i="2" s="1"/>
  <c r="I29" i="1"/>
  <c r="J29"/>
  <c r="K29"/>
  <c r="B61" i="2" s="1"/>
  <c r="L29" i="1"/>
  <c r="C61" i="2" s="1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E18"/>
  <c r="A19"/>
  <c r="D19"/>
  <c r="E19"/>
  <c r="E21"/>
  <c r="A22"/>
  <c r="D22"/>
  <c r="E22"/>
  <c r="E23"/>
  <c r="K23"/>
  <c r="E24"/>
  <c r="A25"/>
  <c r="D25"/>
  <c r="E25"/>
  <c r="E26"/>
  <c r="E27"/>
  <c r="A28"/>
  <c r="D28"/>
  <c r="E28"/>
  <c r="E29"/>
  <c r="E30"/>
  <c r="A31"/>
  <c r="D31"/>
  <c r="E31"/>
  <c r="N31"/>
  <c r="E32"/>
  <c r="J40"/>
  <c r="A46"/>
  <c r="D46"/>
  <c r="E46"/>
  <c r="E47"/>
  <c r="E48"/>
  <c r="A49"/>
  <c r="D49"/>
  <c r="E49"/>
  <c r="E50"/>
  <c r="A52"/>
  <c r="D52"/>
  <c r="E52"/>
  <c r="E53"/>
  <c r="K53"/>
  <c r="E54"/>
  <c r="A55"/>
  <c r="D55"/>
  <c r="E55"/>
  <c r="E56"/>
  <c r="E57"/>
  <c r="A58"/>
  <c r="D58"/>
  <c r="E58"/>
  <c r="E59"/>
  <c r="E60"/>
  <c r="A61"/>
  <c r="D61"/>
  <c r="E61"/>
  <c r="N61"/>
  <c r="E62"/>
  <c r="C58" l="1"/>
  <c r="K10" i="1"/>
  <c r="K13" s="1"/>
  <c r="B13" i="2" s="1"/>
  <c r="J12" i="1"/>
  <c r="C49" i="2"/>
  <c r="C31"/>
  <c r="C57"/>
  <c r="C50"/>
  <c r="C30"/>
  <c r="J11" i="1"/>
  <c r="B30" i="2"/>
  <c r="B50"/>
  <c r="C56"/>
  <c r="B57"/>
  <c r="B49"/>
  <c r="C60"/>
  <c r="B55"/>
  <c r="C4"/>
  <c r="C55"/>
  <c r="B47"/>
  <c r="B54"/>
  <c r="B52"/>
  <c r="C47"/>
  <c r="B60"/>
  <c r="C52"/>
  <c r="K17" i="1"/>
  <c r="B26" i="2" s="1"/>
  <c r="L17" i="1"/>
  <c r="K14"/>
  <c r="L14"/>
  <c r="B62" i="2"/>
  <c r="B59"/>
  <c r="L16" i="1"/>
  <c r="C62" i="2"/>
  <c r="B53"/>
  <c r="C51"/>
  <c r="B32"/>
  <c r="K18" i="1"/>
  <c r="L12"/>
  <c r="K16"/>
  <c r="C3" i="2"/>
  <c r="L18" i="1"/>
  <c r="L15"/>
  <c r="K15"/>
  <c r="L13"/>
  <c r="B12" i="2" l="1"/>
  <c r="K11" i="1"/>
  <c r="B6" i="2" s="1"/>
  <c r="L11" i="1"/>
  <c r="C6" i="2" s="1"/>
  <c r="B14"/>
  <c r="B5"/>
  <c r="B3"/>
  <c r="K12" i="1"/>
  <c r="B9" i="2" s="1"/>
  <c r="B4"/>
  <c r="B24"/>
  <c r="B25"/>
  <c r="B27"/>
  <c r="B28"/>
  <c r="B29"/>
  <c r="B16"/>
  <c r="B17"/>
  <c r="B15"/>
  <c r="B20"/>
  <c r="C29"/>
  <c r="C28"/>
  <c r="C27"/>
  <c r="C26"/>
  <c r="C24"/>
  <c r="C25"/>
  <c r="C10"/>
  <c r="C11"/>
  <c r="C9"/>
  <c r="C17"/>
  <c r="C20"/>
  <c r="C15"/>
  <c r="C16"/>
  <c r="C18"/>
  <c r="C19"/>
  <c r="B23"/>
  <c r="B22"/>
  <c r="B21"/>
  <c r="C22"/>
  <c r="C21"/>
  <c r="C23"/>
  <c r="B18"/>
  <c r="B19"/>
  <c r="C12"/>
  <c r="C13"/>
  <c r="C14"/>
  <c r="B8" l="1"/>
  <c r="B10"/>
  <c r="B11"/>
  <c r="C8"/>
  <c r="C7"/>
  <c r="B7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<sst xmlns="http://schemas.openxmlformats.org/spreadsheetml/2006/main" count="108" uniqueCount="79">
  <si>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</si>
  <si>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</si>
  <si>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</si>
  <si>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</si>
  <si>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</si>
  <si>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</si>
  <si>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</si>
  <si>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</si>
  <si>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</si>
  <si>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</si>
  <si>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</si>
  <si>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</si>
  <si>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</si>
  <si>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</si>
  <si>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</si>
  <si>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</si>
  <si>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</si>
  <si>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</si>
  <si>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</si>
  <si>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</si>
  <si>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</si>
  <si>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</si>
  <si>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</si>
  <si>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</si>
  <si>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</si>
  <si>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</si>
  <si>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</si>
  <si>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</si>
  <si>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</si>
  <si>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</si>
  <si>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</si>
  <si>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</si>
  <si>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</si>
  <si>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</si>
  <si>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</si>
  <si>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</si>
  <si>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</si>
  <si>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</si>
  <si>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</si>
  <si>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</si>
  <si>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</si>
  <si>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</si>
  <si>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</si>
  <si>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</si>
  <si>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</si>
  <si>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</si>
  <si>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</si>
  <si>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</si>
  <si>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</si>
  <si>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</si>
  <si>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</si>
  <si>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</si>
  <si>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</si>
  <si>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</si>
  <si>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</si>
  <si>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</si>
  <si>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</si>
  <si>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</si>
  <si>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</si>
  <si>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</si>
  <si>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</si>
  <si>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</si>
  <si>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</si>
  <si>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</si>
  <si>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</si>
  <si>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</si>
  <si>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</si>
  <si>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</si>
  <si>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</si>
  <si>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</si>
  <si>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</si>
  <si>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</si>
  <si>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</si>
  <si>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</si>
  <si>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>P167</t>
  </si>
  <si>
    <t>End of Rock Rd</t>
  </si>
  <si>
    <t>Semiahmoo Resort</t>
  </si>
  <si>
    <t>Riverbend Dr</t>
  </si>
  <si>
    <t>Frail Grasp from Poco Permanent #167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</si>
</sst>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d/mmm/yy"/>
    <numFmt numFmtId="166" formatCode="dddd"/>
    <numFmt numFmtId="167" formatCode="0.0"/>
    <numFmt numFmtId="168" formatCode="mmmm\ d\,\ yyyy"/>
  </numFmts>
  <fonts count="16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6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68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49" fontId="1" fillId="0" borderId="17" xfId="0" applyNumberFormat="1" applyFont="1" applyBorder="1" applyProtection="1">
      <protection locked="0"/>
    </xf>
    <xf numFmtId="0" fontId="1" fillId="0" borderId="19" xfId="0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Continuous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tabSelected="1" zoomScale="125" workbookViewId="0">
      <selection activeCell="B3" sqref="B3"/>
    </sheetView>
  </sheetViews>
  <sheetFormatPr defaultColWidth="8.85546875" defaultRowHeight="12.75"/>
  <cols>
    <col min="1" max="1" width="16.42578125" style="3" customWidth="1"/>
    <col min="2" max="2" width="9.42578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8" t="s">
        <v>14</v>
      </c>
      <c r="B1" s="39">
        <v>300</v>
      </c>
      <c r="C1">
        <f>IF(Brevet_Length&gt;=1200,Brevet_Length,IF(Brevet_Length&gt;=1000,1000,IF(Brevet_Length&gt;=600,600,IF(Brevet_Length&gt;=400,400,IF(Brevet_Length&gt;=300,300,IF(Brevet_Length&gt;=200,200,100))))))</f>
        <v>300</v>
      </c>
      <c r="D1" s="93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20</v>
      </c>
      <c r="D2" s="93" t="s">
        <v>6</v>
      </c>
    </row>
    <row r="3" spans="1:12" ht="13.5" thickBot="1">
      <c r="A3" s="40" t="s">
        <v>16</v>
      </c>
      <c r="B3" s="102" t="s">
        <v>78</v>
      </c>
      <c r="C3" s="45"/>
      <c r="D3" s="4"/>
      <c r="E3" s="4"/>
      <c r="F3" s="4"/>
      <c r="G3" s="4"/>
      <c r="H3" s="5"/>
    </row>
    <row r="4" spans="1:12">
      <c r="A4" s="40" t="s">
        <v>17</v>
      </c>
      <c r="B4" s="99" t="s">
        <v>74</v>
      </c>
      <c r="C4" s="86"/>
      <c r="D4" s="93" t="s">
        <v>70</v>
      </c>
      <c r="E4" s="87"/>
      <c r="F4" s="87"/>
      <c r="G4" s="87"/>
      <c r="H4" s="87"/>
    </row>
    <row r="5" spans="1:12">
      <c r="A5" s="40" t="s">
        <v>18</v>
      </c>
      <c r="B5" s="42"/>
      <c r="D5" s="93" t="s">
        <v>73</v>
      </c>
    </row>
    <row r="6" spans="1:12" ht="13.5" thickBot="1">
      <c r="A6" s="36" t="s">
        <v>19</v>
      </c>
      <c r="B6" s="37">
        <v>0</v>
      </c>
      <c r="D6" s="93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4" t="s">
        <v>2</v>
      </c>
      <c r="G9" s="16" t="s">
        <v>0</v>
      </c>
      <c r="H9" s="95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3">
        <v>0</v>
      </c>
      <c r="E10" s="100" t="s">
        <v>77</v>
      </c>
      <c r="F10" s="101"/>
      <c r="G10" s="88"/>
      <c r="H10" s="89"/>
      <c r="I10" s="7">
        <f>Start_date+Start_time</f>
        <v>0</v>
      </c>
      <c r="J10" s="7">
        <f>I10+"1:00"</f>
        <v>4.1666666666666664E-2</v>
      </c>
      <c r="K10" s="8">
        <f>IF(ISBLANK(Distance),"",Open Control_1)</f>
        <v>0</v>
      </c>
      <c r="L10" s="8">
        <f>IF(ISBLANK(Distance),"",Close Control_1)</f>
        <v>4.1666666666666664E-2</v>
      </c>
    </row>
    <row r="11" spans="1:12">
      <c r="C11" s="6" t="s">
        <v>28</v>
      </c>
      <c r="D11" s="43">
        <v>86.2</v>
      </c>
      <c r="E11" s="100" t="s">
        <v>75</v>
      </c>
      <c r="F11" s="101"/>
      <c r="G11" s="88"/>
      <c r="H11" s="89"/>
      <c r="I11">
        <f>IF(ISBLANK(Distance),"",IF(Distance&gt;1000,(Distance-1000)/26+33.0847,(IF(Distance&gt;600,(Distance-600)/28+18.799,(IF(Distance&gt;400,(Distance-400)/30+12.1324,(IF(Distance&gt;200,(Distance-200)/32+5.8824,Distance/34))))))))</f>
        <v>2.5352941176470587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5.746666666666667</v>
      </c>
      <c r="K11" s="8">
        <f>IF(ISBLANK(Distance),"",Open_time Control_1+(INT(Open)&amp;":"&amp;IF(ROUND(((Open-INT(Open))*60),0)&lt;10,0,"")&amp;ROUND(((Open-INT(Open))*60),0)))</f>
        <v>0.10555555555555556</v>
      </c>
      <c r="L11" s="8">
        <f>IF(ISBLANK(Distance),"",Open_time Control_1+(INT(Close)&amp;":"&amp;IF(ROUND(((Close-INT(Close))*60),0)&lt;10,0,"")&amp;ROUND(((Close-INT(Close))*60),0)))</f>
        <v>0.23958333333333334</v>
      </c>
    </row>
    <row r="12" spans="1:12">
      <c r="C12" s="6" t="s">
        <v>29</v>
      </c>
      <c r="D12" s="43">
        <v>153.5</v>
      </c>
      <c r="E12" s="100" t="s">
        <v>76</v>
      </c>
      <c r="F12" s="101"/>
      <c r="G12" s="88"/>
      <c r="H12" s="89"/>
      <c r="I12">
        <f>IF(ISBLANK(Distance),"",IF(Distance&gt;1000,(Distance-1000)/26+33.0847,(IF(Distance&gt;600,(Distance-600)/28+18.799,(IF(Distance&gt;400,(Distance-400)/30+12.1324,(IF(Distance&gt;200,(Distance-200)/32+5.8824,Distance/34))))))))</f>
        <v>4.5147058823529411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10.233333333333333</v>
      </c>
      <c r="K12" s="8">
        <f>IF(ISBLANK(Distance),"",Open_time Control_1+(INT(Open)&amp;":"&amp;IF(ROUND(((Open-INT(Open))*60),0)&lt;10,0,"")&amp;ROUND(((Open-INT(Open))*60),0)))</f>
        <v>0.18819444444444444</v>
      </c>
      <c r="L12" s="8">
        <f>IF(ISBLANK(Distance),"",Open_time Control_1+(INT(Close)&amp;":"&amp;IF(ROUND(((Close-INT(Close))*60),0)&lt;10,0,"")&amp;ROUND(((Close-INT(Close))*60),0)))</f>
        <v>0.42638888888888887</v>
      </c>
    </row>
    <row r="13" spans="1:12">
      <c r="C13" s="6" t="s">
        <v>30</v>
      </c>
      <c r="D13" s="43">
        <v>201.5</v>
      </c>
      <c r="E13" s="100" t="s">
        <v>77</v>
      </c>
      <c r="F13" s="101"/>
      <c r="G13" s="101"/>
      <c r="H13" s="89"/>
      <c r="I13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5.9292749999999996</v>
      </c>
      <c r="J13">
        <f t="shared" si="0"/>
        <v>13.433333333333334</v>
      </c>
      <c r="K13" s="8">
        <f>IF(ISBLANK(Distance),"",Open_time Control_1+(INT(Open)&amp;":"&amp;IF(ROUND(((Open-INT(Open))*60),0)&lt;10,0,"")&amp;ROUND(((Open-INT(Open))*60),0)))</f>
        <v>0.24722222222222223</v>
      </c>
      <c r="L13" s="8">
        <f>IF(ISBLANK(Distance),"",Open_time Control_1+(INT(Close)&amp;":"&amp;IF(ROUND(((Close-INT(Close))*60),0)&lt;10,0,"")&amp;ROUND(((Close-INT(Close))*60),0)))</f>
        <v>0.55972222222222223</v>
      </c>
    </row>
    <row r="14" spans="1:12">
      <c r="C14" s="6" t="s">
        <v>31</v>
      </c>
      <c r="D14" s="43"/>
      <c r="E14" s="100"/>
      <c r="F14" s="101"/>
      <c r="G14" s="88"/>
      <c r="H14" s="89"/>
      <c r="I14" t="str">
        <f t="shared" si="1"/>
        <v/>
      </c>
      <c r="J14" t="str">
        <f t="shared" si="0"/>
        <v/>
      </c>
      <c r="K14" s="8" t="str">
        <f>IF(ISBLANK(Distance),"",Open_time Control_1+(INT(Open)&amp;":"&amp;IF(ROUND(((Open-INT(Open))*60),0)&lt;10,0,"")&amp;ROUND(((Open-INT(Open))*60),0)))</f>
        <v/>
      </c>
      <c r="L14" s="8" t="str">
        <f>IF(ISBLANK(Distance),"",Open_time Control_1+(INT(Close)&amp;":"&amp;IF(ROUND(((Close-INT(Close))*60),0)&lt;10,0,"")&amp;ROUND(((Close-INT(Close))*60),0)))</f>
        <v/>
      </c>
    </row>
    <row r="15" spans="1:12">
      <c r="C15" s="6" t="s">
        <v>32</v>
      </c>
      <c r="D15" s="43"/>
      <c r="E15" s="100"/>
      <c r="F15" s="101"/>
      <c r="G15" s="88"/>
      <c r="H15" s="89"/>
      <c r="I15" t="str">
        <f t="shared" si="1"/>
        <v/>
      </c>
      <c r="J15" t="str">
        <f t="shared" si="0"/>
        <v/>
      </c>
      <c r="K15" s="8" t="str">
        <f>IF(ISBLANK(Distance),"",Open_time Control_1+(INT(Open)&amp;":"&amp;IF(ROUND(((Open-INT(Open))*60),0)&lt;10,0,"")&amp;ROUND(((Open-INT(Open))*60),0)))</f>
        <v/>
      </c>
      <c r="L15" s="8" t="str">
        <f>IF(ISBLANK(Distance),"",Open_time Control_1+(INT(Close)&amp;":"&amp;IF(ROUND(((Close-INT(Close))*60),0)&lt;10,0,"")&amp;ROUND(((Close-INT(Close))*60),0)))</f>
        <v/>
      </c>
    </row>
    <row r="16" spans="1:12">
      <c r="C16" s="6" t="s">
        <v>33</v>
      </c>
      <c r="D16" s="43"/>
      <c r="E16" s="100"/>
      <c r="F16" s="101"/>
      <c r="G16" s="88"/>
      <c r="H16" s="89"/>
      <c r="I16" t="str">
        <f t="shared" si="1"/>
        <v/>
      </c>
      <c r="J16" t="str">
        <f t="shared" si="0"/>
        <v/>
      </c>
      <c r="K16" s="8" t="str">
        <f>IF(ISBLANK(Distance),"",Open_time Control_1+(INT(Open)&amp;":"&amp;IF(ROUND(((Open-INT(Open))*60),0)&lt;10,0,"")&amp;ROUND(((Open-INT(Open))*60),0)))</f>
        <v/>
      </c>
      <c r="L16" s="8" t="str">
        <f>IF(ISBLANK(Distance),"",Open_time Control_1+(INT(Close)&amp;":"&amp;IF(ROUND(((Close-INT(Close))*60),0)&lt;10,0,"")&amp;ROUND(((Close-INT(Close))*60),0)))</f>
        <v/>
      </c>
    </row>
    <row r="17" spans="3:12">
      <c r="C17" s="6" t="s">
        <v>34</v>
      </c>
      <c r="D17" s="43"/>
      <c r="E17" s="100"/>
      <c r="F17" s="101"/>
      <c r="G17" s="88"/>
      <c r="H17" s="89"/>
      <c r="I17" t="str">
        <f t="shared" si="1"/>
        <v/>
      </c>
      <c r="J17" t="str">
        <f t="shared" si="0"/>
        <v/>
      </c>
      <c r="K17" s="8" t="str">
        <f>IF(ISBLANK(Distance),"",Open_time Control_1+(INT(Open)&amp;":"&amp;IF(ROUND(((Open-INT(Open))*60),0)&lt;10,0,"")&amp;ROUND(((Open-INT(Open))*60),0)))</f>
        <v/>
      </c>
      <c r="L17" s="8" t="str">
        <f>IF(ISBLANK(Distance),"",Open_time Control_1+(INT(Close)&amp;":"&amp;IF(ROUND(((Close-INT(Close))*60),0)&lt;10,0,"")&amp;ROUND(((Close-INT(Close))*60),0)))</f>
        <v/>
      </c>
    </row>
    <row r="18" spans="3:12">
      <c r="C18" s="6" t="s">
        <v>35</v>
      </c>
      <c r="D18" s="43"/>
      <c r="E18" s="100"/>
      <c r="F18" s="88"/>
      <c r="G18" s="88"/>
      <c r="H18" s="89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>
      <c r="C19" s="6" t="s">
        <v>36</v>
      </c>
      <c r="D19" s="43"/>
      <c r="E19" s="44"/>
      <c r="F19" s="88"/>
      <c r="G19" s="88"/>
      <c r="H19" s="89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37</v>
      </c>
      <c r="D20" s="43"/>
      <c r="E20" s="44"/>
      <c r="F20" s="88"/>
      <c r="G20" s="88"/>
      <c r="H20" s="89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3"/>
      <c r="E21" s="44"/>
      <c r="F21" s="88"/>
      <c r="G21" s="88"/>
      <c r="H21" s="89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3"/>
      <c r="E22" s="44"/>
      <c r="F22" s="88"/>
      <c r="G22" s="88"/>
      <c r="H22" s="89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3"/>
      <c r="E23" s="44"/>
      <c r="F23" s="88"/>
      <c r="G23" s="88"/>
      <c r="H23" s="89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3"/>
      <c r="E24" s="44"/>
      <c r="F24" s="88"/>
      <c r="G24" s="88"/>
      <c r="H24" s="89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3"/>
      <c r="E25" s="44"/>
      <c r="F25" s="88"/>
      <c r="G25" s="88"/>
      <c r="H25" s="89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3"/>
      <c r="E26" s="44"/>
      <c r="F26" s="88"/>
      <c r="G26" s="88"/>
      <c r="H26" s="89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3"/>
      <c r="E27" s="44"/>
      <c r="F27" s="88"/>
      <c r="G27" s="88"/>
      <c r="H27" s="89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3"/>
      <c r="E28" s="44"/>
      <c r="F28" s="88"/>
      <c r="G28" s="88"/>
      <c r="H28" s="89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90"/>
      <c r="G29" s="90"/>
      <c r="H29" s="91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6" t="s">
        <v>3</v>
      </c>
    </row>
    <row r="31" spans="3:12">
      <c r="D31" s="97" t="s">
        <v>7</v>
      </c>
    </row>
    <row r="32" spans="3:12">
      <c r="D32" s="98">
        <v>0</v>
      </c>
      <c r="E32" t="s">
        <v>8</v>
      </c>
      <c r="G32" t="s">
        <v>9</v>
      </c>
    </row>
    <row r="33" spans="4:8">
      <c r="D33" s="96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6" t="s">
        <v>4</v>
      </c>
    </row>
    <row r="37" spans="4:8">
      <c r="D37" s="97" t="s">
        <v>5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zoomScale="75" zoomScaleNormal="75" workbookViewId="0">
      <selection activeCell="O10" sqref="O10"/>
    </sheetView>
  </sheetViews>
  <sheetFormatPr defaultColWidth="8.85546875" defaultRowHeight="12.75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0</v>
      </c>
      <c r="C3" s="17">
        <f>Control_1 Close_time</f>
        <v>4.1666666666666664E-2</v>
      </c>
      <c r="D3" s="18"/>
      <c r="E3" s="30" t="str">
        <f>IF(ISBLANK(Control_1 Establishment_1),"",Control_1 Establishment_1)</f>
        <v/>
      </c>
      <c r="F3" s="27"/>
      <c r="G3" s="26"/>
      <c r="K3" s="46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0</v>
      </c>
      <c r="C4" s="19">
        <f>Control_1 Close_time</f>
        <v>4.1666666666666664E-2</v>
      </c>
      <c r="D4" s="30" t="str">
        <f>IF(ISBLANK(Locale Control_1),"",Locale Control_1)</f>
        <v>Riverbend Dr</v>
      </c>
      <c r="E4" s="30" t="str">
        <f>IF(ISBLANK(Control_1 Establishment_2),"",Control_1 Establishment_2)</f>
        <v/>
      </c>
      <c r="F4" s="27"/>
      <c r="G4" s="26"/>
      <c r="K4" s="46"/>
      <c r="N4" s="1"/>
    </row>
    <row r="5" spans="1:20" ht="36" customHeight="1" thickBot="1">
      <c r="A5" s="33"/>
      <c r="B5" s="20">
        <f>Control_1 Open_time</f>
        <v>0</v>
      </c>
      <c r="C5" s="20">
        <f>Control_1 Close_time</f>
        <v>4.1666666666666664E-2</v>
      </c>
      <c r="D5" s="21"/>
      <c r="E5" s="92" t="str">
        <f>IF(ISBLANK(Control_1 Establishment_3),"",Control_1 Establishment_3)</f>
        <v/>
      </c>
      <c r="F5" s="29"/>
      <c r="G5" s="28"/>
      <c r="K5" s="46"/>
    </row>
    <row r="6" spans="1:20" ht="36" customHeight="1">
      <c r="A6" s="31"/>
      <c r="B6" s="17">
        <f>Control_2 Open_time</f>
        <v>0.10555555555555556</v>
      </c>
      <c r="C6" s="17">
        <f>Control_2 Close_time</f>
        <v>0.23958333333333334</v>
      </c>
      <c r="D6" s="22"/>
      <c r="E6" s="30" t="str">
        <f>IF(ISBLANK(Control_2 Establishment_1),"",Control_2 Establishment_1)</f>
        <v/>
      </c>
      <c r="F6" s="27"/>
      <c r="G6" s="26"/>
      <c r="K6" s="46"/>
    </row>
    <row r="7" spans="1:20" ht="36" customHeight="1">
      <c r="A7" s="32">
        <f>IF(ISBLANK(Distance Control_2),"",Control_2 Distance)</f>
        <v>86.2</v>
      </c>
      <c r="B7" s="19">
        <f>Control_2 Open_time</f>
        <v>0.10555555555555556</v>
      </c>
      <c r="C7" s="19">
        <f>Control_2 Close_time</f>
        <v>0.23958333333333334</v>
      </c>
      <c r="D7" s="30" t="str">
        <f>IF(ISBLANK(Locale Control_2),"",Locale Control_2)</f>
        <v>End of Rock Rd</v>
      </c>
      <c r="E7" s="30" t="str">
        <f>IF(ISBLANK(Control_2 Establishment_2),"",Control_2 Establishment_2)</f>
        <v/>
      </c>
      <c r="F7" s="27"/>
      <c r="G7" s="26"/>
      <c r="K7" s="46"/>
    </row>
    <row r="8" spans="1:20" ht="36" customHeight="1" thickBot="1">
      <c r="A8" s="33"/>
      <c r="B8" s="20">
        <f>Control_2 Open_time</f>
        <v>0.10555555555555556</v>
      </c>
      <c r="C8" s="20">
        <f>Control_2 Close_time</f>
        <v>0.23958333333333334</v>
      </c>
      <c r="D8" s="21"/>
      <c r="E8" s="92" t="str">
        <f>IF(ISBLANK(Control_2 Establishment_3),"",Control_2 Establishment_3)</f>
        <v/>
      </c>
      <c r="F8" s="29"/>
      <c r="G8" s="2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36" customHeight="1">
      <c r="A9" s="31"/>
      <c r="B9" s="17">
        <f>Control_3 Open_time</f>
        <v>0.18819444444444444</v>
      </c>
      <c r="C9" s="17">
        <f>Control_3 Close_time</f>
        <v>0.42638888888888887</v>
      </c>
      <c r="D9" s="22"/>
      <c r="E9" s="30" t="str">
        <f>IF(ISBLANK(Control_3 Establishment_1),"",Control_3 Establishment_1)</f>
        <v/>
      </c>
      <c r="F9" s="27"/>
      <c r="G9" s="26"/>
      <c r="J9" s="49" t="s">
        <v>52</v>
      </c>
      <c r="K9" s="53"/>
      <c r="L9" s="47"/>
      <c r="M9" s="47"/>
      <c r="N9" s="47"/>
      <c r="O9" s="47"/>
      <c r="P9" s="47"/>
      <c r="Q9" s="47"/>
      <c r="R9" s="47"/>
      <c r="S9" s="47"/>
    </row>
    <row r="10" spans="1:20" ht="36" customHeight="1">
      <c r="A10" s="32">
        <f>IF(ISBLANK(Distance Control_3),"",Control_3 Distance)</f>
        <v>153.5</v>
      </c>
      <c r="B10" s="19">
        <f>Control_3 Open_time</f>
        <v>0.18819444444444444</v>
      </c>
      <c r="C10" s="19">
        <f>Control_3 Close_time</f>
        <v>0.42638888888888887</v>
      </c>
      <c r="D10" s="30" t="str">
        <f>IF(ISBLANK(Locale Control_3),"",Locale Control_3)</f>
        <v>Semiahmoo Resort</v>
      </c>
      <c r="E10" s="30" t="str">
        <f>IF(ISBLANK(Control_3 Establishment_2),"",Control_3 Establishment_2)</f>
        <v/>
      </c>
      <c r="F10" s="27"/>
      <c r="G10" s="26"/>
      <c r="J10" s="52" t="str">
        <f>IF(ISBLANK(Brevet_Description),"",Brevet_Description)</f>
        <v>Frail Grasp from Poco Permanent #167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36" customHeight="1" thickBot="1">
      <c r="A11" s="33"/>
      <c r="B11" s="20">
        <f>Control_3 Open_time</f>
        <v>0.18819444444444444</v>
      </c>
      <c r="C11" s="20">
        <f>Control_3 Close_time</f>
        <v>0.42638888888888887</v>
      </c>
      <c r="D11" s="21"/>
      <c r="E11" s="92" t="str">
        <f>IF(ISBLANK(Control_3 Establishment_3),"",Control_3 Establishment_3)</f>
        <v/>
      </c>
      <c r="F11" s="29"/>
      <c r="G11" s="28"/>
      <c r="J11" s="50" t="s">
        <v>53</v>
      </c>
      <c r="L11" s="65"/>
      <c r="M11" s="66"/>
      <c r="N11" s="66"/>
      <c r="O11" s="66"/>
      <c r="P11" s="66"/>
      <c r="Q11" s="66"/>
      <c r="R11" s="66"/>
      <c r="S11" s="66"/>
      <c r="T11" s="64"/>
    </row>
    <row r="12" spans="1:20" ht="36" customHeight="1" thickBot="1">
      <c r="A12" s="31"/>
      <c r="B12" s="17">
        <f>Control_4 Open_time</f>
        <v>0.24722222222222223</v>
      </c>
      <c r="C12" s="17">
        <f>Control_4 Close_time</f>
        <v>0.55972222222222223</v>
      </c>
      <c r="D12" s="22"/>
      <c r="E12" s="30" t="str">
        <f>IF(ISBLANK(Control_4 Establishment_1),"",Control_4 Establishment_1)</f>
        <v/>
      </c>
      <c r="F12" s="27"/>
      <c r="G12" s="26"/>
      <c r="J12" s="50" t="s">
        <v>54</v>
      </c>
      <c r="K12" s="50"/>
      <c r="L12" s="67"/>
      <c r="M12" s="67"/>
      <c r="N12" s="67"/>
      <c r="O12" s="67"/>
      <c r="P12" s="67"/>
      <c r="Q12" s="67"/>
      <c r="R12" s="67"/>
      <c r="S12" s="67"/>
      <c r="T12" s="62"/>
    </row>
    <row r="13" spans="1:20" ht="36" customHeight="1" thickBot="1">
      <c r="A13" s="32">
        <f>IF(ISBLANK(Distance Control_4),"",Control_4 Distance)</f>
        <v>201.5</v>
      </c>
      <c r="B13" s="19">
        <f>Control_4 Open_time</f>
        <v>0.24722222222222223</v>
      </c>
      <c r="C13" s="19">
        <f>Control_4 Close_time</f>
        <v>0.55972222222222223</v>
      </c>
      <c r="D13" s="30" t="str">
        <f>IF(ISBLANK(Locale Control_4),"",Locale Control_4)</f>
        <v>Riverbend Dr</v>
      </c>
      <c r="E13" s="30" t="str">
        <f>IF(ISBLANK(Control_4 Establishment_2),"",Control_4 Establishment_2)</f>
        <v/>
      </c>
      <c r="F13" s="27"/>
      <c r="G13" s="26"/>
      <c r="J13" s="50"/>
      <c r="K13" s="50"/>
      <c r="L13" s="67"/>
      <c r="M13" s="67"/>
      <c r="N13" s="67"/>
      <c r="O13" s="67"/>
      <c r="P13" s="67"/>
      <c r="Q13" s="67"/>
      <c r="R13" s="67"/>
      <c r="S13" s="67"/>
      <c r="T13" s="62"/>
    </row>
    <row r="14" spans="1:20" ht="36" customHeight="1" thickBot="1">
      <c r="A14" s="33"/>
      <c r="B14" s="20">
        <f>Control_4 Open_time</f>
        <v>0.24722222222222223</v>
      </c>
      <c r="C14" s="20">
        <f>Control_4 Close_time</f>
        <v>0.55972222222222223</v>
      </c>
      <c r="D14" s="21"/>
      <c r="E14" s="92" t="str">
        <f>IF(ISBLANK(Control_4 Establishment_3),"",Control_4 Establishment_3)</f>
        <v/>
      </c>
      <c r="F14" s="29"/>
      <c r="G14" s="28"/>
      <c r="J14" s="50" t="s">
        <v>55</v>
      </c>
      <c r="K14" s="50"/>
      <c r="L14" s="67"/>
      <c r="M14" s="67"/>
      <c r="N14" s="67"/>
      <c r="O14" s="68"/>
      <c r="P14" s="68" t="s">
        <v>56</v>
      </c>
      <c r="Q14" s="68"/>
      <c r="R14" s="68"/>
      <c r="S14" s="67"/>
      <c r="T14" s="62"/>
    </row>
    <row r="15" spans="1:20" ht="36" customHeight="1" thickBot="1">
      <c r="A15" s="31"/>
      <c r="B15" s="17" t="str">
        <f>Control_5 Open_time</f>
        <v/>
      </c>
      <c r="C15" s="17" t="str">
        <f>Control_5 Close_time</f>
        <v/>
      </c>
      <c r="D15" s="22"/>
      <c r="E15" s="30" t="str">
        <f>IF(ISBLANK(Control_5 Establishment_1),"",Control_5 Establishment_1)</f>
        <v/>
      </c>
      <c r="F15" s="27"/>
      <c r="G15" s="26"/>
      <c r="J15" s="50" t="s">
        <v>57</v>
      </c>
      <c r="K15" s="50"/>
      <c r="L15" s="67"/>
      <c r="M15" s="67"/>
      <c r="N15" s="67"/>
      <c r="O15" s="68"/>
      <c r="P15" s="68" t="s">
        <v>58</v>
      </c>
      <c r="Q15" s="68"/>
      <c r="R15" s="68"/>
      <c r="S15" s="67"/>
      <c r="T15" s="62"/>
    </row>
    <row r="16" spans="1:20" ht="36" customHeight="1">
      <c r="A16" s="32" t="str">
        <f>IF(ISBLANK(Distance Control_5),"",Control_5 Distance)</f>
        <v/>
      </c>
      <c r="B16" s="19" t="str">
        <f>Control_5 Open_time</f>
        <v/>
      </c>
      <c r="C16" s="19" t="str">
        <f>Control_5 Close_time</f>
        <v/>
      </c>
      <c r="D16" s="30" t="str">
        <f>IF(ISBLANK(Locale Control_5),"",Locale Control_5)</f>
        <v/>
      </c>
      <c r="E16" s="30" t="str">
        <f>IF(ISBLANK(Control_5 Establishment_2),"",Control_5 Establishment_2)</f>
        <v/>
      </c>
      <c r="F16" s="27"/>
      <c r="G16" s="26"/>
      <c r="L16" s="69"/>
      <c r="M16" s="69"/>
      <c r="N16" s="69"/>
      <c r="O16" s="69"/>
      <c r="P16" s="69"/>
      <c r="Q16" s="69"/>
      <c r="R16" s="69"/>
      <c r="S16" s="69"/>
    </row>
    <row r="17" spans="1:21" ht="36" customHeight="1" thickBot="1">
      <c r="A17" s="33"/>
      <c r="B17" s="20" t="str">
        <f>Control_5 Open_time</f>
        <v/>
      </c>
      <c r="C17" s="20" t="str">
        <f>Control_5 Close_time</f>
        <v/>
      </c>
      <c r="D17" s="21"/>
      <c r="E17" s="92" t="str">
        <f>IF(ISBLANK(Control_5 Establishment_3),"",Control_5 Establishment_3)</f>
        <v/>
      </c>
      <c r="F17" s="29"/>
      <c r="G17" s="28"/>
      <c r="J17" s="50" t="s">
        <v>59</v>
      </c>
      <c r="L17" s="67"/>
      <c r="M17" s="67"/>
      <c r="N17" s="67"/>
      <c r="O17" s="69"/>
      <c r="P17" s="68" t="s">
        <v>60</v>
      </c>
      <c r="Q17" s="67"/>
      <c r="R17" s="70"/>
      <c r="S17" s="70"/>
      <c r="T17" s="63"/>
    </row>
    <row r="18" spans="1:21" ht="36" customHeight="1">
      <c r="A18" s="31"/>
      <c r="B18" s="17" t="str">
        <f>Control_6 Open_time</f>
        <v/>
      </c>
      <c r="C18" s="17" t="str">
        <f>Control_6 Close_time</f>
        <v/>
      </c>
      <c r="D18" s="22"/>
      <c r="E18" s="30" t="str">
        <f>IF(ISBLANK(Control_6 Establishment_1),"",Control_6 Establishment_1)</f>
        <v/>
      </c>
      <c r="F18" s="27"/>
      <c r="G18" s="26"/>
      <c r="L18" s="69"/>
      <c r="M18" s="69"/>
      <c r="N18" s="69"/>
      <c r="O18" s="69"/>
      <c r="P18" s="69"/>
      <c r="Q18" s="69"/>
      <c r="R18" s="69"/>
      <c r="S18" s="69"/>
    </row>
    <row r="19" spans="1:21" ht="36" customHeight="1">
      <c r="A19" s="32" t="str">
        <f>IF(ISBLANK(Distance Control_6),"",Control_6 Distance)</f>
        <v/>
      </c>
      <c r="B19" s="19" t="str">
        <f>Control_6 Open_time</f>
        <v/>
      </c>
      <c r="C19" s="19" t="str">
        <f>Control_6 Close_time</f>
        <v/>
      </c>
      <c r="D19" s="30" t="str">
        <f>IF(ISBLANK(Locale Control_6),"",Locale Control_6)</f>
        <v/>
      </c>
      <c r="E19" s="30" t="str">
        <f>IF(ISBLANK(Control_6 Establishment_2),"",Control_6 Establishment_2)</f>
        <v/>
      </c>
      <c r="F19" s="27"/>
      <c r="G19" s="26"/>
      <c r="L19" s="69"/>
      <c r="M19" s="69"/>
      <c r="N19" s="69"/>
      <c r="O19" s="69"/>
      <c r="P19" s="69"/>
      <c r="Q19" s="69"/>
      <c r="R19" s="69"/>
      <c r="S19" s="69"/>
    </row>
    <row r="20" spans="1:21" ht="36" customHeight="1" thickBot="1">
      <c r="A20" s="33"/>
      <c r="B20" s="20" t="str">
        <f>Control_5 Open_time</f>
        <v/>
      </c>
      <c r="C20" s="20" t="str">
        <f>Control_5 Close_time</f>
        <v/>
      </c>
      <c r="D20" s="21"/>
      <c r="E20" s="92" t="str">
        <f>IF(ISBLANK(Control_6 Establishment_3),"",Control_6 Establishment_3)</f>
        <v/>
      </c>
      <c r="F20" s="29"/>
      <c r="G20" s="28"/>
      <c r="J20" s="55" t="s">
        <v>61</v>
      </c>
      <c r="K20" s="55"/>
      <c r="L20" s="71"/>
      <c r="M20" s="71"/>
      <c r="N20" s="71"/>
      <c r="O20" s="71"/>
      <c r="P20" s="71"/>
      <c r="Q20" s="71"/>
      <c r="R20" s="71"/>
      <c r="S20" s="71"/>
      <c r="T20" s="55"/>
    </row>
    <row r="21" spans="1:21" ht="36" customHeight="1">
      <c r="A21" s="31"/>
      <c r="B21" s="17" t="str">
        <f>Control_7 Open_time</f>
        <v/>
      </c>
      <c r="C21" s="17" t="str">
        <f>Control_7 Close_time</f>
        <v/>
      </c>
      <c r="D21" s="22"/>
      <c r="E21" s="30" t="str">
        <f>IF(ISBLANK(Control_7 Establishment_1),"",Control_7 Establishment_1)</f>
        <v/>
      </c>
      <c r="F21" s="27"/>
      <c r="G21" s="26"/>
      <c r="L21" s="69"/>
      <c r="M21" s="69"/>
      <c r="N21" s="69"/>
      <c r="O21" s="69"/>
      <c r="P21" s="69"/>
      <c r="Q21" s="69"/>
      <c r="R21" s="69"/>
      <c r="S21" s="69"/>
    </row>
    <row r="22" spans="1:21" ht="36" customHeight="1">
      <c r="A22" s="32" t="str">
        <f>IF(ISBLANK(Distance Control_7),"",Control_7 Distance)</f>
        <v/>
      </c>
      <c r="B22" s="19" t="str">
        <f>Control_7 Open_time</f>
        <v/>
      </c>
      <c r="C22" s="19" t="str">
        <f>Control_7 Close_time</f>
        <v/>
      </c>
      <c r="D22" s="30" t="str">
        <f>IF(ISBLANK(Locale Control_7),"",Locale Control_7)</f>
        <v/>
      </c>
      <c r="E22" s="30" t="str">
        <f>IF(ISBLANK(Control_7 Establishment_2),"",Control_7 Establishment_2)</f>
        <v/>
      </c>
      <c r="F22" s="27"/>
      <c r="G22" s="26"/>
      <c r="J22" s="60" t="s">
        <v>62</v>
      </c>
      <c r="K22" s="60"/>
      <c r="L22" s="72"/>
      <c r="M22" s="72"/>
      <c r="N22" s="72"/>
      <c r="O22" s="72"/>
      <c r="P22" s="72"/>
      <c r="Q22" s="72"/>
      <c r="R22" s="72"/>
      <c r="S22" s="72"/>
      <c r="T22" s="60"/>
    </row>
    <row r="23" spans="1:21" ht="36" customHeight="1" thickBot="1">
      <c r="A23" s="33"/>
      <c r="B23" s="20" t="str">
        <f>Control_7 Open_time</f>
        <v/>
      </c>
      <c r="C23" s="20" t="str">
        <f>Control_7 Close_time</f>
        <v/>
      </c>
      <c r="D23" s="21"/>
      <c r="E23" s="92" t="str">
        <f>IF(ISBLANK(Control_7 Establishment_3),"",Control_7 Establishment_3)</f>
        <v/>
      </c>
      <c r="F23" s="29"/>
      <c r="G23" s="28"/>
      <c r="J23" s="50" t="s">
        <v>63</v>
      </c>
      <c r="K23" s="56" t="str">
        <f>IF(ISBLANK(Start_date),"",Start_date)</f>
        <v/>
      </c>
      <c r="L23" s="73"/>
      <c r="M23" s="73"/>
      <c r="N23" s="69"/>
      <c r="O23" s="68" t="s">
        <v>64</v>
      </c>
      <c r="P23" s="69"/>
      <c r="Q23" s="70"/>
      <c r="R23" s="70"/>
      <c r="S23" s="70"/>
      <c r="T23" s="54"/>
    </row>
    <row r="24" spans="1:21" ht="36" customHeight="1" thickBot="1">
      <c r="A24" s="31"/>
      <c r="B24" s="17" t="str">
        <f>Control_8 Open_time</f>
        <v/>
      </c>
      <c r="C24" s="17" t="str">
        <f>Control_8 Close_time</f>
        <v/>
      </c>
      <c r="D24" s="22"/>
      <c r="E24" s="30" t="str">
        <f>IF(ISBLANK(Control_8 Establishment_1),"",Control_8 Establishment_1)</f>
        <v/>
      </c>
      <c r="F24" s="27"/>
      <c r="G24" s="26"/>
      <c r="L24" s="69"/>
      <c r="M24" s="69"/>
      <c r="N24" s="69"/>
      <c r="O24" s="68" t="s">
        <v>65</v>
      </c>
      <c r="P24" s="69"/>
      <c r="Q24" s="70"/>
      <c r="R24" s="70"/>
      <c r="S24" s="70"/>
      <c r="T24" s="54"/>
    </row>
    <row r="25" spans="1:21" ht="36" customHeight="1" thickBot="1">
      <c r="A25" s="32" t="str">
        <f>IF(ISBLANK(Distance Control_8),"",Control_8 Distance)</f>
        <v/>
      </c>
      <c r="B25" s="19" t="str">
        <f>Control_8 Open_time</f>
        <v/>
      </c>
      <c r="C25" s="19" t="str">
        <f>Control_8 Close_time</f>
        <v/>
      </c>
      <c r="D25" s="30" t="str">
        <f>IF(ISBLANK(Locale Control_8),"",Locale Control_8)</f>
        <v/>
      </c>
      <c r="E25" s="30" t="str">
        <f>IF(ISBLANK(Control_8 Establishment_2),"",Control_8 Establishment_2)</f>
        <v/>
      </c>
      <c r="F25" s="27"/>
      <c r="G25" s="26"/>
      <c r="J25" s="54"/>
      <c r="K25" s="54"/>
      <c r="L25" s="70"/>
      <c r="M25" s="70"/>
      <c r="N25" s="69"/>
      <c r="O25" s="68" t="s">
        <v>66</v>
      </c>
      <c r="P25" s="69"/>
      <c r="Q25" s="70"/>
      <c r="R25" s="70"/>
      <c r="S25" s="70"/>
      <c r="T25" s="54"/>
    </row>
    <row r="26" spans="1:21" ht="36" customHeight="1" thickBot="1">
      <c r="A26" s="33"/>
      <c r="B26" s="20" t="str">
        <f>Control_8 Open_time</f>
        <v/>
      </c>
      <c r="C26" s="20" t="str">
        <f>Control_8 Close_time</f>
        <v/>
      </c>
      <c r="D26" s="21"/>
      <c r="E26" s="92" t="str">
        <f>IF(ISBLANK(Control_8 Establishment_3),"",Control_8 Establishment_3)</f>
        <v/>
      </c>
      <c r="F26" s="29"/>
      <c r="G26" s="28"/>
      <c r="J26" s="57" t="s">
        <v>67</v>
      </c>
      <c r="K26" s="57"/>
      <c r="L26" s="74"/>
      <c r="M26" s="74"/>
      <c r="N26" s="69"/>
      <c r="O26" s="69"/>
      <c r="P26" s="69"/>
      <c r="Q26" s="69"/>
      <c r="R26" s="69"/>
      <c r="S26" s="69"/>
    </row>
    <row r="27" spans="1:21" ht="36" customHeight="1" thickBot="1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72" t="s">
        <v>68</v>
      </c>
      <c r="M27" s="72"/>
      <c r="N27" s="72"/>
      <c r="O27" s="72"/>
      <c r="P27" s="72"/>
      <c r="Q27" s="72"/>
      <c r="R27" s="69"/>
      <c r="S27" s="69"/>
    </row>
    <row r="28" spans="1:21" ht="36" customHeight="1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8"/>
      <c r="L28" s="75"/>
      <c r="M28" s="75"/>
      <c r="N28" s="76"/>
      <c r="O28" s="77"/>
      <c r="P28" s="75"/>
      <c r="Q28" s="75"/>
      <c r="R28" s="76"/>
      <c r="S28" s="69"/>
    </row>
    <row r="29" spans="1:21" ht="36" customHeight="1" thickBot="1">
      <c r="A29" s="33"/>
      <c r="B29" s="20" t="str">
        <f>Control_9 Open_time</f>
        <v/>
      </c>
      <c r="C29" s="20" t="str">
        <f>Control_9 Close_time</f>
        <v/>
      </c>
      <c r="D29" s="21"/>
      <c r="E29" s="92" t="str">
        <f>IF(ISBLANK(Control_9 Establishment_3),"",Control_9 Establishment_3)</f>
        <v/>
      </c>
      <c r="F29" s="29"/>
      <c r="G29" s="28"/>
      <c r="K29" s="61"/>
      <c r="L29" s="78"/>
      <c r="M29" s="78"/>
      <c r="N29" s="79"/>
      <c r="O29" s="80"/>
      <c r="P29" s="78"/>
      <c r="Q29" s="78"/>
      <c r="R29" s="79"/>
      <c r="S29" s="69"/>
    </row>
    <row r="30" spans="1:21" ht="36" customHeight="1" thickBot="1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59"/>
      <c r="L30" s="70"/>
      <c r="M30" s="70"/>
      <c r="N30" s="81"/>
      <c r="O30" s="82"/>
      <c r="P30" s="70"/>
      <c r="Q30" s="70"/>
      <c r="R30" s="81"/>
      <c r="S30" s="69"/>
    </row>
    <row r="31" spans="1:21" ht="36" customHeight="1" thickBot="1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8" t="s">
        <v>69</v>
      </c>
      <c r="M31" s="69"/>
      <c r="N31" s="67" t="str">
        <f>IF(ISBLANK(Brevet_Number),"",Brevet_Number)</f>
        <v>P167</v>
      </c>
      <c r="O31" s="67"/>
      <c r="P31" s="67"/>
      <c r="Q31" s="69"/>
      <c r="R31" s="69"/>
      <c r="S31" s="69"/>
      <c r="U31" s="55"/>
    </row>
    <row r="32" spans="1:21" ht="36" customHeight="1" thickBot="1">
      <c r="A32" s="33"/>
      <c r="B32" s="20" t="str">
        <f>Control_10 Open_time</f>
        <v/>
      </c>
      <c r="C32" s="20" t="str">
        <f>Control_10 Close_time</f>
        <v/>
      </c>
      <c r="D32" s="21"/>
      <c r="E32" s="92" t="str">
        <f>IF(ISBLANK(Control_10 Establishment_3),"",Control_10 Establishment_3)</f>
        <v/>
      </c>
      <c r="F32" s="29"/>
      <c r="G32" s="28"/>
      <c r="U32" s="55"/>
    </row>
    <row r="33" spans="1:20" ht="36" customHeight="1" thickBot="1">
      <c r="A33" s="24" t="s">
        <v>48</v>
      </c>
      <c r="B33" s="25" t="s">
        <v>23</v>
      </c>
      <c r="C33" s="25" t="s">
        <v>24</v>
      </c>
      <c r="D33" s="25" t="s">
        <v>22</v>
      </c>
      <c r="E33" s="25" t="s">
        <v>49</v>
      </c>
      <c r="F33" s="25" t="s">
        <v>50</v>
      </c>
      <c r="G33" s="24" t="s">
        <v>51</v>
      </c>
      <c r="L33" s="69"/>
      <c r="M33" s="69"/>
      <c r="N33" s="83"/>
      <c r="O33" s="69"/>
      <c r="P33" s="69"/>
      <c r="Q33" s="69"/>
      <c r="R33" s="69"/>
      <c r="S33" s="69"/>
    </row>
    <row r="34" spans="1:20" ht="36" customHeight="1">
      <c r="A34" s="31"/>
      <c r="B34" s="17"/>
      <c r="C34" s="17"/>
      <c r="D34" s="18"/>
      <c r="E34" s="30"/>
      <c r="F34" s="27"/>
      <c r="G34" s="26"/>
      <c r="K34" s="46"/>
      <c r="L34" s="69"/>
      <c r="M34" s="69"/>
      <c r="N34" s="83"/>
      <c r="O34" s="69"/>
      <c r="P34" s="69"/>
      <c r="Q34" s="69"/>
      <c r="R34" s="69"/>
      <c r="S34" s="69"/>
    </row>
    <row r="35" spans="1:20" ht="36" customHeight="1">
      <c r="A35" s="32"/>
      <c r="B35" s="19"/>
      <c r="C35" s="19"/>
      <c r="D35" s="30"/>
      <c r="E35" s="30"/>
      <c r="F35" s="27"/>
      <c r="G35" s="26"/>
      <c r="K35" s="46"/>
      <c r="L35" s="69"/>
      <c r="M35" s="69"/>
      <c r="N35" s="83"/>
      <c r="O35" s="69"/>
      <c r="P35" s="69"/>
      <c r="Q35" s="69"/>
      <c r="R35" s="69"/>
      <c r="S35" s="69"/>
    </row>
    <row r="36" spans="1:20" ht="36" customHeight="1" thickBot="1">
      <c r="A36" s="33"/>
      <c r="B36" s="20"/>
      <c r="C36" s="20"/>
      <c r="D36" s="21"/>
      <c r="E36" s="92"/>
      <c r="F36" s="29"/>
      <c r="G36" s="28"/>
      <c r="K36" s="46"/>
      <c r="L36" s="69"/>
      <c r="M36" s="69"/>
      <c r="N36" s="69"/>
      <c r="O36" s="69"/>
      <c r="P36" s="69"/>
      <c r="Q36" s="69"/>
      <c r="R36" s="69"/>
      <c r="S36" s="69"/>
    </row>
    <row r="37" spans="1:20" ht="36" customHeight="1">
      <c r="A37" s="31"/>
      <c r="B37" s="17"/>
      <c r="C37" s="17"/>
      <c r="D37" s="22"/>
      <c r="E37" s="30"/>
      <c r="F37" s="27"/>
      <c r="G37" s="26"/>
      <c r="K37" s="46"/>
      <c r="L37" s="69"/>
      <c r="M37" s="69"/>
      <c r="N37" s="69"/>
      <c r="O37" s="69"/>
      <c r="P37" s="69"/>
      <c r="Q37" s="69"/>
      <c r="R37" s="69"/>
      <c r="S37" s="69"/>
    </row>
    <row r="38" spans="1:20" ht="36" customHeight="1">
      <c r="A38" s="32"/>
      <c r="B38" s="19"/>
      <c r="C38" s="19"/>
      <c r="D38" s="30"/>
      <c r="E38" s="30"/>
      <c r="F38" s="27"/>
      <c r="G38" s="26"/>
      <c r="K38" s="46"/>
      <c r="L38" s="69"/>
      <c r="M38" s="69"/>
      <c r="N38" s="69"/>
      <c r="O38" s="69"/>
      <c r="P38" s="69"/>
      <c r="Q38" s="69"/>
      <c r="R38" s="69"/>
      <c r="S38" s="69"/>
    </row>
    <row r="39" spans="1:20" ht="36" customHeight="1" thickBot="1">
      <c r="A39" s="33"/>
      <c r="B39" s="20"/>
      <c r="C39" s="20"/>
      <c r="D39" s="21"/>
      <c r="E39" s="92"/>
      <c r="F39" s="29"/>
      <c r="G39" s="28"/>
      <c r="J39" s="49" t="s">
        <v>52</v>
      </c>
      <c r="K39" s="48"/>
      <c r="L39" s="84"/>
      <c r="M39" s="84"/>
      <c r="N39" s="84"/>
      <c r="O39" s="84"/>
      <c r="P39" s="84"/>
      <c r="Q39" s="84"/>
      <c r="R39" s="84"/>
      <c r="S39" s="84"/>
      <c r="T39" s="48"/>
    </row>
    <row r="40" spans="1:20" ht="36" customHeight="1">
      <c r="A40" s="31"/>
      <c r="B40" s="17"/>
      <c r="C40" s="17"/>
      <c r="D40" s="22"/>
      <c r="E40" s="30"/>
      <c r="F40" s="27"/>
      <c r="G40" s="26"/>
      <c r="J40" s="52" t="str">
        <f>IF(ISBLANK(Brevet_Description),"",Brevet_Description)</f>
        <v>Frail Grasp from Poco Permanent #167</v>
      </c>
      <c r="K40" s="51"/>
      <c r="L40" s="85"/>
      <c r="M40" s="85"/>
      <c r="N40" s="85"/>
      <c r="O40" s="85"/>
      <c r="P40" s="85"/>
      <c r="Q40" s="85"/>
      <c r="R40" s="85"/>
      <c r="S40" s="85"/>
      <c r="T40" s="51"/>
    </row>
    <row r="41" spans="1:20" ht="36" customHeight="1">
      <c r="A41" s="32"/>
      <c r="B41" s="19"/>
      <c r="C41" s="19"/>
      <c r="D41" s="30"/>
      <c r="E41" s="30"/>
      <c r="F41" s="27"/>
      <c r="G41" s="26"/>
      <c r="J41" s="52"/>
      <c r="K41" s="51"/>
      <c r="L41" s="85"/>
      <c r="M41" s="85"/>
      <c r="N41" s="85"/>
      <c r="O41" s="85"/>
      <c r="P41" s="85"/>
      <c r="Q41" s="85"/>
      <c r="R41" s="85"/>
      <c r="S41" s="85"/>
      <c r="T41" s="51"/>
    </row>
    <row r="42" spans="1:20" ht="36" customHeight="1" thickBot="1">
      <c r="A42" s="33"/>
      <c r="B42" s="20"/>
      <c r="C42" s="20"/>
      <c r="D42" s="21"/>
      <c r="E42" s="92"/>
      <c r="F42" s="29"/>
      <c r="G42" s="28"/>
      <c r="J42" s="50" t="s">
        <v>53</v>
      </c>
      <c r="L42" s="65"/>
      <c r="M42" s="66"/>
      <c r="N42" s="66"/>
      <c r="O42" s="66"/>
      <c r="P42" s="66"/>
      <c r="Q42" s="66"/>
      <c r="R42" s="66"/>
      <c r="S42" s="66"/>
      <c r="T42" s="64"/>
    </row>
    <row r="43" spans="1:20" ht="36" customHeight="1" thickBot="1">
      <c r="A43" s="31"/>
      <c r="B43" s="17"/>
      <c r="C43" s="17"/>
      <c r="D43" s="22"/>
      <c r="E43" s="30"/>
      <c r="F43" s="27"/>
      <c r="G43" s="26"/>
      <c r="J43" s="50" t="s">
        <v>54</v>
      </c>
      <c r="K43" s="50"/>
      <c r="L43" s="67"/>
      <c r="M43" s="67"/>
      <c r="N43" s="67"/>
      <c r="O43" s="67"/>
      <c r="P43" s="67"/>
      <c r="Q43" s="67"/>
      <c r="R43" s="67"/>
      <c r="S43" s="67"/>
      <c r="T43" s="62"/>
    </row>
    <row r="44" spans="1:20" ht="36" customHeight="1" thickBot="1">
      <c r="A44" s="32"/>
      <c r="B44" s="19"/>
      <c r="C44" s="19"/>
      <c r="D44" s="30"/>
      <c r="E44" s="30"/>
      <c r="F44" s="27"/>
      <c r="G44" s="26"/>
      <c r="J44" s="50"/>
      <c r="K44" s="50"/>
      <c r="L44" s="67"/>
      <c r="M44" s="67"/>
      <c r="N44" s="67"/>
      <c r="O44" s="67"/>
      <c r="P44" s="67"/>
      <c r="Q44" s="67"/>
      <c r="R44" s="67"/>
      <c r="S44" s="67"/>
      <c r="T44" s="62"/>
    </row>
    <row r="45" spans="1:20" ht="36" customHeight="1" thickBot="1">
      <c r="A45" s="33"/>
      <c r="B45" s="20"/>
      <c r="C45" s="20"/>
      <c r="D45" s="21"/>
      <c r="E45" s="92"/>
      <c r="F45" s="29"/>
      <c r="G45" s="28"/>
      <c r="J45" s="50" t="s">
        <v>55</v>
      </c>
      <c r="K45" s="50"/>
      <c r="L45" s="67"/>
      <c r="M45" s="67"/>
      <c r="N45" s="67"/>
      <c r="O45" s="68"/>
      <c r="P45" s="68" t="s">
        <v>56</v>
      </c>
      <c r="Q45" s="68"/>
      <c r="R45" s="68"/>
      <c r="S45" s="67"/>
      <c r="T45" s="62"/>
    </row>
    <row r="46" spans="1:20" ht="36" customHeight="1" thickBot="1">
      <c r="A46" s="32" t="str">
        <f>IF(ISBLANK(Distance Control_15),"",Control_15 Distance)</f>
        <v/>
      </c>
      <c r="B46" s="19" t="str">
        <f>Control_15 Open_time</f>
        <v/>
      </c>
      <c r="C46" s="19" t="str">
        <f>Control_15 Close_time</f>
        <v/>
      </c>
      <c r="D46" s="30" t="str">
        <f>IF(ISBLANK(Locale Control_15),"",Locale Control_15)</f>
        <v/>
      </c>
      <c r="E46" s="30" t="str">
        <f>IF(ISBLANK(Control_15 Establishment_2),"",Control_15 Establishment_2)</f>
        <v/>
      </c>
      <c r="F46" s="27"/>
      <c r="G46" s="26"/>
      <c r="J46" s="50" t="s">
        <v>57</v>
      </c>
      <c r="K46" s="50"/>
      <c r="L46" s="67"/>
      <c r="M46" s="67"/>
      <c r="N46" s="67"/>
      <c r="O46" s="68"/>
      <c r="P46" s="68" t="s">
        <v>58</v>
      </c>
      <c r="Q46" s="68"/>
      <c r="R46" s="68"/>
      <c r="S46" s="67"/>
      <c r="T46" s="62"/>
    </row>
    <row r="47" spans="1:20" ht="36" customHeight="1" thickBot="1">
      <c r="A47" s="33"/>
      <c r="B47" s="20" t="str">
        <f>Control_15 Open_time</f>
        <v/>
      </c>
      <c r="C47" s="20" t="str">
        <f>Control_15 Close_time</f>
        <v/>
      </c>
      <c r="D47" s="21"/>
      <c r="E47" s="92" t="str">
        <f>IF(ISBLANK(Control_15 Establishment_3),"",Control_15 Establishment_3)</f>
        <v/>
      </c>
      <c r="F47" s="29"/>
      <c r="G47" s="28"/>
      <c r="L47" s="69"/>
      <c r="M47" s="69"/>
      <c r="N47" s="69"/>
      <c r="O47" s="69"/>
      <c r="P47" s="69"/>
      <c r="Q47" s="69"/>
      <c r="R47" s="69"/>
      <c r="S47" s="69"/>
    </row>
    <row r="48" spans="1:20" ht="36" customHeight="1" thickBot="1">
      <c r="A48" s="31"/>
      <c r="B48" s="17" t="str">
        <f>Control_16 Open_time</f>
        <v/>
      </c>
      <c r="C48" s="17" t="str">
        <f>Control_16 Close_time</f>
        <v/>
      </c>
      <c r="D48" s="22"/>
      <c r="E48" s="30" t="str">
        <f>IF(ISBLANK(Control_16 Establishment_1),"",Control_16 Establishment_1)</f>
        <v/>
      </c>
      <c r="F48" s="27"/>
      <c r="G48" s="26"/>
      <c r="J48" s="50" t="s">
        <v>59</v>
      </c>
      <c r="L48" s="67"/>
      <c r="M48" s="67"/>
      <c r="N48" s="67"/>
      <c r="O48" s="69"/>
      <c r="P48" s="68" t="s">
        <v>60</v>
      </c>
      <c r="Q48" s="67"/>
      <c r="R48" s="70"/>
      <c r="S48" s="70"/>
      <c r="T48" s="63"/>
    </row>
    <row r="49" spans="1:20" ht="36" customHeight="1">
      <c r="A49" s="32" t="str">
        <f>IF(ISBLANK(Distance Control_16),"",Control_16 Distance)</f>
        <v/>
      </c>
      <c r="B49" s="19" t="str">
        <f>Control_16 Open_time</f>
        <v/>
      </c>
      <c r="C49" s="19" t="str">
        <f>Control_16 Close_time</f>
        <v/>
      </c>
      <c r="D49" s="30" t="str">
        <f>IF(ISBLANK(Locale Control_16),"",Locale Control_16)</f>
        <v/>
      </c>
      <c r="E49" s="30" t="str">
        <f>IF(ISBLANK(Control_16 Establishment_2),"",Control_16 Establishment_2)</f>
        <v/>
      </c>
      <c r="F49" s="27"/>
      <c r="G49" s="26"/>
      <c r="L49" s="69"/>
      <c r="M49" s="69"/>
      <c r="N49" s="69"/>
      <c r="O49" s="69"/>
      <c r="P49" s="69"/>
      <c r="Q49" s="69"/>
      <c r="R49" s="69"/>
      <c r="S49" s="69"/>
    </row>
    <row r="50" spans="1:20" ht="36" customHeight="1" thickBot="1">
      <c r="A50" s="33"/>
      <c r="B50" s="20" t="str">
        <f>Control_16 Open_time</f>
        <v/>
      </c>
      <c r="C50" s="20" t="str">
        <f>Control_16 Close_time</f>
        <v/>
      </c>
      <c r="D50" s="21"/>
      <c r="E50" s="92" t="str">
        <f>IF(ISBLANK(Control_16 Establishment_3),"",Control_16 Establishment_3)</f>
        <v/>
      </c>
      <c r="F50" s="29"/>
      <c r="G50" s="28"/>
      <c r="J50" s="55" t="s">
        <v>61</v>
      </c>
      <c r="K50" s="55"/>
      <c r="L50" s="71"/>
      <c r="M50" s="71"/>
      <c r="N50" s="71"/>
      <c r="O50" s="71"/>
      <c r="P50" s="71"/>
      <c r="Q50" s="71"/>
      <c r="R50" s="71"/>
      <c r="S50" s="71"/>
      <c r="T50" s="55"/>
    </row>
    <row r="51" spans="1:20" ht="36" customHeight="1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  <c r="L51" s="69"/>
      <c r="M51" s="69"/>
      <c r="N51" s="69"/>
      <c r="O51" s="69"/>
      <c r="P51" s="69"/>
      <c r="Q51" s="69"/>
      <c r="R51" s="69"/>
      <c r="S51" s="69"/>
    </row>
    <row r="52" spans="1:20" ht="36" customHeight="1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60" t="s">
        <v>62</v>
      </c>
      <c r="K52" s="60"/>
      <c r="L52" s="72"/>
      <c r="M52" s="72"/>
      <c r="N52" s="72"/>
      <c r="O52" s="72"/>
      <c r="P52" s="72"/>
      <c r="Q52" s="72"/>
      <c r="R52" s="72"/>
      <c r="S52" s="72"/>
      <c r="T52" s="60"/>
    </row>
    <row r="53" spans="1:20" ht="36" customHeight="1" thickBot="1">
      <c r="A53" s="33"/>
      <c r="B53" s="20" t="str">
        <f>Control_17 Open_time</f>
        <v/>
      </c>
      <c r="C53" s="20" t="str">
        <f>Control_17 Close_time</f>
        <v/>
      </c>
      <c r="D53" s="21"/>
      <c r="E53" s="92" t="str">
        <f>IF(ISBLANK(Control_17 Establishment_3),"",Control_17 Establishment_3)</f>
        <v/>
      </c>
      <c r="F53" s="29"/>
      <c r="G53" s="28"/>
      <c r="J53" s="50" t="s">
        <v>63</v>
      </c>
      <c r="K53" s="56" t="str">
        <f>IF(ISBLANK(Start_date),"",Start_date)</f>
        <v/>
      </c>
      <c r="L53" s="73"/>
      <c r="M53" s="73"/>
      <c r="N53" s="69"/>
      <c r="O53" s="68" t="s">
        <v>64</v>
      </c>
      <c r="P53" s="69"/>
      <c r="Q53" s="70"/>
      <c r="R53" s="70"/>
      <c r="S53" s="70"/>
      <c r="T53" s="54"/>
    </row>
    <row r="54" spans="1:20" ht="36" customHeight="1" thickBot="1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69"/>
      <c r="M54" s="69"/>
      <c r="N54" s="69"/>
      <c r="O54" s="68" t="s">
        <v>65</v>
      </c>
      <c r="P54" s="69"/>
      <c r="Q54" s="70"/>
      <c r="R54" s="70"/>
      <c r="S54" s="70"/>
      <c r="T54" s="54"/>
    </row>
    <row r="55" spans="1:20" ht="36" customHeight="1" thickBot="1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4"/>
      <c r="K55" s="54"/>
      <c r="L55" s="70"/>
      <c r="M55" s="70"/>
      <c r="N55" s="69"/>
      <c r="O55" s="68" t="s">
        <v>66</v>
      </c>
      <c r="P55" s="69"/>
      <c r="Q55" s="70"/>
      <c r="R55" s="70"/>
      <c r="S55" s="70"/>
      <c r="T55" s="54"/>
    </row>
    <row r="56" spans="1:20" ht="36" customHeight="1" thickBot="1">
      <c r="A56" s="33"/>
      <c r="B56" s="20" t="str">
        <f>Control_18 Open_time</f>
        <v/>
      </c>
      <c r="C56" s="20" t="str">
        <f>Control_18 Close_time</f>
        <v/>
      </c>
      <c r="D56" s="21"/>
      <c r="E56" s="92" t="str">
        <f>IF(ISBLANK(Control_18 Establishment_3),"",Control_18 Establishment_3)</f>
        <v/>
      </c>
      <c r="F56" s="29"/>
      <c r="G56" s="28"/>
      <c r="J56" s="57" t="s">
        <v>67</v>
      </c>
      <c r="K56" s="57"/>
      <c r="L56" s="74"/>
      <c r="M56" s="74"/>
      <c r="N56" s="69"/>
      <c r="O56" s="69"/>
      <c r="P56" s="69"/>
      <c r="Q56" s="69"/>
      <c r="R56" s="69"/>
      <c r="S56" s="69"/>
    </row>
    <row r="57" spans="1:20" ht="36" customHeight="1" thickBot="1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2" t="s">
        <v>68</v>
      </c>
      <c r="M57" s="72"/>
      <c r="N57" s="72"/>
      <c r="O57" s="72"/>
      <c r="P57" s="72"/>
      <c r="Q57" s="72"/>
      <c r="R57" s="69"/>
      <c r="S57" s="69"/>
    </row>
    <row r="58" spans="1:20" ht="36" customHeight="1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8"/>
      <c r="L58" s="75"/>
      <c r="M58" s="75"/>
      <c r="N58" s="76"/>
      <c r="O58" s="77"/>
      <c r="P58" s="75"/>
      <c r="Q58" s="75"/>
      <c r="R58" s="76"/>
      <c r="S58" s="69"/>
    </row>
    <row r="59" spans="1:20" ht="36" customHeight="1" thickBot="1">
      <c r="A59" s="33"/>
      <c r="B59" s="20" t="str">
        <f>Control_19 Open_time</f>
        <v/>
      </c>
      <c r="C59" s="20" t="str">
        <f>Control_19 Close_time</f>
        <v/>
      </c>
      <c r="D59" s="21"/>
      <c r="E59" s="92" t="str">
        <f>IF(ISBLANK(Control_19 Establishment_3),"",Control_19 Establishment_3)</f>
        <v/>
      </c>
      <c r="F59" s="29"/>
      <c r="G59" s="28"/>
      <c r="K59" s="61"/>
      <c r="L59" s="78"/>
      <c r="M59" s="78"/>
      <c r="N59" s="79"/>
      <c r="O59" s="80"/>
      <c r="P59" s="78"/>
      <c r="Q59" s="78"/>
      <c r="R59" s="79"/>
      <c r="S59" s="69"/>
    </row>
    <row r="60" spans="1:20" ht="36" customHeight="1" thickBot="1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59"/>
      <c r="L60" s="70"/>
      <c r="M60" s="70"/>
      <c r="N60" s="81"/>
      <c r="O60" s="82"/>
      <c r="P60" s="70"/>
      <c r="Q60" s="70"/>
      <c r="R60" s="81"/>
      <c r="S60" s="69"/>
    </row>
    <row r="61" spans="1:20" ht="36" customHeight="1" thickBot="1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8" t="s">
        <v>69</v>
      </c>
      <c r="M61" s="69"/>
      <c r="N61" s="67" t="str">
        <f>IF(ISBLANK(Brevet_Number),"",Brevet_Number)</f>
        <v>P167</v>
      </c>
      <c r="O61" s="67"/>
      <c r="P61" s="67"/>
      <c r="Q61" s="69"/>
      <c r="R61" s="69"/>
      <c r="S61" s="69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2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/>
  <headerFooter alignWithMargins="0"/>
  <rowBreaks count="1" manualBreakCount="1">
    <brk id="3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2010-07-28T16:03:00Z</cp:lastPrinted>
  <dcterms:created xsi:type="dcterms:W3CDTF">1997-11-12T04:43:39Z</dcterms:created>
  <dcterms:modified xsi:type="dcterms:W3CDTF">2017-10-07T16:28:19Z</dcterms:modified>
</cp:coreProperties>
</file>