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InkAnnotation="0" codeName="ThisWorkbook" autoCompressPictures="0"/>
  <mc:AlternateContent xmlns:mc="http://schemas.openxmlformats.org/markup-compatibility/2006">
    <mc:Choice Requires="x15">
      <x15ac:absPath xmlns:x15ac="http://schemas.microsoft.com/office/spreadsheetml/2010/11/ac" url="C:\Users\Colin Fingl\Documents\Colin\Rando\2021 Season\Abbey Road 300\"/>
    </mc:Choice>
  </mc:AlternateContent>
  <xr:revisionPtr revIDLastSave="0" documentId="13_ncr:1_{452C6856-AE50-4403-A461-5525120F92DA}" xr6:coauthVersionLast="47" xr6:coauthVersionMax="47" xr10:uidLastSave="{00000000-0000-0000-0000-000000000000}"/>
  <bookViews>
    <workbookView xWindow="-108" yWindow="-108" windowWidth="23256" windowHeight="12576" tabRatio="509" activeTab="1"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1" l="1"/>
  <c r="N10" i="1" s="1"/>
  <c r="M23" i="1"/>
  <c r="E7" i="3"/>
  <c r="E8" i="3"/>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C1" i="1"/>
  <c r="M12" i="1" s="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E4" i="3"/>
  <c r="E3" i="3"/>
  <c r="D31" i="3"/>
  <c r="D28" i="3"/>
  <c r="D25" i="3"/>
  <c r="D22" i="3"/>
  <c r="D19" i="3"/>
  <c r="D16" i="3"/>
  <c r="D13" i="3"/>
  <c r="D10" i="3"/>
  <c r="D7" i="3"/>
  <c r="D4" i="3"/>
  <c r="A31" i="3"/>
  <c r="A28" i="3"/>
  <c r="A25" i="3"/>
  <c r="A22" i="3"/>
  <c r="A19" i="3"/>
  <c r="A16" i="3"/>
  <c r="A13" i="3"/>
  <c r="A10" i="3"/>
  <c r="A7" i="3"/>
  <c r="A4" i="3"/>
  <c r="B2" i="1"/>
  <c r="L19" i="1"/>
  <c r="L18" i="1"/>
  <c r="L17" i="1"/>
  <c r="L16" i="1"/>
  <c r="L15" i="1"/>
  <c r="L14" i="1"/>
  <c r="L13" i="1"/>
  <c r="L12" i="1"/>
  <c r="M11" i="1"/>
  <c r="L11"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23" i="1"/>
  <c r="C3" i="3" s="1"/>
  <c r="N31" i="1"/>
  <c r="B29" i="3" s="1"/>
  <c r="N29" i="1"/>
  <c r="B23" i="3" s="1"/>
  <c r="N27" i="1"/>
  <c r="B17" i="3" s="1"/>
  <c r="N25" i="1"/>
  <c r="B11" i="3" s="1"/>
  <c r="O32" i="1"/>
  <c r="C30" i="3" s="1"/>
  <c r="O30" i="1"/>
  <c r="C24" i="3" s="1"/>
  <c r="O28" i="1"/>
  <c r="C18" i="3" s="1"/>
  <c r="O26" i="1"/>
  <c r="C12" i="3" s="1"/>
  <c r="O24" i="1"/>
  <c r="C6" i="3" s="1"/>
  <c r="N32" i="1"/>
  <c r="B32" i="3" s="1"/>
  <c r="N28" i="1"/>
  <c r="B20" i="3" s="1"/>
  <c r="N24" i="1"/>
  <c r="B8" i="3" s="1"/>
  <c r="N26" i="1"/>
  <c r="B14" i="3" s="1"/>
  <c r="N23" i="1"/>
  <c r="B5" i="3" s="1"/>
  <c r="O31" i="1"/>
  <c r="C27" i="3" s="1"/>
  <c r="O29" i="1"/>
  <c r="C21" i="3" s="1"/>
  <c r="O27" i="1"/>
  <c r="C15" i="3" s="1"/>
  <c r="O25" i="1"/>
  <c r="C9" i="3" s="1"/>
  <c r="N30" i="1"/>
  <c r="B26" i="3" s="1"/>
  <c r="B27" i="3"/>
  <c r="C32" i="3"/>
  <c r="C31" i="3"/>
  <c r="M4" i="2"/>
  <c r="B28" i="3" l="1"/>
  <c r="M10" i="1"/>
  <c r="O10" i="1" s="1"/>
  <c r="C3" i="2" s="1"/>
  <c r="B13" i="3"/>
  <c r="C26" i="3"/>
  <c r="B31" i="3"/>
  <c r="B3" i="3"/>
  <c r="B18" i="3"/>
  <c r="B10" i="3"/>
  <c r="B22" i="3"/>
  <c r="B4" i="3"/>
  <c r="C11" i="3"/>
  <c r="B6" i="3"/>
  <c r="C20" i="3"/>
  <c r="B21" i="3"/>
  <c r="C25" i="3"/>
  <c r="C10" i="3"/>
  <c r="B30" i="3"/>
  <c r="C23" i="3"/>
  <c r="C5" i="3"/>
  <c r="C14" i="3"/>
  <c r="B7" i="3"/>
  <c r="C13" i="3"/>
  <c r="C22" i="3"/>
  <c r="C4" i="3"/>
  <c r="B9" i="3"/>
  <c r="N19" i="1"/>
  <c r="N15" i="1"/>
  <c r="O11" i="1"/>
  <c r="B3" i="2"/>
  <c r="N16" i="1"/>
  <c r="B21" i="2" s="1"/>
  <c r="N18" i="1"/>
  <c r="B5" i="2"/>
  <c r="N12" i="1"/>
  <c r="B4" i="2"/>
  <c r="N17" i="1"/>
  <c r="B24" i="2" s="1"/>
  <c r="N14" i="1"/>
  <c r="B15" i="2" s="1"/>
  <c r="N13" i="1"/>
  <c r="N11" i="1"/>
  <c r="B8" i="2" s="1"/>
  <c r="O12" i="1"/>
  <c r="C11" i="2" s="1"/>
  <c r="B25" i="3"/>
  <c r="B19" i="3"/>
  <c r="B15" i="3"/>
  <c r="C7" i="3"/>
  <c r="C8" i="3"/>
  <c r="B24" i="3"/>
  <c r="C28" i="3"/>
  <c r="C29" i="3"/>
  <c r="C19" i="3"/>
  <c r="C16" i="3"/>
  <c r="B16" i="3"/>
  <c r="C17" i="3"/>
  <c r="B12" i="3"/>
  <c r="C5" i="2"/>
  <c r="C4" i="2"/>
  <c r="M14" i="1"/>
  <c r="O14" i="1" s="1"/>
  <c r="M16" i="1"/>
  <c r="O16" i="1" s="1"/>
  <c r="M18" i="1"/>
  <c r="O18" i="1" s="1"/>
  <c r="M13" i="1"/>
  <c r="O13" i="1" s="1"/>
  <c r="M15" i="1"/>
  <c r="O15" i="1" s="1"/>
  <c r="M17" i="1"/>
  <c r="O17" i="1" s="1"/>
  <c r="M19" i="1"/>
  <c r="O19" i="1" s="1"/>
  <c r="M4" i="3"/>
  <c r="B26" i="2" l="1"/>
  <c r="B23" i="2"/>
  <c r="B25" i="2"/>
  <c r="C9" i="2"/>
  <c r="C10" i="2"/>
  <c r="B22" i="2"/>
  <c r="B14" i="2"/>
  <c r="B12" i="2"/>
  <c r="B13" i="2"/>
  <c r="B10" i="2"/>
  <c r="B11" i="2"/>
  <c r="B9" i="2"/>
  <c r="B17" i="2"/>
  <c r="B16" i="2"/>
  <c r="C7" i="2"/>
  <c r="C6" i="2"/>
  <c r="C8" i="2"/>
  <c r="B27" i="2"/>
  <c r="B29" i="2"/>
  <c r="B28" i="2"/>
  <c r="B18" i="2"/>
  <c r="B20" i="2"/>
  <c r="B19" i="2"/>
  <c r="B7" i="2"/>
  <c r="B6" i="2"/>
  <c r="B32" i="2"/>
  <c r="B31" i="2"/>
  <c r="B30" i="2"/>
  <c r="C17" i="2"/>
  <c r="C15" i="2"/>
  <c r="C16" i="2"/>
  <c r="C32" i="2"/>
  <c r="C30" i="2"/>
  <c r="C31" i="2"/>
  <c r="C13" i="2"/>
  <c r="C12" i="2"/>
  <c r="C14" i="2"/>
  <c r="C25" i="2"/>
  <c r="C26" i="2"/>
  <c r="C24" i="2"/>
  <c r="C28" i="2"/>
  <c r="C27" i="2"/>
  <c r="C29" i="2"/>
  <c r="C19" i="2"/>
  <c r="C18" i="2"/>
  <c r="C20" i="2"/>
  <c r="C21" i="2"/>
  <c r="C23" i="2"/>
  <c r="C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indexed="8"/>
            <rFont val="Tahoma"/>
            <family val="2"/>
          </rPr>
          <t>Stephen Hinde:</t>
        </r>
        <r>
          <rPr>
            <sz val="10"/>
            <color indexed="8"/>
            <rFont val="Tahoma"/>
            <family val="2"/>
          </rPr>
          <t xml:space="preserve">
</t>
        </r>
        <r>
          <rPr>
            <sz val="10"/>
            <color indexed="8"/>
            <rFont val="Tahoma"/>
            <family val="2"/>
          </rPr>
          <t xml:space="preserve">Nominal ACP distance
</t>
        </r>
        <r>
          <rPr>
            <sz val="10"/>
            <color indexed="8"/>
            <rFont val="Tahoma"/>
            <family val="2"/>
          </rPr>
          <t xml:space="preserve">
</t>
        </r>
        <r>
          <rPr>
            <sz val="10"/>
            <color indexed="8"/>
            <rFont val="Tahoma"/>
            <family val="2"/>
          </rPr>
          <t>eg 200, 300, 400, 600</t>
        </r>
      </text>
    </comment>
    <comment ref="B2" authorId="1" shapeId="0" xr:uid="{00000000-0006-0000-0000-000002000000}">
      <text>
        <r>
          <rPr>
            <sz val="8"/>
            <color indexed="8"/>
            <rFont val="Tahoma"/>
            <family val="2"/>
          </rPr>
          <t>Partial result of closing time calculation to avoid limitation of only 7 nested functions</t>
        </r>
      </text>
    </comment>
    <comment ref="B4" authorId="0" shapeId="0" xr:uid="{00000000-0006-0000-0000-000003000000}">
      <text>
        <r>
          <rPr>
            <b/>
            <sz val="10"/>
            <color indexed="8"/>
            <rFont val="Tahoma"/>
            <family val="2"/>
          </rPr>
          <t>Stephen Hinde:</t>
        </r>
        <r>
          <rPr>
            <sz val="10"/>
            <color indexed="8"/>
            <rFont val="Tahoma"/>
            <family val="2"/>
          </rPr>
          <t xml:space="preserve">
</t>
        </r>
        <r>
          <rPr>
            <sz val="10"/>
            <color indexed="8"/>
            <rFont val="Tahoma"/>
            <family val="2"/>
          </rPr>
          <t>On event page</t>
        </r>
      </text>
    </comment>
    <comment ref="B5" authorId="0" shapeId="0" xr:uid="{00000000-0006-0000-0000-000004000000}">
      <text>
        <r>
          <rPr>
            <b/>
            <sz val="10"/>
            <color indexed="8"/>
            <rFont val="Tahoma"/>
            <family val="2"/>
          </rPr>
          <t>Stephen Hinde:</t>
        </r>
        <r>
          <rPr>
            <sz val="10"/>
            <color indexed="8"/>
            <rFont val="Tahoma"/>
            <family val="2"/>
          </rPr>
          <t xml:space="preserve">
</t>
        </r>
        <r>
          <rPr>
            <sz val="10"/>
            <color indexed="8"/>
            <rFont val="Tahoma"/>
            <family val="2"/>
          </rPr>
          <t>Official ACP date</t>
        </r>
      </text>
    </comment>
    <comment ref="B7" authorId="0" shapeId="0" xr:uid="{C28DAFA5-7D9A-4CF7-BE94-E3C349400A1A}">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<sst xmlns="http://schemas.openxmlformats.org/spreadsheetml/2006/main" count="218" uniqueCount="124">
  <si>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</si>
  <si>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</si>
  <si>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</si>
  <si>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</si>
  <si>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</si>
  <si>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</si>
  <si>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</si>
  <si>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</si>
  <si>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</si>
  <si>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</si>
  <si>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</si>
  <si>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</si>
  <si>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</si>
  <si>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</si>
  <si>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</si>
  <si>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</si>
  <si>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</si>
  <si>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</si>
  <si>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</si>
  <si>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</si>
  <si>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</si>
  <si>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</si>
  <si>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</si>
  <si>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</si>
  <si>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</si>
  <si>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</si>
  <si>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</si>
  <si>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</si>
  <si>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</si>
  <si>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</si>
  <si>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</si>
  <si>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</si>
  <si>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</si>
  <si>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</si>
  <si>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</si>
  <si>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</si>
  <si>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</si>
  <si>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</si>
  <si>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</si>
  <si>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</si>
  <si>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</si>
  <si>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</si>
  <si>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</si>
  <si>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</si>
  <si>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</si>
  <si>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</si>
  <si>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</si>
  <si>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</si>
  <si>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</si>
  <si>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</si>
  <si>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</si>
  <si>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</si>
  <si>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</si>
  <si>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</si>
  <si>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</si>
  <si>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</si>
  <si>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</si>
  <si>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</si>
  <si>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</si>
  <si>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</si>
  <si>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</si>
  <si>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Control Card #1</t>
  </si>
  <si>
    <t>Control Card #2</t>
  </si>
  <si>
    <t>Complete ride details on Card #1</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</si>
  <si>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</si>
  <si>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</si>
  <si>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</si>
  <si>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</si>
  <si>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</si>
  <si>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</si>
  <si>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</si>
  <si>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</si>
  <si>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</si>
  <si>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</si>
  <si>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</si>
  <si>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</si>
  <si>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</si>
  <si>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</si>
  <si>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</si>
  <si>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</si>
  <si>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</si>
  <si>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Abbey Road 300</t>
  </si>
  <si>
    <t>LM300-1</t>
  </si>
  <si>
    <t>07/03/2021</t>
  </si>
  <si>
    <t>Blue wildlife sign</t>
  </si>
  <si>
    <t xml:space="preserve">Thanks for waiting 'til the </t>
  </si>
  <si>
    <t>Westminister Abbey</t>
  </si>
  <si>
    <t>Chapel at end of road,</t>
  </si>
  <si>
    <t>3695 Lougheed Hwy</t>
  </si>
  <si>
    <t>McDonald's Entrance</t>
  </si>
  <si>
    <t>engraved on door</t>
  </si>
  <si>
    <t>"Ingredere __ __"</t>
  </si>
  <si>
    <t xml:space="preserve">McConnell Creek </t>
  </si>
  <si>
    <t>Farmer's Institute</t>
  </si>
  <si>
    <t>35483 Hartley Rd</t>
  </si>
  <si>
    <t>titled "The __?</t>
  </si>
  <si>
    <t>Pitt Meadows</t>
  </si>
  <si>
    <t>TransCan Trail</t>
  </si>
  <si>
    <t>__ __ __ __</t>
  </si>
  <si>
    <t>Majuba Hill Rd</t>
  </si>
  <si>
    <t>Crescent Beach</t>
  </si>
  <si>
    <t>Mud Bay Path end</t>
  </si>
  <si>
    <t>Danger ___</t>
  </si>
  <si>
    <t>area closed</t>
  </si>
  <si>
    <t>Sign at Beach Grove Rd</t>
  </si>
  <si>
    <t>Millenium Trail</t>
  </si>
  <si>
    <t>Blue plaque on right</t>
  </si>
  <si>
    <t>before bridge</t>
  </si>
  <si>
    <t>Trail completed ___</t>
  </si>
  <si>
    <t>SteamWorks Taproom</t>
  </si>
  <si>
    <t>On door</t>
  </si>
  <si>
    <t>Protected by ____</t>
  </si>
  <si>
    <t>Custom security</t>
  </si>
  <si>
    <t>Café/Day Care/</t>
  </si>
  <si>
    <t>Mini Mart/____</t>
  </si>
  <si>
    <t>Who to call to book Hall?</t>
  </si>
  <si>
    <t># of Zap Straps on post?</t>
  </si>
  <si>
    <t>Stop sign on left</t>
  </si>
  <si>
    <t>&amp; Bowman Rd</t>
  </si>
  <si>
    <t xml:space="preserve">Sign for "The Station": </t>
  </si>
  <si>
    <t>Sumas Mtn &amp; McKee Rd</t>
  </si>
  <si>
    <t>End of Beecher St</t>
  </si>
  <si>
    <t xml:space="preserve">Info Sign on Left </t>
  </si>
  <si>
    <t>Park Closed ___ to 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</si>
</sst>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28" x14ac:knownFonts="1">
    <font>
      <sz val="10"/>
      <name val="Arial"/>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b/>
      <sz val="16"/>
      <name val="Arial"/>
      <family val="2"/>
    </font>
    <font>
      <sz val="8"/>
      <color indexed="8"/>
      <name val="Tahoma"/>
      <family val="2"/>
    </font>
    <font>
      <i/>
      <sz val="16"/>
      <name val="Arial"/>
      <family val="2"/>
    </font>
    <font>
      <b/>
      <i/>
      <sz val="16"/>
      <name val="Arial"/>
      <family val="2"/>
    </font>
    <font>
      <sz val="16"/>
      <name val="Arial Narrow"/>
      <family val="2"/>
    </font>
    <font>
      <sz val="20"/>
      <color indexed="47"/>
      <name val="Impact"/>
      <family val="2"/>
    </font>
    <font>
      <sz val="10"/>
      <color indexed="8"/>
      <name val="Tahoma"/>
      <family val="2"/>
    </font>
    <font>
      <b/>
      <sz val="10"/>
      <color indexed="8"/>
      <name val="Tahoma"/>
      <family val="2"/>
    </font>
    <font>
      <sz val="10"/>
      <name val="Arial Narrow"/>
      <family val="2"/>
    </font>
    <font>
      <sz val="10"/>
      <color indexed="10"/>
      <name val="Arial"/>
      <family val="2"/>
    </font>
    <font>
      <sz val="12"/>
      <name val="Arial Narrow"/>
      <family val="2"/>
    </font>
    <font>
      <sz val="11"/>
      <color theme="1"/>
      <name val="Calibri"/>
      <family val="2"/>
      <scheme val="minor"/>
    </font>
    <font>
      <sz val="12"/>
      <color theme="1"/>
      <name val="Calibri"/>
      <family val="2"/>
      <scheme val="minor"/>
    </font>
    <font>
      <b/>
      <sz val="10"/>
      <color rgb="FF000000"/>
      <name val="Tahoma"/>
      <family val="2"/>
    </font>
    <font>
      <sz val="10"/>
      <color rgb="FF000000"/>
      <name val="Tahoma"/>
      <family val="2"/>
    </font>
  </fonts>
  <fills count="3">
    <fill>
      <patternFill patternType="none"/>
    </fill>
    <fill>
      <patternFill patternType="gray125"/>
    </fill>
    <fill>
      <patternFill patternType="solid">
        <fgColor indexed="22"/>
        <bgColor indexed="64"/>
      </patternFill>
    </fill>
  </fills>
  <borders count="27">
    <border>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24" fillId="0" borderId="0"/>
    <xf numFmtId="0" fontId="25" fillId="0" borderId="0"/>
    <xf numFmtId="0" fontId="25" fillId="0" borderId="0"/>
    <xf numFmtId="0" fontId="25" fillId="0" borderId="0"/>
    <xf numFmtId="0" fontId="25" fillId="0" borderId="0"/>
    <xf numFmtId="0" fontId="1" fillId="0" borderId="0"/>
  </cellStyleXfs>
  <cellXfs count="136">
    <xf numFmtId="0" fontId="0" fillId="0" borderId="0" xfId="0"/>
    <xf numFmtId="0" fontId="0" fillId="0" borderId="1"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2" xfId="0" applyFill="1" applyBorder="1"/>
    <xf numFmtId="0" fontId="0" fillId="2" borderId="3" xfId="0" applyFill="1" applyBorder="1"/>
    <xf numFmtId="0" fontId="0" fillId="2" borderId="4" xfId="0" applyFill="1" applyBorder="1"/>
    <xf numFmtId="0" fontId="3" fillId="2" borderId="5" xfId="0" applyFont="1" applyFill="1" applyBorder="1" applyAlignment="1">
      <alignment horizontal="center"/>
    </xf>
    <xf numFmtId="0" fontId="3" fillId="0" borderId="1" xfId="0" applyFont="1" applyBorder="1" applyAlignment="1">
      <alignment horizontal="center" wrapText="1"/>
    </xf>
    <xf numFmtId="0" fontId="3" fillId="0" borderId="6" xfId="0" applyFont="1" applyBorder="1"/>
    <xf numFmtId="0" fontId="0" fillId="2" borderId="6" xfId="0" applyFill="1" applyBorder="1" applyAlignment="1">
      <alignment horizontal="right"/>
    </xf>
    <xf numFmtId="0" fontId="0" fillId="2" borderId="7" xfId="0" applyFill="1" applyBorder="1" applyAlignment="1">
      <alignment horizontal="right"/>
    </xf>
    <xf numFmtId="0" fontId="0" fillId="2" borderId="8" xfId="0" applyFill="1" applyBorder="1" applyAlignment="1">
      <alignment horizontal="right"/>
    </xf>
    <xf numFmtId="0" fontId="0" fillId="2" borderId="9" xfId="0" applyFill="1" applyBorder="1"/>
    <xf numFmtId="0" fontId="0" fillId="0" borderId="0" xfId="0" applyAlignment="1">
      <alignment vertical="top" textRotation="90"/>
    </xf>
    <xf numFmtId="0" fontId="6" fillId="0" borderId="0" xfId="0" applyFont="1"/>
    <xf numFmtId="0" fontId="0" fillId="0" borderId="10" xfId="0" applyBorder="1"/>
    <xf numFmtId="0" fontId="0" fillId="0" borderId="11" xfId="0" applyBorder="1"/>
    <xf numFmtId="0" fontId="0" fillId="0" borderId="12" xfId="0" applyBorder="1"/>
    <xf numFmtId="0" fontId="6" fillId="0" borderId="10" xfId="0" applyFont="1" applyBorder="1" applyProtection="1">
      <protection locked="0"/>
    </xf>
    <xf numFmtId="0" fontId="0" fillId="0" borderId="10" xfId="0" applyBorder="1" applyProtection="1">
      <protection locked="0"/>
    </xf>
    <xf numFmtId="0" fontId="6" fillId="0" borderId="10" xfId="0" applyFont="1" applyBorder="1" applyProtection="1"/>
    <xf numFmtId="0" fontId="6" fillId="0" borderId="0" xfId="0" applyFont="1" applyProtection="1"/>
    <xf numFmtId="0" fontId="0" fillId="0" borderId="0" xfId="0" applyProtection="1"/>
    <xf numFmtId="0" fontId="0" fillId="0" borderId="10" xfId="0" applyBorder="1" applyProtection="1"/>
    <xf numFmtId="0" fontId="0" fillId="0" borderId="13" xfId="0" applyBorder="1" applyProtection="1"/>
    <xf numFmtId="0" fontId="0" fillId="0" borderId="14" xfId="0" applyBorder="1" applyProtection="1"/>
    <xf numFmtId="0" fontId="0" fillId="0" borderId="0" xfId="0" applyBorder="1" applyProtection="1"/>
    <xf numFmtId="0" fontId="0" fillId="0" borderId="15" xfId="0" applyBorder="1" applyProtection="1"/>
    <xf numFmtId="0" fontId="0" fillId="0" borderId="16"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7" xfId="0" applyNumberFormat="1" applyBorder="1" applyProtection="1">
      <protection locked="0"/>
    </xf>
    <xf numFmtId="0" fontId="0" fillId="0" borderId="0" xfId="0" applyBorder="1" applyAlignment="1">
      <alignment horizontal="center"/>
    </xf>
    <xf numFmtId="0" fontId="0" fillId="0" borderId="0" xfId="0" applyBorder="1"/>
    <xf numFmtId="0" fontId="4" fillId="0" borderId="10" xfId="0" applyFont="1" applyBorder="1" applyProtection="1"/>
    <xf numFmtId="0" fontId="8" fillId="0" borderId="10" xfId="0" applyFont="1" applyBorder="1" applyProtection="1"/>
    <xf numFmtId="167" fontId="9" fillId="0" borderId="1" xfId="0" applyNumberFormat="1" applyFont="1" applyBorder="1" applyAlignment="1">
      <alignment horizontal="center" wrapText="1"/>
    </xf>
    <xf numFmtId="166" fontId="9" fillId="0" borderId="1" xfId="0" applyNumberFormat="1" applyFont="1" applyBorder="1" applyAlignment="1">
      <alignment horizontal="center" vertical="center" wrapText="1"/>
    </xf>
    <xf numFmtId="0" fontId="9" fillId="0" borderId="15" xfId="0" applyFont="1" applyBorder="1" applyAlignment="1">
      <alignment horizontal="center" vertical="center"/>
    </xf>
    <xf numFmtId="0" fontId="10" fillId="0" borderId="1" xfId="0" applyFont="1" applyBorder="1" applyAlignment="1">
      <alignment horizontal="center" vertical="center" wrapText="1"/>
    </xf>
    <xf numFmtId="167" fontId="9" fillId="0" borderId="6" xfId="0" applyNumberFormat="1" applyFont="1" applyBorder="1"/>
    <xf numFmtId="165" fontId="9" fillId="0" borderId="6" xfId="0" applyNumberFormat="1" applyFont="1" applyBorder="1" applyAlignment="1">
      <alignment horizontal="center" vertical="center" wrapText="1"/>
    </xf>
    <xf numFmtId="0" fontId="9" fillId="0" borderId="10" xfId="0" applyFont="1" applyBorder="1" applyAlignment="1">
      <alignment horizontal="center" vertical="center"/>
    </xf>
    <xf numFmtId="0" fontId="10" fillId="0" borderId="6" xfId="0" applyFont="1" applyBorder="1" applyAlignment="1">
      <alignment horizontal="center" vertical="center" wrapText="1"/>
    </xf>
    <xf numFmtId="0" fontId="9" fillId="0" borderId="1" xfId="0" applyFont="1" applyBorder="1" applyAlignment="1">
      <alignment horizontal="center" vertical="center"/>
    </xf>
    <xf numFmtId="167" fontId="11" fillId="0" borderId="1" xfId="0" applyNumberFormat="1" applyFont="1" applyBorder="1" applyAlignment="1">
      <alignment horizontal="center" vertical="center"/>
    </xf>
    <xf numFmtId="18"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8" fillId="0" borderId="0" xfId="0" applyNumberFormat="1" applyFont="1" applyAlignment="1">
      <alignment vertical="top"/>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center" vertical="justify"/>
    </xf>
    <xf numFmtId="0" fontId="6" fillId="0" borderId="0" xfId="0" applyFont="1" applyBorder="1" applyAlignment="1" applyProtection="1">
      <alignment horizontal="right"/>
    </xf>
    <xf numFmtId="0" fontId="0" fillId="2" borderId="18" xfId="0" applyFill="1" applyBorder="1" applyAlignment="1">
      <alignment horizontal="right"/>
    </xf>
    <xf numFmtId="0" fontId="6" fillId="0" borderId="19" xfId="0" applyFont="1" applyBorder="1" applyProtection="1"/>
    <xf numFmtId="0" fontId="6" fillId="0" borderId="0" xfId="0" applyFont="1" applyBorder="1" applyAlignment="1" applyProtection="1">
      <alignment horizontal="left"/>
    </xf>
    <xf numFmtId="0" fontId="6" fillId="0" borderId="0" xfId="0" applyFont="1" applyAlignment="1" applyProtection="1"/>
    <xf numFmtId="0" fontId="1" fillId="2" borderId="8" xfId="0" applyFont="1" applyFill="1" applyBorder="1" applyAlignment="1">
      <alignment horizontal="right"/>
    </xf>
    <xf numFmtId="168" fontId="6" fillId="0" borderId="0" xfId="0" applyNumberFormat="1" applyFont="1" applyBorder="1" applyAlignment="1">
      <alignment horizontal="center"/>
    </xf>
    <xf numFmtId="0" fontId="6" fillId="0" borderId="0" xfId="0" quotePrefix="1" applyFont="1" applyAlignment="1">
      <alignment horizontal="right" vertical="center"/>
    </xf>
    <xf numFmtId="0" fontId="6" fillId="0" borderId="0" xfId="0" applyFont="1" applyAlignment="1">
      <alignment vertical="center"/>
    </xf>
    <xf numFmtId="167" fontId="0" fillId="0" borderId="20" xfId="0" applyNumberFormat="1" applyBorder="1" applyProtection="1">
      <protection locked="0"/>
    </xf>
    <xf numFmtId="0" fontId="18" fillId="0" borderId="10" xfId="0" applyFont="1" applyBorder="1" applyProtection="1"/>
    <xf numFmtId="0" fontId="6" fillId="0" borderId="21" xfId="0" applyFont="1" applyBorder="1"/>
    <xf numFmtId="0" fontId="10" fillId="0" borderId="1" xfId="0" applyFont="1" applyBorder="1" applyAlignment="1">
      <alignment horizontal="center" vertical="top" wrapText="1"/>
    </xf>
    <xf numFmtId="0" fontId="2" fillId="0" borderId="0" xfId="0" applyFont="1" applyBorder="1" applyAlignment="1" applyProtection="1">
      <alignment wrapText="1"/>
    </xf>
    <xf numFmtId="0" fontId="6" fillId="0" borderId="0" xfId="0" applyFont="1" applyBorder="1"/>
    <xf numFmtId="0" fontId="6" fillId="0" borderId="0" xfId="0" applyFont="1" applyBorder="1" applyProtection="1"/>
    <xf numFmtId="0" fontId="6" fillId="0" borderId="0" xfId="0" applyFont="1" applyAlignment="1">
      <alignment horizontal="center"/>
    </xf>
    <xf numFmtId="0" fontId="6" fillId="0" borderId="0" xfId="0" applyFont="1" applyBorder="1" applyAlignment="1">
      <alignment horizontal="center"/>
    </xf>
    <xf numFmtId="0" fontId="3" fillId="0" borderId="10" xfId="0" applyFont="1" applyFill="1" applyBorder="1" applyAlignment="1">
      <alignment horizontal="center" wrapText="1"/>
    </xf>
    <xf numFmtId="169" fontId="3" fillId="0" borderId="10" xfId="0" applyNumberFormat="1" applyFont="1" applyFill="1" applyBorder="1" applyAlignment="1">
      <alignment horizontal="left" wrapText="1"/>
    </xf>
    <xf numFmtId="168" fontId="6" fillId="0" borderId="10" xfId="0" applyNumberFormat="1" applyFont="1" applyBorder="1" applyAlignment="1">
      <alignment horizontal="center"/>
    </xf>
    <xf numFmtId="18" fontId="17" fillId="0" borderId="0" xfId="0" applyNumberFormat="1" applyFont="1" applyBorder="1" applyAlignment="1">
      <alignment horizontal="center" wrapText="1"/>
    </xf>
    <xf numFmtId="0" fontId="0" fillId="0" borderId="10" xfId="0" applyBorder="1" applyAlignment="1" applyProtection="1">
      <alignment horizontal="left"/>
    </xf>
    <xf numFmtId="169" fontId="8" fillId="0" borderId="10" xfId="0" applyNumberFormat="1" applyFont="1" applyBorder="1" applyAlignment="1" applyProtection="1">
      <alignment horizontal="center"/>
    </xf>
    <xf numFmtId="169" fontId="6" fillId="0" borderId="10" xfId="0" applyNumberFormat="1" applyFont="1" applyBorder="1" applyAlignment="1" applyProtection="1">
      <alignment horizontal="center"/>
    </xf>
    <xf numFmtId="0" fontId="6" fillId="0" borderId="0" xfId="0" applyNumberFormat="1" applyFont="1" applyBorder="1" applyAlignment="1" applyProtection="1">
      <alignment horizontal="left" vertical="center"/>
    </xf>
    <xf numFmtId="169" fontId="6" fillId="0" borderId="0" xfId="0" applyNumberFormat="1" applyFont="1" applyBorder="1" applyAlignment="1" applyProtection="1">
      <alignment horizontal="left" vertical="center"/>
    </xf>
    <xf numFmtId="0" fontId="5" fillId="0" borderId="0" xfId="0" applyFont="1" applyBorder="1" applyAlignment="1">
      <alignment horizontal="center" wrapText="1"/>
    </xf>
    <xf numFmtId="0" fontId="21" fillId="2" borderId="3" xfId="0" applyFont="1" applyFill="1" applyBorder="1"/>
    <xf numFmtId="0" fontId="21" fillId="2" borderId="4" xfId="0" applyFont="1" applyFill="1" applyBorder="1"/>
    <xf numFmtId="167" fontId="0" fillId="0" borderId="21" xfId="0" applyNumberFormat="1" applyBorder="1" applyProtection="1">
      <protection locked="0"/>
    </xf>
    <xf numFmtId="0" fontId="9" fillId="0" borderId="10" xfId="0" applyFont="1" applyBorder="1" applyProtection="1">
      <protection locked="0"/>
    </xf>
    <xf numFmtId="49" fontId="9" fillId="0" borderId="10" xfId="0" applyNumberFormat="1" applyFont="1" applyBorder="1" applyAlignment="1" applyProtection="1">
      <alignment horizontal="center"/>
      <protection locked="0"/>
    </xf>
    <xf numFmtId="49" fontId="9" fillId="0" borderId="16" xfId="0" applyNumberFormat="1" applyFont="1" applyBorder="1" applyAlignment="1" applyProtection="1">
      <alignment horizontal="center"/>
      <protection locked="0"/>
    </xf>
    <xf numFmtId="0" fontId="9" fillId="0" borderId="22" xfId="0" applyFont="1" applyBorder="1" applyProtection="1">
      <protection locked="0"/>
    </xf>
    <xf numFmtId="0" fontId="9" fillId="0" borderId="19" xfId="0" applyFont="1" applyBorder="1" applyAlignment="1"/>
    <xf numFmtId="0" fontId="9" fillId="0" borderId="4" xfId="0" applyFont="1" applyBorder="1" applyAlignment="1"/>
    <xf numFmtId="0" fontId="22" fillId="0" borderId="0" xfId="0" applyFont="1"/>
    <xf numFmtId="0" fontId="0" fillId="0" borderId="0" xfId="0" applyFont="1"/>
    <xf numFmtId="0" fontId="3" fillId="2" borderId="5" xfId="0" applyFont="1" applyFill="1" applyBorder="1" applyAlignment="1">
      <alignment horizontal="center" vertical="center" wrapText="1"/>
    </xf>
    <xf numFmtId="0" fontId="1" fillId="0" borderId="23" xfId="0" applyFont="1" applyBorder="1" applyProtection="1">
      <protection locked="0"/>
    </xf>
    <xf numFmtId="49" fontId="1" fillId="0" borderId="23" xfId="0" applyNumberFormat="1" applyFont="1" applyBorder="1" applyAlignment="1" applyProtection="1">
      <alignment horizontal="center"/>
      <protection locked="0"/>
    </xf>
    <xf numFmtId="49" fontId="1" fillId="0" borderId="9" xfId="0" applyNumberFormat="1" applyFont="1" applyBorder="1" applyAlignment="1" applyProtection="1">
      <alignment horizontal="center"/>
      <protection locked="0"/>
    </xf>
    <xf numFmtId="0" fontId="10" fillId="0" borderId="6" xfId="0" applyFont="1" applyBorder="1" applyAlignment="1">
      <alignment horizontal="center" wrapText="1"/>
    </xf>
    <xf numFmtId="15" fontId="23" fillId="0" borderId="9" xfId="0" applyNumberFormat="1" applyFont="1" applyBorder="1" applyProtection="1">
      <protection locked="0"/>
    </xf>
    <xf numFmtId="1" fontId="23" fillId="0" borderId="9" xfId="0" applyNumberFormat="1" applyFont="1" applyBorder="1" applyProtection="1">
      <protection locked="0"/>
    </xf>
    <xf numFmtId="0" fontId="23" fillId="0" borderId="24" xfId="0" applyFont="1" applyBorder="1" applyAlignment="1"/>
    <xf numFmtId="20" fontId="23" fillId="0" borderId="16" xfId="0" applyNumberFormat="1" applyFont="1" applyBorder="1" applyProtection="1">
      <protection locked="0"/>
    </xf>
    <xf numFmtId="49" fontId="23" fillId="0" borderId="23" xfId="0" applyNumberFormat="1" applyFont="1" applyBorder="1" applyAlignment="1" applyProtection="1">
      <alignment horizontal="center"/>
      <protection locked="0"/>
    </xf>
    <xf numFmtId="49" fontId="23" fillId="0" borderId="9" xfId="0" applyNumberFormat="1" applyFont="1" applyBorder="1" applyAlignment="1" applyProtection="1">
      <alignment horizontal="center"/>
      <protection locked="0"/>
    </xf>
    <xf numFmtId="0" fontId="21" fillId="0" borderId="25" xfId="0" applyFont="1" applyBorder="1" applyProtection="1">
      <protection locked="0"/>
    </xf>
    <xf numFmtId="49" fontId="21" fillId="0" borderId="25" xfId="0" applyNumberFormat="1" applyFont="1" applyBorder="1" applyAlignment="1" applyProtection="1">
      <alignment horizontal="center"/>
      <protection locked="0"/>
    </xf>
    <xf numFmtId="49" fontId="21" fillId="0" borderId="26" xfId="0" applyNumberFormat="1" applyFont="1" applyBorder="1" applyAlignment="1" applyProtection="1">
      <alignment horizontal="center"/>
      <protection locked="0"/>
    </xf>
    <xf numFmtId="49" fontId="1" fillId="0" borderId="15" xfId="0" applyNumberFormat="1" applyFont="1" applyFill="1" applyBorder="1" applyAlignment="1" applyProtection="1">
      <alignment horizontal="center"/>
      <protection locked="0"/>
    </xf>
    <xf numFmtId="0" fontId="1" fillId="0" borderId="25" xfId="0" applyFont="1" applyBorder="1" applyProtection="1">
      <protection locked="0"/>
    </xf>
    <xf numFmtId="49" fontId="1" fillId="0" borderId="25" xfId="0" applyNumberFormat="1" applyFont="1" applyBorder="1" applyAlignment="1" applyProtection="1">
      <alignment horizontal="center"/>
      <protection locked="0"/>
    </xf>
    <xf numFmtId="49" fontId="1" fillId="0" borderId="26" xfId="0" applyNumberFormat="1" applyFont="1" applyBorder="1" applyAlignment="1" applyProtection="1">
      <alignment horizontal="center"/>
      <protection locked="0"/>
    </xf>
    <xf numFmtId="0" fontId="22" fillId="0" borderId="0" xfId="0" applyFont="1" applyAlignment="1">
      <alignment horizontal="right"/>
    </xf>
    <xf numFmtId="0" fontId="0" fillId="2" borderId="24" xfId="0" applyFill="1" applyBorder="1" applyAlignment="1">
      <alignment horizontal="center"/>
    </xf>
    <xf numFmtId="0" fontId="0" fillId="2" borderId="19" xfId="0" applyFill="1" applyBorder="1" applyAlignment="1">
      <alignment horizontal="center"/>
    </xf>
    <xf numFmtId="0" fontId="0" fillId="2" borderId="4" xfId="0" applyFill="1" applyBorder="1" applyAlignment="1">
      <alignment horizontal="center"/>
    </xf>
    <xf numFmtId="167" fontId="8" fillId="0" borderId="13"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pplyProtection="1">
      <alignment horizontal="right" vertical="center"/>
    </xf>
    <xf numFmtId="0" fontId="2" fillId="0" borderId="13" xfId="0" applyFont="1" applyBorder="1" applyAlignment="1">
      <alignment horizontal="center" vertical="top"/>
    </xf>
    <xf numFmtId="18" fontId="17" fillId="0" borderId="10" xfId="0" applyNumberFormat="1" applyFont="1" applyBorder="1" applyAlignment="1">
      <alignment horizontal="center" wrapText="1"/>
    </xf>
    <xf numFmtId="0" fontId="13" fillId="0" borderId="0" xfId="0" applyFont="1" applyAlignment="1">
      <alignment horizontal="center" vertical="top"/>
    </xf>
    <xf numFmtId="0" fontId="13" fillId="0" borderId="0" xfId="0" applyFont="1" applyAlignment="1">
      <alignment horizontal="center"/>
    </xf>
    <xf numFmtId="168" fontId="6" fillId="0" borderId="0" xfId="0" applyNumberFormat="1" applyFont="1" applyBorder="1" applyAlignment="1">
      <alignment horizontal="left" vertical="center"/>
    </xf>
    <xf numFmtId="0" fontId="0" fillId="0" borderId="0" xfId="0" applyAlignment="1">
      <alignment horizontal="left" vertical="top"/>
    </xf>
    <xf numFmtId="0" fontId="6" fillId="0" borderId="10" xfId="0" applyFont="1" applyBorder="1" applyAlignment="1" applyProtection="1">
      <alignment horizontal="left"/>
    </xf>
    <xf numFmtId="0" fontId="15" fillId="0" borderId="10" xfId="0" applyFont="1" applyBorder="1" applyAlignment="1">
      <alignment horizontal="center" vertical="center"/>
    </xf>
    <xf numFmtId="0" fontId="5" fillId="0" borderId="0" xfId="0" applyFont="1" applyAlignment="1">
      <alignment horizontal="center"/>
    </xf>
    <xf numFmtId="0" fontId="6" fillId="0" borderId="10" xfId="0" applyFont="1" applyBorder="1"/>
    <xf numFmtId="0" fontId="2" fillId="0" borderId="0" xfId="0" applyFont="1" applyBorder="1" applyAlignment="1" applyProtection="1">
      <alignment horizontal="center" wrapText="1"/>
    </xf>
    <xf numFmtId="0" fontId="2" fillId="0" borderId="0" xfId="0" applyFont="1" applyBorder="1" applyAlignment="1" applyProtection="1">
      <alignment horizontal="center" vertical="top" wrapText="1"/>
    </xf>
    <xf numFmtId="0" fontId="6" fillId="0" borderId="0" xfId="0" applyFont="1" applyAlignment="1">
      <alignment horizontal="center"/>
    </xf>
    <xf numFmtId="0" fontId="6" fillId="0" borderId="10" xfId="0" applyFont="1" applyBorder="1" applyAlignment="1">
      <alignment horizontal="center"/>
    </xf>
    <xf numFmtId="0" fontId="0" fillId="0" borderId="10" xfId="0" applyBorder="1" applyAlignment="1">
      <alignment horizont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3 2 2" xfId="4" xr:uid="{00000000-0005-0000-0000-000004000000}"/>
    <cellStyle name="Normal 3 2 3" xfId="5" xr:uid="{00000000-0005-0000-0000-000005000000}"/>
    <cellStyle name="Normal 4" xfId="6" xr:uid="{00000000-0005-0000-0000-00000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11</xdr:col>
      <xdr:colOff>409576</xdr:colOff>
      <xdr:row>5</xdr:row>
      <xdr:rowOff>0</xdr:rowOff>
    </xdr:to>
    <xdr:pic>
      <xdr:nvPicPr>
        <xdr:cNvPr id="3073" name="Picture 3">
          <a:extLst>
            <a:ext uri="{FF2B5EF4-FFF2-40B4-BE49-F238E27FC236}">
              <a16:creationId xmlns:a16="http://schemas.microsoft.com/office/drawing/2014/main" id="{00000000-0008-0000-0100-0000010C0000}"/>
            </a:ext>
          </a:extLst>
        </xdr:cNvPr>
        <xdr:cNvPicPr>
          <a:picLocks noChangeAspect="1"/>
        </xdr:cNvPicPr>
      </xdr:nvPicPr>
      <xdr:blipFill>
        <a:blip xmlns:r="http://schemas.openxmlformats.org/officeDocument/2006/relationships" r:embed="rId1"/>
        <a:srcRect/>
        <a:stretch>
          <a:fillRect/>
        </a:stretch>
      </xdr:blipFill>
      <xdr:spPr bwMode="auto">
        <a:xfrm>
          <a:off x="9782175" y="495300"/>
          <a:ext cx="1733550" cy="1571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11</xdr:col>
      <xdr:colOff>409575</xdr:colOff>
      <xdr:row>5</xdr:row>
      <xdr:rowOff>0</xdr:rowOff>
    </xdr:to>
    <xdr:pic>
      <xdr:nvPicPr>
        <xdr:cNvPr id="4097" name="Picture 1">
          <a:extLst>
            <a:ext uri="{FF2B5EF4-FFF2-40B4-BE49-F238E27FC236}">
              <a16:creationId xmlns:a16="http://schemas.microsoft.com/office/drawing/2014/main" id="{00000000-0008-0000-0200-000001100000}"/>
            </a:ext>
          </a:extLst>
        </xdr:cNvPr>
        <xdr:cNvPicPr>
          <a:picLocks noChangeAspect="1"/>
        </xdr:cNvPicPr>
      </xdr:nvPicPr>
      <xdr:blipFill>
        <a:blip xmlns:r="http://schemas.openxmlformats.org/officeDocument/2006/relationships" r:embed="rId1"/>
        <a:srcRect/>
        <a:stretch>
          <a:fillRect/>
        </a:stretch>
      </xdr:blipFill>
      <xdr:spPr bwMode="auto">
        <a:xfrm>
          <a:off x="9782175" y="495300"/>
          <a:ext cx="1733550" cy="1571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2"/>
  <sheetViews>
    <sheetView showGridLines="0" zoomScaleNormal="100" zoomScalePageLayoutView="135" workbookViewId="0">
      <selection activeCell="A17" sqref="A17"/>
    </sheetView>
  </sheetViews>
  <sheetFormatPr defaultColWidth="8.88671875" defaultRowHeight="13.2" x14ac:dyDescent="0.25"/>
  <cols>
    <col min="1" max="1" width="16.44140625" style="2" customWidth="1"/>
    <col min="2" max="2" width="9.88671875" bestFit="1" customWidth="1"/>
    <col min="3" max="3" width="0" style="3" hidden="1" customWidth="1"/>
    <col min="4" max="4" width="8.33203125" customWidth="1"/>
    <col min="5" max="5" width="17" bestFit="1" customWidth="1"/>
    <col min="6" max="6" width="18" bestFit="1" customWidth="1"/>
    <col min="7" max="7" width="22.109375" bestFit="1" customWidth="1"/>
    <col min="8" max="8" width="25.109375" bestFit="1" customWidth="1"/>
    <col min="9" max="11" width="31.109375" customWidth="1"/>
    <col min="12" max="12" width="17.33203125" hidden="1" customWidth="1"/>
    <col min="13" max="15" width="17.88671875" hidden="1" customWidth="1"/>
  </cols>
  <sheetData>
    <row r="1" spans="1:23" ht="18" x14ac:dyDescent="0.35">
      <c r="A1" s="13" t="s">
        <v>18</v>
      </c>
      <c r="B1" s="89">
        <v>300</v>
      </c>
      <c r="C1">
        <f>IF(Brevet_Length&gt;=1200,Brevet_Length,IF(Brevet_Length&gt;=1000,1000,IF(Brevet_Length&gt;=600,600,IF(Brevet_Length&gt;=400,400,IF(Brevet_Length&gt;=300,300,IF(Brevet_Length&gt;=200,200,100))))))</f>
        <v>300</v>
      </c>
      <c r="J1" s="112" t="s">
        <v>67</v>
      </c>
      <c r="K1" s="112"/>
      <c r="Q1" s="92" t="s">
        <v>68</v>
      </c>
      <c r="R1" s="92"/>
      <c r="S1" s="92"/>
      <c r="T1" s="92"/>
      <c r="U1" s="92"/>
      <c r="V1" s="92"/>
      <c r="W1" s="92"/>
    </row>
    <row r="2" spans="1:23" ht="13.8" thickBot="1" x14ac:dyDescent="0.3">
      <c r="A2" s="14" t="s">
        <v>19</v>
      </c>
      <c r="B2" s="15">
        <f>IF(brevet=1200,90,IF(brevet=1000,75,IF(brevet=600,40,IF(brevet=400,27,IF(brevet=300,20,IF(brevet=200,13.5,IF(brevet=100,7,0)))))))</f>
        <v>20</v>
      </c>
      <c r="Q2" t="s">
        <v>69</v>
      </c>
    </row>
    <row r="3" spans="1:23" ht="18.600000000000001" thickBot="1" x14ac:dyDescent="0.4">
      <c r="A3" s="14" t="s">
        <v>20</v>
      </c>
      <c r="B3" s="101" t="s">
        <v>81</v>
      </c>
      <c r="C3" s="90"/>
      <c r="D3" s="90"/>
      <c r="E3" s="90"/>
      <c r="F3" s="90"/>
      <c r="G3" s="90"/>
      <c r="H3" s="91"/>
      <c r="I3" s="35"/>
      <c r="J3" s="35"/>
      <c r="K3" s="35"/>
      <c r="O3" s="36"/>
      <c r="P3" s="36"/>
      <c r="Q3" s="92" t="s">
        <v>70</v>
      </c>
    </row>
    <row r="4" spans="1:23" ht="15.6" x14ac:dyDescent="0.3">
      <c r="A4" s="14" t="s">
        <v>21</v>
      </c>
      <c r="B4" s="100" t="s">
        <v>82</v>
      </c>
      <c r="C4" s="32"/>
      <c r="F4" s="33"/>
      <c r="G4" s="33"/>
      <c r="H4" s="33"/>
      <c r="I4" s="33"/>
      <c r="J4" s="33"/>
      <c r="K4" s="33"/>
      <c r="Q4" s="92" t="s">
        <v>71</v>
      </c>
    </row>
    <row r="5" spans="1:23" ht="15.6" x14ac:dyDescent="0.3">
      <c r="A5" s="60" t="s">
        <v>49</v>
      </c>
      <c r="B5" s="99" t="s">
        <v>83</v>
      </c>
      <c r="Q5" s="92" t="s">
        <v>72</v>
      </c>
    </row>
    <row r="6" spans="1:23" ht="6" customHeight="1" x14ac:dyDescent="0.25"/>
    <row r="7" spans="1:23" ht="16.2" thickBot="1" x14ac:dyDescent="0.35">
      <c r="A7" s="56" t="s">
        <v>22</v>
      </c>
      <c r="B7" s="99">
        <v>44380</v>
      </c>
      <c r="Q7" s="92" t="s">
        <v>73</v>
      </c>
    </row>
    <row r="8" spans="1:23" ht="16.2" thickBot="1" x14ac:dyDescent="0.35">
      <c r="A8" s="12" t="s">
        <v>23</v>
      </c>
      <c r="B8" s="102">
        <v>0.27083333333333331</v>
      </c>
      <c r="D8" s="113" t="s">
        <v>61</v>
      </c>
      <c r="E8" s="114"/>
      <c r="F8" s="114"/>
      <c r="G8" s="114"/>
      <c r="H8" s="114"/>
      <c r="I8" s="113" t="s">
        <v>78</v>
      </c>
      <c r="J8" s="114"/>
      <c r="K8" s="115"/>
      <c r="Q8" s="92" t="s">
        <v>74</v>
      </c>
    </row>
    <row r="9" spans="1:23" ht="14.4" thickBot="1" x14ac:dyDescent="0.35">
      <c r="D9" s="6" t="s">
        <v>24</v>
      </c>
      <c r="E9" s="7" t="s">
        <v>25</v>
      </c>
      <c r="F9" s="83" t="s">
        <v>26</v>
      </c>
      <c r="G9" s="83" t="s">
        <v>27</v>
      </c>
      <c r="H9" s="84" t="s">
        <v>28</v>
      </c>
      <c r="I9" s="7" t="s">
        <v>64</v>
      </c>
      <c r="J9" s="7" t="s">
        <v>65</v>
      </c>
      <c r="K9" s="8" t="s">
        <v>66</v>
      </c>
      <c r="L9" t="s">
        <v>3</v>
      </c>
      <c r="M9" t="s">
        <v>4</v>
      </c>
      <c r="N9" t="s">
        <v>5</v>
      </c>
      <c r="O9" t="s">
        <v>6</v>
      </c>
      <c r="Q9" s="92" t="s">
        <v>75</v>
      </c>
    </row>
    <row r="10" spans="1:23" ht="17.100000000000001" customHeight="1" x14ac:dyDescent="0.3">
      <c r="C10" s="3" t="s">
        <v>7</v>
      </c>
      <c r="D10" s="34">
        <v>0</v>
      </c>
      <c r="E10" s="95" t="s">
        <v>88</v>
      </c>
      <c r="F10" s="96" t="s">
        <v>89</v>
      </c>
      <c r="G10" s="96" t="s">
        <v>85</v>
      </c>
      <c r="H10" s="97" t="s">
        <v>98</v>
      </c>
      <c r="I10" s="103"/>
      <c r="J10" s="103"/>
      <c r="K10" s="104"/>
      <c r="L10" s="4">
        <f>Start_date+Start_time</f>
        <v>44380.270833333336</v>
      </c>
      <c r="M10" s="4">
        <f>L10+"1:00"</f>
        <v>44380.3125</v>
      </c>
      <c r="N10" s="5">
        <f>IF(ISBLANK(Distance),"",Open Control_1)</f>
        <v>44380.270833333336</v>
      </c>
      <c r="O10" s="5">
        <f>IF(ISBLANK(Distance),"",Close Control_1)</f>
        <v>44380.3125</v>
      </c>
      <c r="Q10" s="92" t="s">
        <v>76</v>
      </c>
    </row>
    <row r="11" spans="1:23" ht="17.100000000000001" customHeight="1" x14ac:dyDescent="0.3">
      <c r="C11" s="3" t="s">
        <v>8</v>
      </c>
      <c r="D11" s="34">
        <v>38</v>
      </c>
      <c r="E11" s="95" t="s">
        <v>96</v>
      </c>
      <c r="F11" s="96" t="s">
        <v>97</v>
      </c>
      <c r="G11" s="96" t="s">
        <v>84</v>
      </c>
      <c r="H11" s="97" t="s">
        <v>95</v>
      </c>
      <c r="I11" s="103"/>
      <c r="J11" s="103"/>
      <c r="K11" s="104"/>
      <c r="L11">
        <f>IF(ISBLANK(Distance),"",IF(Distance&gt;1000,(Distance-1000)/26+33.0847,(IF(Distance&gt;600,(Distance-600)/28+18.799,(IF(Distance&gt;400,(Distance-400)/30+12.1324,(IF(Distance&gt;200,(Distance-200)/32+5.8824,Distance/34))))))))</f>
        <v>1.1176470588235294</v>
      </c>
      <c r="M11">
        <f>IF(ISBLANK(Distance),"",IF(Distance&gt;=brevet,IF(brevet&gt;1200,(brevet-1200)*75/1000+90,Max_time),IF(Distance&gt;1200,(Distance-1200)*75/1000+90,IF(Distance&gt;1000,(Distance-1000)/(1000/75)+75,IF(Distance&gt;600,(Distance-600)/(400/35)+40,Distance/15)))))</f>
        <v>2.5333333333333332</v>
      </c>
      <c r="N11" s="5">
        <f>IF(ISBLANK(Distance),"",Open_time Control_1+(INT(Open)&amp;":"&amp;IF(ROUND(((Open-INT(Open))*60),0)&lt;10,0,"")&amp;ROUND(((Open-INT(Open))*60),0)))</f>
        <v>44380.317361111112</v>
      </c>
      <c r="O11" s="5">
        <f>IF(ISBLANK(Distance),"",Open_time Control_1+(INT(Close)&amp;":"&amp;IF(ROUND(((Close-INT(Close))*60),0)&lt;10,0,"")&amp;ROUND(((Close-INT(Close))*60),0)))</f>
        <v>44380.376388888893</v>
      </c>
      <c r="Q11" s="92" t="s">
        <v>77</v>
      </c>
    </row>
    <row r="12" spans="1:23" ht="17.100000000000001" customHeight="1" x14ac:dyDescent="0.3">
      <c r="C12" s="3" t="s">
        <v>9</v>
      </c>
      <c r="D12" s="34">
        <v>89</v>
      </c>
      <c r="E12" s="95" t="s">
        <v>94</v>
      </c>
      <c r="F12" s="96" t="s">
        <v>92</v>
      </c>
      <c r="G12" s="96" t="s">
        <v>93</v>
      </c>
      <c r="H12" s="97" t="s">
        <v>115</v>
      </c>
      <c r="I12" s="103"/>
      <c r="J12" s="103"/>
      <c r="K12" s="104"/>
      <c r="L12">
        <f>IF(ISBLANK(Distance),"",IF(Distance&gt;1000,(Distance-1000)/26+33.0847,(IF(Distance&gt;600,(Distance-600)/28+18.799,(IF(Distance&gt;400,(Distance-400)/30+12.1324,(IF(Distance&gt;200,(Distance-200)/32+5.8824,Distance/34))))))))</f>
        <v>2.6176470588235294</v>
      </c>
      <c r="M12">
        <f t="shared" ref="M12:M19" si="0">IF(ISBLANK(Distance),"",IF(Distance&gt;=brevet,IF(brevet&gt;1200,(brevet-1200)*75/1000+90,Max_time),IF(Distance&gt;1200,(Distance-1200)*75/1000+90,IF(Distance&gt;1000,(Distance-1000)/(1000/75)+75,IF(Distance&gt;600,(Distance-600)/(400/35)+40,Distance/15)))))</f>
        <v>5.9333333333333336</v>
      </c>
      <c r="N12" s="5">
        <f>IF(ISBLANK(Distance),"",Open_time Control_1+(INT(Open)&amp;":"&amp;IF(ROUND(((Open-INT(Open))*60),0)&lt;10,0,"")&amp;ROUND(((Open-INT(Open))*60),0)))</f>
        <v>44380.379861111112</v>
      </c>
      <c r="O12" s="5">
        <f>IF(ISBLANK(Distance),"",Open_time Control_1+(INT(Close)&amp;":"&amp;IF(ROUND(((Close-INT(Close))*60),0)&lt;10,0,"")&amp;ROUND(((Close-INT(Close))*60),0)))</f>
        <v>44380.518055555556</v>
      </c>
    </row>
    <row r="13" spans="1:23" ht="17.100000000000001" customHeight="1" x14ac:dyDescent="0.3">
      <c r="C13" s="3" t="s">
        <v>10</v>
      </c>
      <c r="D13" s="34">
        <v>106.1</v>
      </c>
      <c r="E13" s="95" t="s">
        <v>86</v>
      </c>
      <c r="F13" s="96" t="s">
        <v>87</v>
      </c>
      <c r="G13" s="96" t="s">
        <v>90</v>
      </c>
      <c r="H13" s="97" t="s">
        <v>91</v>
      </c>
      <c r="I13" s="103"/>
      <c r="J13" s="103"/>
      <c r="K13" s="104"/>
      <c r="L13">
        <f t="shared" ref="L13:L19" si="1">IF(ISBLANK(Distance),"",IF(Distance&gt;1000,(Distance-1000)/26+33.0847,(IF(Distance&gt;600,(Distance-600)/28+18.799,(IF(Distance&gt;400,(Distance-400)/30+12.1324,(IF(Distance&gt;200,(Distance-200)/32+5.8824,Distance/34))))))))</f>
        <v>3.1205882352941177</v>
      </c>
      <c r="M13">
        <f t="shared" si="0"/>
        <v>7.0733333333333333</v>
      </c>
      <c r="N13" s="5">
        <f>IF(ISBLANK(Distance),"",Open_time Control_1+(INT(Open)&amp;":"&amp;IF(ROUND(((Open-INT(Open))*60),0)&lt;10,0,"")&amp;ROUND(((Open-INT(Open))*60),0)))</f>
        <v>44380.400694444448</v>
      </c>
      <c r="O13" s="5">
        <f>IF(ISBLANK(Distance),"",Open_time Control_1+(INT(Close)&amp;":"&amp;IF(ROUND(((Close-INT(Close))*60),0)&lt;10,0,"")&amp;ROUND(((Close-INT(Close))*60),0)))</f>
        <v>44380.56527777778</v>
      </c>
    </row>
    <row r="14" spans="1:23" ht="17.100000000000001" customHeight="1" x14ac:dyDescent="0.3">
      <c r="C14" s="3" t="s">
        <v>11</v>
      </c>
      <c r="D14" s="34">
        <v>127.3</v>
      </c>
      <c r="E14" s="95" t="s">
        <v>120</v>
      </c>
      <c r="F14" s="96" t="s">
        <v>119</v>
      </c>
      <c r="G14" s="97" t="s">
        <v>113</v>
      </c>
      <c r="H14" s="108" t="s">
        <v>114</v>
      </c>
      <c r="I14" s="103"/>
      <c r="J14" s="103"/>
      <c r="K14" s="104"/>
      <c r="L14">
        <f t="shared" si="1"/>
        <v>3.7441176470588236</v>
      </c>
      <c r="M14">
        <f t="shared" si="0"/>
        <v>8.4866666666666664</v>
      </c>
      <c r="N14" s="5">
        <f>IF(ISBLANK(Distance),"",Open_time Control_1+(INT(Open)&amp;":"&amp;IF(ROUND(((Open-INT(Open))*60),0)&lt;10,0,"")&amp;ROUND(((Open-INT(Open))*60),0)))</f>
        <v>44380.427083333336</v>
      </c>
      <c r="O14" s="5">
        <f>IF(ISBLANK(Distance),"",Open_time Control_1+(INT(Close)&amp;":"&amp;IF(ROUND(((Close-INT(Close))*60),0)&lt;10,0,"")&amp;ROUND(((Close-INT(Close))*60),0)))</f>
        <v>44380.624305555561</v>
      </c>
      <c r="Q14" s="93" t="s">
        <v>79</v>
      </c>
    </row>
    <row r="15" spans="1:23" ht="17.100000000000001" customHeight="1" x14ac:dyDescent="0.3">
      <c r="C15" s="3" t="s">
        <v>12</v>
      </c>
      <c r="D15" s="34">
        <v>148.4</v>
      </c>
      <c r="E15" s="95" t="s">
        <v>99</v>
      </c>
      <c r="F15" s="96" t="s">
        <v>118</v>
      </c>
      <c r="G15" s="96" t="s">
        <v>117</v>
      </c>
      <c r="H15" s="97" t="s">
        <v>116</v>
      </c>
      <c r="I15" s="103"/>
      <c r="J15" s="103"/>
      <c r="K15" s="104"/>
      <c r="L15">
        <f t="shared" si="1"/>
        <v>4.3647058823529417</v>
      </c>
      <c r="M15">
        <f t="shared" si="0"/>
        <v>9.8933333333333344</v>
      </c>
      <c r="N15" s="5">
        <f>IF(ISBLANK(Distance),"",Open_time Control_1+(INT(Open)&amp;":"&amp;IF(ROUND(((Open-INT(Open))*60),0)&lt;10,0,"")&amp;ROUND(((Open-INT(Open))*60),0)))</f>
        <v>44380.452777777777</v>
      </c>
      <c r="O15" s="5">
        <f>IF(ISBLANK(Distance),"",Open_time Control_1+(INT(Close)&amp;":"&amp;IF(ROUND(((Close-INT(Close))*60),0)&lt;10,0,"")&amp;ROUND(((Close-INT(Close))*60),0)))</f>
        <v>44380.683333333334</v>
      </c>
    </row>
    <row r="16" spans="1:23" ht="17.100000000000001" customHeight="1" x14ac:dyDescent="0.3">
      <c r="C16" s="3" t="s">
        <v>13</v>
      </c>
      <c r="D16" s="34">
        <v>220</v>
      </c>
      <c r="E16" s="95" t="s">
        <v>100</v>
      </c>
      <c r="F16" s="96" t="s">
        <v>121</v>
      </c>
      <c r="G16" s="96" t="s">
        <v>122</v>
      </c>
      <c r="H16" s="97" t="s">
        <v>123</v>
      </c>
      <c r="I16" s="103"/>
      <c r="J16" s="103"/>
      <c r="K16" s="104"/>
      <c r="L16">
        <f t="shared" si="1"/>
        <v>6.5073999999999996</v>
      </c>
      <c r="M16">
        <f t="shared" si="0"/>
        <v>14.666666666666666</v>
      </c>
      <c r="N16" s="5">
        <f>IF(ISBLANK(Distance),"",Open_time Control_1+(INT(Open)&amp;":"&amp;IF(ROUND(((Open-INT(Open))*60),0)&lt;10,0,"")&amp;ROUND(((Open-INT(Open))*60),0)))</f>
        <v>44380.541666666672</v>
      </c>
      <c r="O16" s="5">
        <f>IF(ISBLANK(Distance),"",Open_time Control_1+(INT(Close)&amp;":"&amp;IF(ROUND(((Close-INT(Close))*60),0)&lt;10,0,"")&amp;ROUND(((Close-INT(Close))*60),0)))</f>
        <v>44380.881944444445</v>
      </c>
    </row>
    <row r="17" spans="3:15" ht="17.100000000000001" customHeight="1" x14ac:dyDescent="0.3">
      <c r="C17" s="3" t="s">
        <v>14</v>
      </c>
      <c r="D17" s="34">
        <v>251.1</v>
      </c>
      <c r="E17" s="95" t="s">
        <v>101</v>
      </c>
      <c r="F17" s="96" t="s">
        <v>104</v>
      </c>
      <c r="G17" s="96" t="s">
        <v>102</v>
      </c>
      <c r="H17" s="97" t="s">
        <v>103</v>
      </c>
      <c r="I17" s="103"/>
      <c r="J17" s="103"/>
      <c r="K17" s="104"/>
      <c r="L17">
        <f t="shared" si="1"/>
        <v>7.4792749999999995</v>
      </c>
      <c r="M17">
        <f t="shared" si="0"/>
        <v>16.739999999999998</v>
      </c>
      <c r="N17" s="5">
        <f>IF(ISBLANK(Distance),"",Open_time Control_1+(INT(Open)&amp;":"&amp;IF(ROUND(((Open-INT(Open))*60),0)&lt;10,0,"")&amp;ROUND(((Open-INT(Open))*60),0)))</f>
        <v>44380.582638888889</v>
      </c>
      <c r="O17" s="5">
        <f>IF(ISBLANK(Distance),"",Open_time Control_1+(INT(Close)&amp;":"&amp;IF(ROUND(((Close-INT(Close))*60),0)&lt;10,0,"")&amp;ROUND(((Close-INT(Close))*60),0)))</f>
        <v>44380.968055555561</v>
      </c>
    </row>
    <row r="18" spans="3:15" ht="17.100000000000001" customHeight="1" x14ac:dyDescent="0.3">
      <c r="C18" s="3" t="s">
        <v>15</v>
      </c>
      <c r="D18" s="34">
        <v>265.10000000000002</v>
      </c>
      <c r="E18" s="95" t="s">
        <v>105</v>
      </c>
      <c r="F18" s="96" t="s">
        <v>106</v>
      </c>
      <c r="G18" s="96" t="s">
        <v>107</v>
      </c>
      <c r="H18" s="97" t="s">
        <v>108</v>
      </c>
      <c r="I18" s="103"/>
      <c r="J18" s="103"/>
      <c r="K18" s="104"/>
      <c r="L18">
        <f t="shared" si="1"/>
        <v>7.9167750000000003</v>
      </c>
      <c r="M18">
        <f t="shared" si="0"/>
        <v>17.673333333333336</v>
      </c>
      <c r="N18" s="5">
        <f>IF(ISBLANK(Distance),"",Open_time Control_1+(INT(Open)&amp;":"&amp;IF(ROUND(((Open-INT(Open))*60),0)&lt;10,0,"")&amp;ROUND(((Open-INT(Open))*60),0)))</f>
        <v>44380.600694444445</v>
      </c>
      <c r="O18" s="5">
        <f>IF(ISBLANK(Distance),"",Open_time Control_1+(INT(Close)&amp;":"&amp;IF(ROUND(((Close-INT(Close))*60),0)&lt;10,0,"")&amp;ROUND(((Close-INT(Close))*60),0)))</f>
        <v>44381.006944444445</v>
      </c>
    </row>
    <row r="19" spans="3:15" ht="17.100000000000001" customHeight="1" thickBot="1" x14ac:dyDescent="0.35">
      <c r="C19" s="3" t="s">
        <v>16</v>
      </c>
      <c r="D19" s="64">
        <v>303.89999999999998</v>
      </c>
      <c r="E19" s="109" t="s">
        <v>109</v>
      </c>
      <c r="F19" s="110" t="s">
        <v>110</v>
      </c>
      <c r="G19" s="110" t="s">
        <v>111</v>
      </c>
      <c r="H19" s="111" t="s">
        <v>112</v>
      </c>
      <c r="I19" s="106"/>
      <c r="J19" s="106"/>
      <c r="K19" s="107"/>
      <c r="L19">
        <f t="shared" si="1"/>
        <v>9.1292749999999998</v>
      </c>
      <c r="M19">
        <f t="shared" si="0"/>
        <v>20</v>
      </c>
      <c r="N19" s="5">
        <f>IF(ISBLANK(Distance),"",Open_time Control_1+(INT(Open)&amp;":"&amp;IF(ROUND(((Open-INT(Open))*60),0)&lt;10,0,"")&amp;ROUND(((Open-INT(Open))*60),0)))</f>
        <v>44380.651388888895</v>
      </c>
      <c r="O19" s="5">
        <f>IF(ISBLANK(Distance),"",Open_time Control_1+(INT(Close)&amp;":"&amp;IF(ROUND(((Close-INT(Close))*60),0)&lt;10,0,"")&amp;ROUND(((Close-INT(Close))*60),0)))</f>
        <v>44381.104166666672</v>
      </c>
    </row>
    <row r="20" spans="3:15" ht="6.9" customHeight="1" thickBot="1" x14ac:dyDescent="0.4">
      <c r="D20" s="85"/>
      <c r="E20" s="86"/>
      <c r="F20" s="87"/>
      <c r="G20" s="87"/>
      <c r="H20" s="87"/>
      <c r="I20" s="87"/>
      <c r="J20" s="87"/>
      <c r="K20" s="88"/>
      <c r="N20" s="5"/>
      <c r="O20" s="5"/>
    </row>
    <row r="21" spans="3:15" ht="13.8" thickBot="1" x14ac:dyDescent="0.3">
      <c r="D21" s="113" t="s">
        <v>62</v>
      </c>
      <c r="E21" s="114"/>
      <c r="F21" s="114"/>
      <c r="G21" s="114"/>
      <c r="H21" s="114"/>
      <c r="I21" s="113" t="s">
        <v>80</v>
      </c>
      <c r="J21" s="114"/>
      <c r="K21" s="115"/>
    </row>
    <row r="22" spans="3:15" ht="14.4" thickBot="1" x14ac:dyDescent="0.35">
      <c r="D22" s="6" t="s">
        <v>24</v>
      </c>
      <c r="E22" s="7" t="s">
        <v>25</v>
      </c>
      <c r="F22" s="83" t="s">
        <v>26</v>
      </c>
      <c r="G22" s="83" t="s">
        <v>27</v>
      </c>
      <c r="H22" s="84" t="s">
        <v>28</v>
      </c>
      <c r="I22" s="7" t="s">
        <v>64</v>
      </c>
      <c r="J22" s="7" t="s">
        <v>65</v>
      </c>
      <c r="K22" s="8" t="s">
        <v>66</v>
      </c>
      <c r="L22" t="s">
        <v>3</v>
      </c>
      <c r="M22" t="s">
        <v>4</v>
      </c>
      <c r="N22" t="s">
        <v>5</v>
      </c>
      <c r="O22" t="s">
        <v>6</v>
      </c>
    </row>
    <row r="23" spans="3:15" ht="15.6" x14ac:dyDescent="0.3">
      <c r="D23" s="34"/>
      <c r="E23" s="95"/>
      <c r="F23" s="96"/>
      <c r="G23" s="96"/>
      <c r="H23" s="97"/>
      <c r="I23" s="103"/>
      <c r="J23" s="103"/>
      <c r="K23" s="104"/>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100000000000001" customHeight="1" x14ac:dyDescent="0.3">
      <c r="D24" s="34"/>
      <c r="E24" s="95"/>
      <c r="F24" s="96"/>
      <c r="G24" s="96"/>
      <c r="H24" s="97"/>
      <c r="I24" s="103"/>
      <c r="J24" s="103"/>
      <c r="K24" s="104"/>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100000000000001" customHeight="1" x14ac:dyDescent="0.3">
      <c r="D25" s="34"/>
      <c r="E25" s="95"/>
      <c r="F25" s="96"/>
      <c r="G25" s="96"/>
      <c r="H25" s="97"/>
      <c r="I25" s="103"/>
      <c r="J25" s="103"/>
      <c r="K25" s="104"/>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100000000000001" customHeight="1" x14ac:dyDescent="0.3">
      <c r="D26" s="34"/>
      <c r="E26" s="95"/>
      <c r="F26" s="96"/>
      <c r="G26" s="96"/>
      <c r="H26" s="97"/>
      <c r="I26" s="103"/>
      <c r="J26" s="103"/>
      <c r="K26" s="104"/>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100000000000001" customHeight="1" x14ac:dyDescent="0.3">
      <c r="D27" s="34"/>
      <c r="E27" s="95"/>
      <c r="F27" s="96"/>
      <c r="G27" s="96"/>
      <c r="H27" s="97"/>
      <c r="I27" s="103"/>
      <c r="J27" s="103"/>
      <c r="K27" s="104"/>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100000000000001" customHeight="1" x14ac:dyDescent="0.3">
      <c r="D28" s="34"/>
      <c r="E28" s="95"/>
      <c r="F28" s="96"/>
      <c r="G28" s="96"/>
      <c r="H28" s="97"/>
      <c r="I28" s="103"/>
      <c r="J28" s="103"/>
      <c r="K28" s="104"/>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100000000000001" customHeight="1" x14ac:dyDescent="0.3">
      <c r="D29" s="34"/>
      <c r="E29" s="95"/>
      <c r="F29" s="96"/>
      <c r="G29" s="96"/>
      <c r="H29" s="97"/>
      <c r="I29" s="103"/>
      <c r="J29" s="103"/>
      <c r="K29" s="104"/>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100000000000001" customHeight="1" x14ac:dyDescent="0.3">
      <c r="D30" s="34"/>
      <c r="E30" s="95"/>
      <c r="F30" s="96"/>
      <c r="G30" s="96"/>
      <c r="H30" s="97"/>
      <c r="I30" s="103"/>
      <c r="J30" s="103"/>
      <c r="K30" s="104"/>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100000000000001" customHeight="1" x14ac:dyDescent="0.3">
      <c r="D31" s="34"/>
      <c r="E31" s="95"/>
      <c r="F31" s="96"/>
      <c r="G31" s="96"/>
      <c r="H31" s="97"/>
      <c r="I31" s="103"/>
      <c r="J31" s="103"/>
      <c r="K31" s="104"/>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100000000000001" customHeight="1" thickBot="1" x14ac:dyDescent="0.35">
      <c r="D32" s="64"/>
      <c r="E32" s="105"/>
      <c r="F32" s="106"/>
      <c r="G32" s="106"/>
      <c r="H32" s="107"/>
      <c r="I32" s="106"/>
      <c r="J32" s="106"/>
      <c r="K32" s="107"/>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2" type="noConversion"/>
  <pageMargins left="0.75" right="0.75" top="1" bottom="1" header="0.5" footer="0.5"/>
  <pageSetup orientation="portrait" horizontalDpi="4294967292" verticalDpi="4294967292"/>
  <headerFooter>
    <oddHeader>&amp;A</oddHeader>
    <oddFooter>Page &amp;P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40"/>
  <sheetViews>
    <sheetView showGridLines="0" tabSelected="1" zoomScale="85" zoomScaleNormal="85" zoomScalePageLayoutView="92" workbookViewId="0">
      <selection activeCell="L22" sqref="L22"/>
    </sheetView>
  </sheetViews>
  <sheetFormatPr defaultColWidth="8.88671875" defaultRowHeight="13.2" x14ac:dyDescent="0.25"/>
  <cols>
    <col min="1" max="1" width="8.44140625" style="1" customWidth="1"/>
    <col min="2" max="2" width="12.77734375" customWidth="1"/>
    <col min="3" max="3" width="11.6640625" customWidth="1"/>
    <col min="4" max="4" width="18" customWidth="1"/>
    <col min="5" max="5" width="23.88671875" customWidth="1"/>
    <col min="6" max="6" width="42" customWidth="1"/>
    <col min="7" max="7" width="13.44140625" customWidth="1"/>
    <col min="8" max="8" width="8" style="36" customWidth="1"/>
    <col min="9" max="9" width="12" customWidth="1"/>
    <col min="14" max="14" width="8.88671875" customWidth="1"/>
    <col min="15" max="15" width="10.5546875" customWidth="1"/>
    <col min="18" max="19" width="8.88671875" customWidth="1"/>
  </cols>
  <sheetData>
    <row r="1" spans="1:22" ht="21" thickBot="1" x14ac:dyDescent="0.3">
      <c r="A1" s="128" t="s">
        <v>44</v>
      </c>
      <c r="B1" s="128"/>
      <c r="C1" s="128"/>
      <c r="D1" s="128"/>
      <c r="E1" s="128"/>
      <c r="F1" s="128"/>
      <c r="G1" s="128"/>
      <c r="H1" s="35" t="s">
        <v>29</v>
      </c>
    </row>
    <row r="2" spans="1:22" ht="33.75" customHeight="1" thickBot="1" x14ac:dyDescent="0.35">
      <c r="A2" s="94" t="s">
        <v>30</v>
      </c>
      <c r="B2" s="9" t="s">
        <v>3</v>
      </c>
      <c r="C2" s="9" t="s">
        <v>4</v>
      </c>
      <c r="D2" s="9" t="s">
        <v>25</v>
      </c>
      <c r="E2" s="9" t="s">
        <v>31</v>
      </c>
      <c r="F2" s="9" t="s">
        <v>60</v>
      </c>
      <c r="G2" s="94" t="s">
        <v>32</v>
      </c>
      <c r="H2" s="35" t="s">
        <v>29</v>
      </c>
      <c r="K2" s="126" t="s">
        <v>56</v>
      </c>
      <c r="L2" s="126"/>
      <c r="M2" s="126"/>
      <c r="N2" s="126"/>
      <c r="O2" s="126"/>
      <c r="P2" s="126"/>
      <c r="Q2" s="126"/>
      <c r="R2" s="126"/>
      <c r="S2" s="126"/>
      <c r="T2" s="126"/>
      <c r="U2" s="126"/>
    </row>
    <row r="3" spans="1:22" ht="36" customHeight="1" x14ac:dyDescent="0.7">
      <c r="A3" s="39"/>
      <c r="B3" s="40">
        <f>Control_1 Open_time</f>
        <v>44380.270833333336</v>
      </c>
      <c r="C3" s="40">
        <f>Control_1 Close_time</f>
        <v>44380.3125</v>
      </c>
      <c r="D3" s="41"/>
      <c r="E3" s="42" t="str">
        <f>IF(ISBLANK(Control_1 Establishment_1),"",Control_1 Establishment_1)</f>
        <v>McDonald's Entrance</v>
      </c>
      <c r="F3" s="42" t="str">
        <f>IF(ISBLANK('Control Entry'!I10),"",'Control Entry'!I10)</f>
        <v/>
      </c>
      <c r="G3" s="10"/>
      <c r="H3" s="35" t="s">
        <v>29</v>
      </c>
      <c r="K3" s="16"/>
      <c r="O3" s="129" t="s">
        <v>33</v>
      </c>
      <c r="P3" s="129"/>
      <c r="Q3" s="129"/>
      <c r="R3" s="129"/>
      <c r="S3" s="82" t="str">
        <f>IF(ISBLANK('Control Entry'!D23),"","#1")</f>
        <v/>
      </c>
      <c r="U3" s="52"/>
    </row>
    <row r="4" spans="1:22" ht="36" customHeight="1" x14ac:dyDescent="0.3">
      <c r="A4" s="48">
        <f>IF(ISBLANK(Distance Control_1),"",Control_1 Distance)</f>
        <v>0</v>
      </c>
      <c r="B4" s="49">
        <f>Control_1 Open_time</f>
        <v>44380.270833333336</v>
      </c>
      <c r="C4" s="49">
        <f>Control_1 Close_time</f>
        <v>44380.3125</v>
      </c>
      <c r="D4" s="50" t="str">
        <f>IF(ISBLANK(Locale Control_1),"",Locale Control_1)</f>
        <v>3695 Lougheed Hwy</v>
      </c>
      <c r="E4" s="42" t="str">
        <f>IF(ISBLANK(Control_1 Establishment_2),"",Control_1 Establishment_2)</f>
        <v xml:space="preserve">Thanks for waiting 'til the </v>
      </c>
      <c r="F4" s="42" t="str">
        <f>IF(ISBLANK('Control Entry'!J10),"",'Control Entry'!J10)</f>
        <v/>
      </c>
      <c r="G4" s="10"/>
      <c r="H4" s="35" t="s">
        <v>29</v>
      </c>
      <c r="K4" s="16"/>
      <c r="M4" s="117" t="str">
        <f>IF(ISBLANK(brevet),"",brevet&amp;" km Randonnée")</f>
        <v>300 km Randonnée</v>
      </c>
      <c r="N4" s="117"/>
      <c r="O4" s="117"/>
      <c r="P4" s="117"/>
      <c r="Q4" s="117"/>
      <c r="R4" s="117"/>
      <c r="S4" s="117"/>
      <c r="T4" s="117"/>
      <c r="U4" s="53"/>
    </row>
    <row r="5" spans="1:22" ht="36" customHeight="1" thickBot="1" x14ac:dyDescent="0.4">
      <c r="A5" s="43"/>
      <c r="B5" s="44">
        <f>Control_1 Open_time</f>
        <v>44380.270833333336</v>
      </c>
      <c r="C5" s="44">
        <f>Control_1 Close_time</f>
        <v>44380.3125</v>
      </c>
      <c r="D5" s="45"/>
      <c r="E5" s="46" t="str">
        <f>IF(ISBLANK(Control_1 Establishment_3),"",Control_1 Establishment_3)</f>
        <v>__ __ __ __</v>
      </c>
      <c r="F5" s="98" t="str">
        <f>IF(ISBLANK('Control Entry'!K10),"",'Control Entry'!K10)</f>
        <v/>
      </c>
      <c r="G5" s="11"/>
      <c r="H5" s="35" t="s">
        <v>29</v>
      </c>
      <c r="K5" s="16"/>
      <c r="M5" s="17"/>
      <c r="N5" s="120" t="s">
        <v>48</v>
      </c>
      <c r="O5" s="120"/>
      <c r="P5" s="80" t="str">
        <f>IF(ISBLANK(Brevet_Number),"",Brevet_Number)</f>
        <v>LM300-1</v>
      </c>
      <c r="Q5" s="81"/>
      <c r="R5" s="125" t="str">
        <f>IF(ISBLANK('Control Entry'!$B5),"",'Control Entry'!$B5)</f>
        <v>07/03/2021</v>
      </c>
      <c r="S5" s="125"/>
      <c r="T5" s="125"/>
      <c r="U5" s="125"/>
      <c r="V5" s="54"/>
    </row>
    <row r="6" spans="1:22" ht="36" customHeight="1" x14ac:dyDescent="0.4">
      <c r="A6" s="39"/>
      <c r="B6" s="40">
        <f>Control_2 Open_time</f>
        <v>44380.317361111112</v>
      </c>
      <c r="C6" s="40">
        <f>Control_2 Close_time</f>
        <v>44380.376388888893</v>
      </c>
      <c r="D6" s="47"/>
      <c r="E6" s="42" t="str">
        <f>IF(ISBLANK(Control_2 Establishment_1),"",Control_2 Establishment_1)</f>
        <v>TransCan Trail</v>
      </c>
      <c r="F6" s="42" t="str">
        <f>IF(ISBLANK('Control Entry'!I11),"",'Control Entry'!I11)</f>
        <v/>
      </c>
      <c r="G6" s="10"/>
      <c r="H6" s="35" t="s">
        <v>29</v>
      </c>
      <c r="K6" s="16"/>
      <c r="L6" s="124" t="str">
        <f>IF(ISBLANK(Brevet_Description),"",Brevet_Description)</f>
        <v>Abbey Road 300</v>
      </c>
      <c r="M6" s="124"/>
      <c r="N6" s="124"/>
      <c r="O6" s="124"/>
      <c r="P6" s="124"/>
      <c r="Q6" s="124"/>
      <c r="R6" s="124"/>
      <c r="S6" s="124"/>
      <c r="T6" s="124"/>
      <c r="U6" s="124"/>
    </row>
    <row r="7" spans="1:22" ht="36" customHeight="1" x14ac:dyDescent="0.3">
      <c r="A7" s="48">
        <f>IF(ISBLANK(Distance Control_2),"",Control_2 Distance)</f>
        <v>38</v>
      </c>
      <c r="B7" s="49">
        <f>Control_2 Open_time</f>
        <v>44380.317361111112</v>
      </c>
      <c r="C7" s="49">
        <f>Control_2 Close_time</f>
        <v>44380.376388888893</v>
      </c>
      <c r="D7" s="50" t="str">
        <f>IF(ISBLANK(Locale Control_2),"",Locale Control_2)</f>
        <v>Pitt Meadows</v>
      </c>
      <c r="E7" s="42" t="str">
        <f>IF(ISBLANK(Control_2 Establishment_2),"",Control_2 Establishment_2)</f>
        <v>Blue wildlife sign</v>
      </c>
      <c r="F7" s="42" t="str">
        <f>IF(ISBLANK('Control Entry'!J11),"",'Control Entry'!J11)</f>
        <v/>
      </c>
      <c r="G7" s="10"/>
      <c r="H7" s="35" t="s">
        <v>29</v>
      </c>
    </row>
    <row r="8" spans="1:22" ht="36" customHeight="1" thickBot="1" x14ac:dyDescent="0.4">
      <c r="A8" s="43"/>
      <c r="B8" s="44">
        <f>Control_2 Open_time</f>
        <v>44380.317361111112</v>
      </c>
      <c r="C8" s="44">
        <f>Control_2 Close_time</f>
        <v>44380.376388888893</v>
      </c>
      <c r="D8" s="45"/>
      <c r="E8" s="46" t="str">
        <f>IF(ISBLANK(Control_2 Establishment_3),"",Control_2 Establishment_3)</f>
        <v>titled "The __?</v>
      </c>
      <c r="F8" s="46" t="str">
        <f>IF(ISBLANK('Control Entry'!K11),"",'Control Entry'!K11)</f>
        <v/>
      </c>
      <c r="G8" s="11"/>
      <c r="H8" s="35" t="s">
        <v>29</v>
      </c>
      <c r="J8" s="17" t="s">
        <v>34</v>
      </c>
      <c r="L8" s="127"/>
      <c r="M8" s="127"/>
      <c r="N8" s="127"/>
      <c r="O8" s="127"/>
      <c r="P8" s="127"/>
      <c r="Q8" s="127"/>
      <c r="R8" s="36"/>
      <c r="S8" s="55" t="s">
        <v>47</v>
      </c>
      <c r="T8" s="130"/>
      <c r="U8" s="130"/>
    </row>
    <row r="9" spans="1:22" ht="36" customHeight="1" thickBot="1" x14ac:dyDescent="0.5">
      <c r="A9" s="39"/>
      <c r="B9" s="40">
        <f>Control_3 Open_time</f>
        <v>44380.379861111112</v>
      </c>
      <c r="C9" s="40">
        <f>Control_3 Close_time</f>
        <v>44380.518055555556</v>
      </c>
      <c r="D9" s="47"/>
      <c r="E9" s="42" t="str">
        <f>IF(ISBLANK(Control_3 Establishment_1),"",Control_3 Establishment_1)</f>
        <v xml:space="preserve">McConnell Creek </v>
      </c>
      <c r="F9" s="42" t="str">
        <f>IF(ISBLANK('Control Entry'!I12),"",'Control Entry'!I12)</f>
        <v/>
      </c>
      <c r="G9" s="10"/>
      <c r="H9" s="35" t="s">
        <v>29</v>
      </c>
      <c r="J9" s="17" t="s">
        <v>35</v>
      </c>
      <c r="K9" s="17"/>
      <c r="L9" s="65" t="s">
        <v>55</v>
      </c>
      <c r="M9" s="23"/>
      <c r="N9" s="23"/>
      <c r="O9" s="23"/>
      <c r="P9" s="23"/>
      <c r="Q9" s="23"/>
      <c r="R9" s="23"/>
      <c r="S9" s="23"/>
      <c r="T9" s="23"/>
      <c r="U9" s="21"/>
    </row>
    <row r="10" spans="1:22" ht="36" customHeight="1" thickBot="1" x14ac:dyDescent="0.45">
      <c r="A10" s="48">
        <f>IF(ISBLANK(Distance Control_3),"",Control_3 Distance)</f>
        <v>89</v>
      </c>
      <c r="B10" s="49">
        <f>Control_3 Open_time</f>
        <v>44380.379861111112</v>
      </c>
      <c r="C10" s="49">
        <f>Control_3 Close_time</f>
        <v>44380.518055555556</v>
      </c>
      <c r="D10" s="50" t="str">
        <f>IF(ISBLANK(Locale Control_3),"",Locale Control_3)</f>
        <v>35483 Hartley Rd</v>
      </c>
      <c r="E10" s="42" t="str">
        <f>IF(ISBLANK(Control_3 Establishment_2),"",Control_3 Establishment_2)</f>
        <v>Farmer's Institute</v>
      </c>
      <c r="F10" s="42"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45">
      <c r="A11" s="43"/>
      <c r="B11" s="44">
        <f>Control_3 Open_time</f>
        <v>44380.379861111112</v>
      </c>
      <c r="C11" s="44">
        <f>Control_3 Close_time</f>
        <v>44380.518055555556</v>
      </c>
      <c r="D11" s="45"/>
      <c r="E11" s="46" t="str">
        <f>IF(ISBLANK(Control_3 Establishment_3),"",Control_3 Establishment_3)</f>
        <v>Who to call to book Hall?</v>
      </c>
      <c r="F11" s="46"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45">
      <c r="A12" s="39"/>
      <c r="B12" s="40">
        <f>Control_4 Open_time</f>
        <v>44380.400694444448</v>
      </c>
      <c r="C12" s="40">
        <f>Control_4 Close_time</f>
        <v>44380.56527777778</v>
      </c>
      <c r="D12" s="47"/>
      <c r="E12" s="42" t="str">
        <f>IF(ISBLANK(Control_4 Establishment_1),"",Control_4 Establishment_1)</f>
        <v>Chapel at end of road,</v>
      </c>
      <c r="F12" s="42" t="str">
        <f>IF(ISBLANK('Control Entry'!I13),"",'Control Entry'!I13)</f>
        <v/>
      </c>
      <c r="G12" s="10"/>
      <c r="H12" s="35" t="s">
        <v>29</v>
      </c>
      <c r="J12" s="17" t="s">
        <v>38</v>
      </c>
      <c r="K12" s="17"/>
      <c r="L12" s="37"/>
      <c r="M12" s="23"/>
      <c r="N12" s="23"/>
      <c r="O12" s="24"/>
      <c r="P12" s="24" t="s">
        <v>39</v>
      </c>
      <c r="Q12" s="24"/>
      <c r="R12" s="24"/>
      <c r="S12" s="57"/>
      <c r="T12" s="37"/>
      <c r="U12" s="21"/>
    </row>
    <row r="13" spans="1:22" ht="36" customHeight="1" thickBot="1" x14ac:dyDescent="0.45">
      <c r="A13" s="48">
        <f>IF(ISBLANK(Distance Control_4),"",Control_4 Distance)</f>
        <v>106.1</v>
      </c>
      <c r="B13" s="49">
        <f>Control_4 Open_time</f>
        <v>44380.400694444448</v>
      </c>
      <c r="C13" s="49">
        <f>Control_4 Close_time</f>
        <v>44380.56527777778</v>
      </c>
      <c r="D13" s="50" t="str">
        <f>IF(ISBLANK(Locale Control_4),"",Locale Control_4)</f>
        <v>Westminister Abbey</v>
      </c>
      <c r="E13" s="42" t="str">
        <f>IF(ISBLANK(Control_4 Establishment_2),"",Control_4 Establishment_2)</f>
        <v>engraved on door</v>
      </c>
      <c r="F13" s="42" t="str">
        <f>IF(ISBLANK('Control Entry'!J13),"",'Control Entry'!J13)</f>
        <v/>
      </c>
      <c r="G13" s="10"/>
      <c r="H13" s="35" t="s">
        <v>29</v>
      </c>
      <c r="J13" s="17" t="s">
        <v>40</v>
      </c>
      <c r="L13" s="78"/>
      <c r="M13" s="79"/>
      <c r="N13" s="79"/>
      <c r="O13" s="25"/>
      <c r="P13" s="24" t="s">
        <v>41</v>
      </c>
      <c r="Q13" s="24"/>
      <c r="R13" s="38"/>
      <c r="S13" s="26"/>
      <c r="T13" s="26"/>
      <c r="U13" s="22"/>
    </row>
    <row r="14" spans="1:22" ht="36" customHeight="1" thickBot="1" x14ac:dyDescent="0.4">
      <c r="A14" s="43"/>
      <c r="B14" s="44">
        <f>Control_4 Open_time</f>
        <v>44380.400694444448</v>
      </c>
      <c r="C14" s="44">
        <f>Control_4 Close_time</f>
        <v>44380.56527777778</v>
      </c>
      <c r="D14" s="45"/>
      <c r="E14" s="46" t="str">
        <f>IF(ISBLANK(Control_4 Establishment_3),"",Control_4 Establishment_3)</f>
        <v>"Ingredere __ __"</v>
      </c>
      <c r="F14" s="98" t="str">
        <f>IF(ISBLANK('Control Entry'!K13),"",'Control Entry'!K13)</f>
        <v/>
      </c>
      <c r="G14" s="11"/>
      <c r="H14" s="35" t="s">
        <v>29</v>
      </c>
    </row>
    <row r="15" spans="1:22" ht="36" customHeight="1" x14ac:dyDescent="0.35">
      <c r="A15" s="39"/>
      <c r="B15" s="40">
        <f>Control_5 Open_time</f>
        <v>44380.427083333336</v>
      </c>
      <c r="C15" s="40">
        <f>Control_5 Close_time</f>
        <v>44380.624305555561</v>
      </c>
      <c r="D15" s="47"/>
      <c r="E15" s="42" t="str">
        <f>IF(ISBLANK(Control_5 Establishment_1),"",Control_5 Establishment_1)</f>
        <v xml:space="preserve">Sign for "The Station": </v>
      </c>
      <c r="F15" s="42" t="str">
        <f>IF(ISBLANK('Control Entry'!I14),"",'Control Entry'!I14)</f>
        <v/>
      </c>
      <c r="G15" s="10"/>
      <c r="H15" s="35" t="s">
        <v>29</v>
      </c>
      <c r="J15" s="17"/>
      <c r="L15" s="123" t="s">
        <v>59</v>
      </c>
      <c r="M15" s="123"/>
      <c r="N15" s="123"/>
      <c r="O15" s="123"/>
      <c r="P15" s="123"/>
      <c r="Q15" s="123"/>
      <c r="R15" s="123"/>
      <c r="S15" s="123"/>
      <c r="T15" s="123"/>
      <c r="U15" s="123"/>
    </row>
    <row r="16" spans="1:22" ht="36" customHeight="1" thickBot="1" x14ac:dyDescent="0.35">
      <c r="A16" s="48">
        <f>IF(ISBLANK(Distance Control_5),"",Control_5 Distance)</f>
        <v>127.3</v>
      </c>
      <c r="B16" s="49">
        <f>Control_5 Open_time</f>
        <v>44380.427083333336</v>
      </c>
      <c r="C16" s="49">
        <f>Control_5 Close_time</f>
        <v>44380.624305555561</v>
      </c>
      <c r="D16" s="50" t="str">
        <f>IF(ISBLANK(Locale Control_5),"",Locale Control_5)</f>
        <v>Sumas Mtn &amp; McKee Rd</v>
      </c>
      <c r="E16" s="42" t="str">
        <f>IF(ISBLANK(Control_5 Establishment_2),"",Control_5 Establishment_2)</f>
        <v>Café/Day Care/</v>
      </c>
      <c r="F16" s="42" t="str">
        <f>IF(ISBLANK('Control Entry'!J14),"",'Control Entry'!J14)</f>
        <v/>
      </c>
      <c r="G16" s="10"/>
      <c r="H16" s="35" t="s">
        <v>29</v>
      </c>
      <c r="L16" s="73"/>
      <c r="M16" s="73"/>
      <c r="N16" s="73"/>
      <c r="O16" s="73"/>
      <c r="P16" s="73"/>
      <c r="Q16" s="74"/>
      <c r="R16" s="74"/>
      <c r="S16" s="74"/>
      <c r="T16" s="74"/>
      <c r="U16" s="74"/>
    </row>
    <row r="17" spans="1:22" ht="36" customHeight="1" thickBot="1" x14ac:dyDescent="0.4">
      <c r="A17" s="43"/>
      <c r="B17" s="44">
        <f>Control_5 Open_time</f>
        <v>44380.427083333336</v>
      </c>
      <c r="C17" s="44">
        <f>Control_5 Close_time</f>
        <v>44380.624305555561</v>
      </c>
      <c r="D17" s="45"/>
      <c r="E17" s="46" t="str">
        <f>IF(ISBLANK(Control_5 Establishment_3),"",Control_5 Establishment_3)</f>
        <v>Mini Mart/____</v>
      </c>
      <c r="F17" s="46" t="str">
        <f>IF(ISBLANK('Control Entry'!K14),"",'Control Entry'!K14)</f>
        <v/>
      </c>
      <c r="G17" s="11"/>
      <c r="H17" s="35" t="s">
        <v>29</v>
      </c>
    </row>
    <row r="18" spans="1:22" ht="36" customHeight="1" x14ac:dyDescent="0.35">
      <c r="A18" s="39"/>
      <c r="B18" s="40">
        <f>Control_6 Open_time</f>
        <v>44380.452777777777</v>
      </c>
      <c r="C18" s="40">
        <f>Control_6 Close_time</f>
        <v>44380.683333333334</v>
      </c>
      <c r="D18" s="47"/>
      <c r="E18" s="42" t="str">
        <f>IF(ISBLANK(Control_6 Establishment_1),"",Control_6 Establishment_1)</f>
        <v>&amp; Bowman Rd</v>
      </c>
      <c r="F18" s="42" t="str">
        <f>IF(ISBLANK('Control Entry'!I15),"",'Control Entry'!I15)</f>
        <v/>
      </c>
      <c r="G18" s="10"/>
      <c r="H18" s="35" t="s">
        <v>29</v>
      </c>
    </row>
    <row r="19" spans="1:22" ht="36" customHeight="1" x14ac:dyDescent="0.3">
      <c r="A19" s="48">
        <f>IF(ISBLANK(Distance Control_6),"",Control_6 Distance)</f>
        <v>148.4</v>
      </c>
      <c r="B19" s="49">
        <f>Control_6 Open_time</f>
        <v>44380.452777777777</v>
      </c>
      <c r="C19" s="49">
        <f>Control_6 Close_time</f>
        <v>44380.683333333334</v>
      </c>
      <c r="D19" s="50" t="str">
        <f>IF(ISBLANK(Locale Control_6),"",Locale Control_6)</f>
        <v>Majuba Hill Rd</v>
      </c>
      <c r="E19" s="42" t="str">
        <f>IF(ISBLANK(Control_6 Establishment_2),"",Control_6 Establishment_2)</f>
        <v>Stop sign on left</v>
      </c>
      <c r="F19" s="42" t="str">
        <f>IF(ISBLANK('Control Entry'!J15),"",'Control Entry'!J15)</f>
        <v/>
      </c>
      <c r="G19" s="10"/>
      <c r="H19" s="35" t="s">
        <v>29</v>
      </c>
    </row>
    <row r="20" spans="1:22" ht="36" customHeight="1" thickBot="1" x14ac:dyDescent="0.4">
      <c r="A20" s="43"/>
      <c r="B20" s="44">
        <f>Control_6 Open_time</f>
        <v>44380.452777777777</v>
      </c>
      <c r="C20" s="44">
        <f>Control_6 Close_time</f>
        <v>44380.683333333334</v>
      </c>
      <c r="D20" s="45"/>
      <c r="E20" s="46" t="str">
        <f>IF(ISBLANK(Control_6 Establishment_3),"",Control_6 Establishment_3)</f>
        <v># of Zap Straps on post?</v>
      </c>
      <c r="F20" s="46" t="str">
        <f>IF(ISBLANK('Control Entry'!K15),"",'Control Entry'!K15)</f>
        <v/>
      </c>
      <c r="G20" s="11"/>
      <c r="H20" s="35" t="s">
        <v>29</v>
      </c>
      <c r="J20" s="72" t="s">
        <v>45</v>
      </c>
      <c r="K20" s="72"/>
      <c r="L20" s="75"/>
      <c r="M20" s="75"/>
      <c r="N20" s="75"/>
      <c r="P20" s="24" t="s">
        <v>0</v>
      </c>
      <c r="Q20" s="24"/>
      <c r="S20" s="122">
        <f>'Control Entry'!B8</f>
        <v>0.27083333333333331</v>
      </c>
      <c r="T20" s="122"/>
      <c r="U20" s="122"/>
    </row>
    <row r="21" spans="1:22" ht="36" customHeight="1" x14ac:dyDescent="0.35">
      <c r="A21" s="39"/>
      <c r="B21" s="40">
        <f>Control_7 Open_time</f>
        <v>44380.541666666672</v>
      </c>
      <c r="C21" s="40">
        <f>Control_7 Close_time</f>
        <v>44380.881944444445</v>
      </c>
      <c r="D21" s="47"/>
      <c r="E21" s="42" t="str">
        <f>IF(ISBLANK(Control_7 Establishment_1),"",Control_7 Establishment_1)</f>
        <v>End of Beecher St</v>
      </c>
      <c r="F21" s="42" t="str">
        <f>IF(ISBLANK('Control Entry'!I16),"",'Control Entry'!I16)</f>
        <v/>
      </c>
      <c r="G21" s="10"/>
      <c r="H21" s="35" t="s">
        <v>29</v>
      </c>
      <c r="J21" s="72"/>
      <c r="K21" s="72"/>
      <c r="L21" s="61"/>
      <c r="M21" s="61"/>
      <c r="N21" s="61"/>
      <c r="P21" s="24"/>
      <c r="Q21" s="24"/>
      <c r="R21" s="29"/>
      <c r="S21" s="76"/>
      <c r="T21" s="76"/>
      <c r="U21" s="76"/>
      <c r="V21" s="36"/>
    </row>
    <row r="22" spans="1:22" ht="36" customHeight="1" thickBot="1" x14ac:dyDescent="0.4">
      <c r="A22" s="48">
        <f>IF(ISBLANK(Distance Control_7),"",Control_7 Distance)</f>
        <v>220</v>
      </c>
      <c r="B22" s="49">
        <f>Control_7 Open_time</f>
        <v>44380.541666666672</v>
      </c>
      <c r="C22" s="49">
        <f>Control_7 Close_time</f>
        <v>44380.881944444445</v>
      </c>
      <c r="D22" s="50" t="str">
        <f>IF(ISBLANK(Locale Control_7),"",Locale Control_7)</f>
        <v>Crescent Beach</v>
      </c>
      <c r="E22" s="42" t="str">
        <f>IF(ISBLANK(Control_7 Establishment_2),"",Control_7 Establishment_2)</f>
        <v xml:space="preserve">Info Sign on Left </v>
      </c>
      <c r="F22" s="42" t="str">
        <f>IF(ISBLANK('Control Entry'!J16),"",'Control Entry'!J16)</f>
        <v/>
      </c>
      <c r="G22" s="10"/>
      <c r="H22" s="35" t="s">
        <v>29</v>
      </c>
      <c r="J22" s="71" t="s">
        <v>46</v>
      </c>
      <c r="K22" s="71"/>
      <c r="L22" s="75"/>
      <c r="M22" s="75"/>
      <c r="N22" s="75"/>
      <c r="O22" s="25"/>
      <c r="P22" s="24" t="s">
        <v>1</v>
      </c>
      <c r="Q22" s="24"/>
      <c r="R22" s="25"/>
      <c r="S22" s="77"/>
      <c r="T22" s="77"/>
      <c r="U22" s="77"/>
    </row>
    <row r="23" spans="1:22" ht="36" customHeight="1" thickBot="1" x14ac:dyDescent="0.4">
      <c r="A23" s="43"/>
      <c r="B23" s="44">
        <f>Control_7 Open_time</f>
        <v>44380.541666666672</v>
      </c>
      <c r="C23" s="44">
        <f>Control_7 Close_time</f>
        <v>44380.881944444445</v>
      </c>
      <c r="D23" s="45"/>
      <c r="E23" s="46" t="str">
        <f>IF(ISBLANK(Control_7 Establishment_3),"",Control_7 Establishment_3)</f>
        <v>Park Closed ___ to ___</v>
      </c>
      <c r="F23" s="46" t="str">
        <f>IF(ISBLANK('Control Entry'!K16),"",'Control Entry'!K16)</f>
        <v/>
      </c>
      <c r="G23" s="11"/>
      <c r="H23" s="35" t="s">
        <v>29</v>
      </c>
      <c r="J23" s="71"/>
      <c r="K23" s="71"/>
      <c r="L23" s="61"/>
      <c r="M23" s="61"/>
      <c r="N23" s="61"/>
      <c r="O23" s="29"/>
      <c r="P23" s="70"/>
      <c r="Q23" s="70"/>
      <c r="R23" s="29"/>
      <c r="S23" s="29"/>
      <c r="T23" s="29"/>
      <c r="U23" s="29"/>
      <c r="V23" s="36"/>
    </row>
    <row r="24" spans="1:22" ht="36" customHeight="1" thickBot="1" x14ac:dyDescent="0.4">
      <c r="A24" s="39"/>
      <c r="B24" s="40">
        <f>Control_8 Open_time</f>
        <v>44380.582638888889</v>
      </c>
      <c r="C24" s="40">
        <f>Control_8 Close_time</f>
        <v>44380.968055555561</v>
      </c>
      <c r="D24" s="47"/>
      <c r="E24" s="42" t="str">
        <f>IF(ISBLANK(Control_8 Establishment_1),"",Control_8 Establishment_1)</f>
        <v>Sign at Beach Grove Rd</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x14ac:dyDescent="0.3">
      <c r="A25" s="48">
        <f>IF(ISBLANK(Distance Control_8),"",Control_8 Distance)</f>
        <v>251.1</v>
      </c>
      <c r="B25" s="49">
        <f>Control_8 Open_time</f>
        <v>44380.582638888889</v>
      </c>
      <c r="C25" s="49">
        <f>Control_8 Close_time</f>
        <v>44380.968055555561</v>
      </c>
      <c r="D25" s="50" t="str">
        <f>IF(ISBLANK(Locale Control_8),"",Locale Control_8)</f>
        <v>Mud Bay Path end</v>
      </c>
      <c r="E25" s="67" t="str">
        <f>IF(ISBLANK(Control_8 Establishment_2),"",Control_8 Establishment_2)</f>
        <v>Danger ___</v>
      </c>
      <c r="F25" s="42" t="str">
        <f>IF(ISBLANK('Control Entry'!J17),"",'Control Entry'!J17)</f>
        <v/>
      </c>
      <c r="G25" s="10"/>
      <c r="H25" s="35" t="s">
        <v>29</v>
      </c>
      <c r="J25" s="121" t="s">
        <v>17</v>
      </c>
      <c r="K25" s="121"/>
      <c r="L25" s="121"/>
      <c r="M25" s="121"/>
      <c r="N25" s="121"/>
      <c r="O25" s="63"/>
      <c r="P25" s="118"/>
      <c r="Q25" s="118"/>
      <c r="R25" s="63"/>
      <c r="S25" s="119"/>
      <c r="T25" s="119"/>
      <c r="U25" s="119"/>
      <c r="V25" s="119"/>
    </row>
    <row r="26" spans="1:22" ht="36" customHeight="1" thickBot="1" x14ac:dyDescent="0.4">
      <c r="A26" s="43"/>
      <c r="B26" s="44">
        <f>Control_8 Open_time</f>
        <v>44380.582638888889</v>
      </c>
      <c r="C26" s="44">
        <f>Control_8 Close_time</f>
        <v>44380.968055555561</v>
      </c>
      <c r="D26" s="45"/>
      <c r="E26" s="46" t="str">
        <f>IF(ISBLANK(Control_8 Establishment_3),"",Control_8 Establishment_3)</f>
        <v>area closed</v>
      </c>
      <c r="F26" s="46" t="str">
        <f>IF(ISBLANK('Control Entry'!K17),"",'Control Entry'!K17)</f>
        <v/>
      </c>
      <c r="G26" s="11"/>
      <c r="H26" s="35" t="s">
        <v>29</v>
      </c>
    </row>
    <row r="27" spans="1:22" ht="36" customHeight="1" x14ac:dyDescent="0.35">
      <c r="A27" s="39"/>
      <c r="B27" s="40">
        <f>Control_9 Open_time</f>
        <v>44380.600694444445</v>
      </c>
      <c r="C27" s="40">
        <f>Control_9 Close_time</f>
        <v>44381.006944444445</v>
      </c>
      <c r="D27" s="47"/>
      <c r="E27" s="42" t="str">
        <f>IF(ISBLANK(Control_9 Establishment_1),"",Control_9 Establishment_1)</f>
        <v>Blue plaque on right</v>
      </c>
      <c r="F27" s="42" t="str">
        <f>IF(ISBLANK('Control Entry'!I18),"",'Control Entry'!I18)</f>
        <v/>
      </c>
      <c r="G27" s="10"/>
      <c r="H27" s="35" t="s">
        <v>29</v>
      </c>
      <c r="K27" s="117" t="s">
        <v>57</v>
      </c>
      <c r="L27" s="118"/>
      <c r="M27" s="62" t="s">
        <v>58</v>
      </c>
      <c r="N27" s="118" t="s">
        <v>50</v>
      </c>
      <c r="O27" s="118"/>
      <c r="P27" s="118" t="s">
        <v>51</v>
      </c>
      <c r="Q27" s="118"/>
      <c r="R27" s="63" t="s">
        <v>52</v>
      </c>
      <c r="S27" s="119" t="s">
        <v>53</v>
      </c>
      <c r="T27" s="119"/>
      <c r="U27" s="119" t="s">
        <v>54</v>
      </c>
      <c r="V27" s="119"/>
    </row>
    <row r="28" spans="1:22" ht="36" customHeight="1" x14ac:dyDescent="0.3">
      <c r="A28" s="48">
        <f>IF(ISBLANK(Distance Control_9),"",Control_9 Distance)</f>
        <v>265.10000000000002</v>
      </c>
      <c r="B28" s="49">
        <f>Control_9 Open_time</f>
        <v>44380.600694444445</v>
      </c>
      <c r="C28" s="49">
        <f>Control_9 Close_time</f>
        <v>44381.006944444445</v>
      </c>
      <c r="D28" s="50" t="str">
        <f>IF(ISBLANK(Locale Control_9),"",Locale Control_9)</f>
        <v>Millenium Trail</v>
      </c>
      <c r="E28" s="42" t="str">
        <f>IF(ISBLANK(Control_9 Establishment_2),"",Control_9 Establishment_2)</f>
        <v>before bridge</v>
      </c>
      <c r="F28" s="42" t="str">
        <f>IF(ISBLANK('Control Entry'!J18),"",'Control Entry'!J18)</f>
        <v/>
      </c>
      <c r="G28" s="10"/>
      <c r="H28" s="35" t="s">
        <v>29</v>
      </c>
    </row>
    <row r="29" spans="1:22" ht="36" customHeight="1" thickBot="1" x14ac:dyDescent="0.4">
      <c r="A29" s="43"/>
      <c r="B29" s="44">
        <f>Control_9 Open_time</f>
        <v>44380.600694444445</v>
      </c>
      <c r="C29" s="44">
        <f>Control_9 Close_time</f>
        <v>44381.006944444445</v>
      </c>
      <c r="D29" s="45"/>
      <c r="E29" s="46" t="str">
        <f>IF(ISBLANK(Control_9 Establishment_3),"",Control_9 Establishment_3)</f>
        <v>Trail completed ___</v>
      </c>
      <c r="F29" s="46" t="str">
        <f>IF(ISBLANK('Control Entry'!K18),"",'Control Entry'!K18)</f>
        <v/>
      </c>
      <c r="G29" s="11"/>
      <c r="H29" s="35" t="s">
        <v>29</v>
      </c>
      <c r="M29" s="131" t="s">
        <v>42</v>
      </c>
      <c r="N29" s="131"/>
      <c r="O29" s="131"/>
      <c r="P29" s="131"/>
      <c r="Q29" s="131"/>
      <c r="R29" s="131"/>
      <c r="S29" s="131"/>
      <c r="T29" s="131"/>
      <c r="U29" s="68"/>
    </row>
    <row r="30" spans="1:22" ht="36" customHeight="1" x14ac:dyDescent="0.35">
      <c r="A30" s="39"/>
      <c r="B30" s="40">
        <f>Control_10 Open_time</f>
        <v>44380.651388888895</v>
      </c>
      <c r="C30" s="40">
        <f>Control_10 Close_time</f>
        <v>44381.104166666672</v>
      </c>
      <c r="D30" s="47"/>
      <c r="E30" s="42" t="str">
        <f>IF(ISBLANK(Control_10 Establishment_1),"",Control_10 Establishment_1)</f>
        <v>On door</v>
      </c>
      <c r="F30" s="42" t="str">
        <f>IF(ISBLANK('Control Entry'!I19),"",'Control Entry'!I19)</f>
        <v/>
      </c>
      <c r="G30" s="10"/>
      <c r="H30" s="35" t="s">
        <v>29</v>
      </c>
      <c r="M30" s="19"/>
      <c r="N30" s="27"/>
      <c r="O30" s="27"/>
      <c r="P30" s="28"/>
      <c r="Q30" s="27"/>
      <c r="R30" s="27"/>
      <c r="S30" s="27"/>
      <c r="T30" s="28"/>
      <c r="U30" s="29"/>
    </row>
    <row r="31" spans="1:22" ht="36" customHeight="1" x14ac:dyDescent="0.3">
      <c r="A31" s="48">
        <f>IF(ISBLANK(Distance Control_10),"",Control_10 Distance)</f>
        <v>303.89999999999998</v>
      </c>
      <c r="B31" s="49">
        <f>Control_10 Open_time</f>
        <v>44380.651388888895</v>
      </c>
      <c r="C31" s="49">
        <f>Control_10 Close_time</f>
        <v>44381.104166666672</v>
      </c>
      <c r="D31" s="50" t="str">
        <f>IF(ISBLANK(Locale Control_10),"",Locale Control_10)</f>
        <v>SteamWorks Taproom</v>
      </c>
      <c r="E31" s="42" t="str">
        <f>IF(ISBLANK(Control_10 Establishment_2),"",Control_10 Establishment_2)</f>
        <v>Protected by ____</v>
      </c>
      <c r="F31" s="42" t="str">
        <f>IF(ISBLANK('Control Entry'!J19),"",'Control Entry'!J19)</f>
        <v/>
      </c>
      <c r="G31" s="10"/>
      <c r="H31" s="35" t="s">
        <v>29</v>
      </c>
      <c r="M31" s="20"/>
      <c r="N31" s="29"/>
      <c r="O31" s="29"/>
      <c r="P31" s="30"/>
      <c r="Q31" s="29"/>
      <c r="R31" s="29"/>
      <c r="S31" s="29"/>
      <c r="T31" s="30"/>
      <c r="U31" s="29"/>
    </row>
    <row r="32" spans="1:22" ht="36" customHeight="1" thickBot="1" x14ac:dyDescent="0.4">
      <c r="A32" s="43"/>
      <c r="B32" s="44">
        <f>Control_10 Open_time</f>
        <v>44380.651388888895</v>
      </c>
      <c r="C32" s="44">
        <f>Control_10 Close_time</f>
        <v>44381.104166666672</v>
      </c>
      <c r="D32" s="45"/>
      <c r="E32" s="46" t="str">
        <f>IF(ISBLANK(Control_10 Establishment_3),"",Control_10 Establishment_3)</f>
        <v>Custom security</v>
      </c>
      <c r="F32" s="46" t="str">
        <f>IF(ISBLANK('Control Entry'!K19),"",'Control Entry'!K19)</f>
        <v/>
      </c>
      <c r="G32" s="11"/>
      <c r="H32" s="35" t="s">
        <v>29</v>
      </c>
      <c r="M32" s="66"/>
      <c r="N32" s="26"/>
      <c r="O32" s="26"/>
      <c r="P32" s="31"/>
      <c r="Q32" s="26"/>
      <c r="R32" s="26"/>
      <c r="S32" s="26"/>
      <c r="T32" s="31"/>
      <c r="U32" s="29"/>
    </row>
    <row r="33" spans="1:22" ht="36" customHeight="1" x14ac:dyDescent="0.35">
      <c r="A33" s="116" t="s">
        <v>43</v>
      </c>
      <c r="B33" s="116"/>
      <c r="C33" s="116"/>
      <c r="D33" s="116"/>
      <c r="E33" s="116"/>
      <c r="F33" s="116"/>
      <c r="G33" s="116"/>
      <c r="H33" s="51"/>
      <c r="I33" s="51"/>
      <c r="N33" s="132"/>
      <c r="O33" s="132"/>
      <c r="P33" s="132"/>
      <c r="Q33" s="132"/>
      <c r="R33" s="132"/>
      <c r="S33" s="132"/>
      <c r="T33" s="132"/>
      <c r="U33" s="132"/>
      <c r="V33" s="61"/>
    </row>
    <row r="34" spans="1:22" ht="36" customHeight="1" x14ac:dyDescent="0.35">
      <c r="A34"/>
      <c r="O34" s="59"/>
      <c r="P34" s="59"/>
      <c r="Q34" s="59"/>
      <c r="R34" s="58"/>
    </row>
    <row r="35" spans="1:22" ht="36" customHeight="1" x14ac:dyDescent="0.25">
      <c r="A35"/>
      <c r="N35" s="131"/>
      <c r="O35" s="131"/>
      <c r="P35" s="131"/>
      <c r="Q35" s="131"/>
      <c r="R35" s="131"/>
      <c r="S35" s="131"/>
      <c r="T35" s="131"/>
      <c r="U35" s="131"/>
    </row>
    <row r="36" spans="1:22" ht="36" customHeight="1" x14ac:dyDescent="0.25">
      <c r="A36"/>
      <c r="N36" s="36"/>
      <c r="O36" s="29"/>
      <c r="P36" s="29"/>
      <c r="Q36" s="29"/>
      <c r="R36" s="29"/>
      <c r="S36" s="29"/>
      <c r="T36" s="29"/>
      <c r="U36" s="29"/>
    </row>
    <row r="37" spans="1:22" ht="36" customHeight="1" x14ac:dyDescent="0.25">
      <c r="A37"/>
      <c r="N37" s="36"/>
      <c r="O37" s="29"/>
      <c r="P37" s="29"/>
      <c r="Q37" s="29"/>
      <c r="R37" s="29"/>
      <c r="S37" s="29"/>
      <c r="T37" s="29"/>
      <c r="U37" s="29"/>
    </row>
    <row r="38" spans="1:22" ht="36" customHeight="1" x14ac:dyDescent="0.35">
      <c r="A38"/>
      <c r="N38" s="69"/>
      <c r="O38" s="29"/>
      <c r="P38" s="29"/>
      <c r="Q38" s="29"/>
      <c r="R38" s="29"/>
      <c r="S38" s="29"/>
      <c r="T38" s="29"/>
      <c r="U38" s="29"/>
    </row>
    <row r="39" spans="1:22" ht="36" customHeight="1" x14ac:dyDescent="0.25">
      <c r="A39"/>
    </row>
    <row r="40" spans="1:22" ht="36" customHeight="1" x14ac:dyDescent="0.25">
      <c r="A40"/>
    </row>
  </sheetData>
  <mergeCells count="24">
    <mergeCell ref="N35:U35"/>
    <mergeCell ref="M29:T29"/>
    <mergeCell ref="N27:O27"/>
    <mergeCell ref="P27:Q27"/>
    <mergeCell ref="S27:T27"/>
    <mergeCell ref="U27:V27"/>
    <mergeCell ref="N33:U33"/>
    <mergeCell ref="K2:U2"/>
    <mergeCell ref="L8:Q8"/>
    <mergeCell ref="A1:G1"/>
    <mergeCell ref="O3:R3"/>
    <mergeCell ref="T8:U8"/>
    <mergeCell ref="A33:G33"/>
    <mergeCell ref="M4:T4"/>
    <mergeCell ref="P25:Q25"/>
    <mergeCell ref="S25:T25"/>
    <mergeCell ref="N5:O5"/>
    <mergeCell ref="K27:L27"/>
    <mergeCell ref="J25:N25"/>
    <mergeCell ref="S20:U20"/>
    <mergeCell ref="L15:U15"/>
    <mergeCell ref="L6:U6"/>
    <mergeCell ref="R5:U5"/>
    <mergeCell ref="U25:V25"/>
  </mergeCells>
  <phoneticPr fontId="12" type="noConversion"/>
  <pageMargins left="0.2" right="0.2" top="0.2" bottom="0.2" header="0.51" footer="0.51"/>
  <pageSetup scale="47"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40"/>
  <sheetViews>
    <sheetView showGridLines="0" zoomScale="40" zoomScaleNormal="40" zoomScalePageLayoutView="92" workbookViewId="0">
      <selection activeCell="L8" sqref="L8:Q8"/>
    </sheetView>
  </sheetViews>
  <sheetFormatPr defaultColWidth="8.88671875" defaultRowHeight="13.2" x14ac:dyDescent="0.25"/>
  <cols>
    <col min="1" max="1" width="8.44140625" style="1" customWidth="1"/>
    <col min="2" max="2" width="11.44140625" customWidth="1"/>
    <col min="3" max="3" width="11.6640625" customWidth="1"/>
    <col min="4" max="4" width="18" customWidth="1"/>
    <col min="5" max="5" width="23.88671875" customWidth="1"/>
    <col min="6" max="6" width="42" customWidth="1"/>
    <col min="7" max="7" width="13.44140625" customWidth="1"/>
    <col min="8" max="8" width="8" style="36" customWidth="1"/>
    <col min="9" max="9" width="12" customWidth="1"/>
    <col min="18" max="19" width="8.88671875" customWidth="1"/>
  </cols>
  <sheetData>
    <row r="1" spans="1:22" ht="21" thickBot="1" x14ac:dyDescent="0.3">
      <c r="A1" s="128" t="s">
        <v>44</v>
      </c>
      <c r="B1" s="128"/>
      <c r="C1" s="128"/>
      <c r="D1" s="128"/>
      <c r="E1" s="128"/>
      <c r="F1" s="128"/>
      <c r="G1" s="128"/>
      <c r="H1" s="35" t="s">
        <v>29</v>
      </c>
    </row>
    <row r="2" spans="1:22" ht="33.75" customHeight="1" thickBot="1" x14ac:dyDescent="0.35">
      <c r="A2" s="94" t="s">
        <v>30</v>
      </c>
      <c r="B2" s="9" t="s">
        <v>3</v>
      </c>
      <c r="C2" s="9" t="s">
        <v>4</v>
      </c>
      <c r="D2" s="9" t="s">
        <v>25</v>
      </c>
      <c r="E2" s="9" t="s">
        <v>31</v>
      </c>
      <c r="F2" s="9" t="s">
        <v>60</v>
      </c>
      <c r="G2" s="94" t="s">
        <v>32</v>
      </c>
      <c r="H2" s="35" t="s">
        <v>29</v>
      </c>
      <c r="K2" s="126" t="s">
        <v>56</v>
      </c>
      <c r="L2" s="126"/>
      <c r="M2" s="126"/>
      <c r="N2" s="126"/>
      <c r="O2" s="126"/>
      <c r="P2" s="126"/>
      <c r="Q2" s="126"/>
      <c r="R2" s="126"/>
      <c r="S2" s="126"/>
      <c r="T2" s="126"/>
      <c r="U2" s="126"/>
    </row>
    <row r="3" spans="1:22" ht="36" customHeight="1" x14ac:dyDescent="0.7">
      <c r="A3" s="39"/>
      <c r="B3" s="40" t="str">
        <f>'Control Entry'!N23</f>
        <v/>
      </c>
      <c r="C3" s="40" t="str">
        <f>'Control Entry'!O23</f>
        <v/>
      </c>
      <c r="D3" s="41"/>
      <c r="E3" s="42" t="str">
        <f>IF(ISBLANK('Control Entry'!F23),"",'Control Entry'!F23)</f>
        <v/>
      </c>
      <c r="F3" s="42" t="str">
        <f>IF(ISBLANK('Control Entry'!I23),"",'Control Entry'!I23)</f>
        <v/>
      </c>
      <c r="G3" s="10"/>
      <c r="H3" s="35" t="s">
        <v>29</v>
      </c>
      <c r="K3" s="16"/>
      <c r="N3" s="129" t="s">
        <v>62</v>
      </c>
      <c r="O3" s="129"/>
      <c r="P3" s="129"/>
      <c r="Q3" s="129"/>
      <c r="R3" s="129"/>
      <c r="S3" s="129"/>
      <c r="T3" s="52"/>
      <c r="U3" s="52"/>
    </row>
    <row r="4" spans="1:22" ht="36" customHeight="1" x14ac:dyDescent="0.3">
      <c r="A4" s="48" t="str">
        <f>IF(ISBLANK('Control Entry'!D23),"",'Control Entry'!D23)</f>
        <v/>
      </c>
      <c r="B4" s="49" t="str">
        <f>'Control Entry'!N23</f>
        <v/>
      </c>
      <c r="C4" s="49" t="str">
        <f>'Control Entry'!O23</f>
        <v/>
      </c>
      <c r="D4" s="50" t="str">
        <f>IF(ISBLANK('Control Entry'!E23),"",'Control Entry'!E23)</f>
        <v/>
      </c>
      <c r="E4" s="42" t="str">
        <f>IF(ISBLANK('Control Entry'!G23),"",'Control Entry'!G23)</f>
        <v/>
      </c>
      <c r="F4" s="42" t="str">
        <f>IF(ISBLANK('Control Entry'!J23),"",'Control Entry'!J23)</f>
        <v/>
      </c>
      <c r="G4" s="10"/>
      <c r="H4" s="35" t="s">
        <v>29</v>
      </c>
      <c r="K4" s="16"/>
      <c r="M4" s="117" t="str">
        <f>IF(ISBLANK(brevet),"",brevet&amp;" km Randonnée")</f>
        <v>300 km Randonnée</v>
      </c>
      <c r="N4" s="117"/>
      <c r="O4" s="117"/>
      <c r="P4" s="117"/>
      <c r="Q4" s="117"/>
      <c r="R4" s="117"/>
      <c r="S4" s="117"/>
      <c r="T4" s="117"/>
      <c r="U4" s="53"/>
    </row>
    <row r="5" spans="1:22" ht="36" customHeight="1" thickBot="1" x14ac:dyDescent="0.4">
      <c r="A5" s="43"/>
      <c r="B5" s="44" t="str">
        <f>'Control Entry'!N23</f>
        <v/>
      </c>
      <c r="C5" s="44" t="str">
        <f>'Control Entry'!O23</f>
        <v/>
      </c>
      <c r="D5" s="45"/>
      <c r="E5" s="46" t="str">
        <f>IF(ISBLANK('Control Entry'!H23),"",'Control Entry'!H23)</f>
        <v/>
      </c>
      <c r="F5" s="46" t="str">
        <f>IF(ISBLANK('Control Entry'!K23),"",'Control Entry'!K23)</f>
        <v/>
      </c>
      <c r="G5" s="11"/>
      <c r="H5" s="35" t="s">
        <v>29</v>
      </c>
      <c r="K5" s="16"/>
      <c r="M5" s="17"/>
      <c r="N5" s="120" t="s">
        <v>48</v>
      </c>
      <c r="O5" s="120"/>
      <c r="P5" s="80" t="str">
        <f>IF(ISBLANK(Brevet_Number),"",Brevet_Number)</f>
        <v>LM300-1</v>
      </c>
      <c r="Q5" s="81"/>
      <c r="R5" s="125" t="str">
        <f>IF(ISBLANK('Control Entry'!$B5),"",'Control Entry'!$B5)</f>
        <v>07/03/2021</v>
      </c>
      <c r="S5" s="125"/>
      <c r="T5" s="125"/>
      <c r="U5" s="125"/>
      <c r="V5" s="54"/>
    </row>
    <row r="6" spans="1:22" ht="36" customHeight="1" x14ac:dyDescent="0.4">
      <c r="A6" s="39"/>
      <c r="B6" s="40" t="str">
        <f>'Control Entry'!N24</f>
        <v/>
      </c>
      <c r="C6" s="40" t="str">
        <f>'Control Entry'!O24</f>
        <v/>
      </c>
      <c r="D6" s="47"/>
      <c r="E6" s="42" t="str">
        <f>IF(ISBLANK('Control Entry'!F24),"",'Control Entry'!F24)</f>
        <v/>
      </c>
      <c r="F6" s="42" t="str">
        <f>IF(ISBLANK('Control Entry'!I24),"",'Control Entry'!I24)</f>
        <v/>
      </c>
      <c r="G6" s="10"/>
      <c r="H6" s="35" t="s">
        <v>29</v>
      </c>
      <c r="K6" s="16"/>
      <c r="L6" s="124" t="str">
        <f>IF(ISBLANK(Brevet_Description),"",Brevet_Description)</f>
        <v>Abbey Road 300</v>
      </c>
      <c r="M6" s="124"/>
      <c r="N6" s="124"/>
      <c r="O6" s="124"/>
      <c r="P6" s="124"/>
      <c r="Q6" s="124"/>
      <c r="R6" s="124"/>
      <c r="S6" s="124"/>
      <c r="T6" s="124"/>
      <c r="U6" s="124"/>
    </row>
    <row r="7" spans="1:22" ht="36" customHeight="1" x14ac:dyDescent="0.3">
      <c r="A7" s="48" t="str">
        <f>IF(ISBLANK('Control Entry'!D24),"",'Control Entry'!D24)</f>
        <v/>
      </c>
      <c r="B7" s="49" t="str">
        <f>'Control Entry'!N24</f>
        <v/>
      </c>
      <c r="C7" s="49" t="str">
        <f>'Control Entry'!O24</f>
        <v/>
      </c>
      <c r="D7" s="50" t="str">
        <f>IF(ISBLANK('Control Entry'!E24),"",'Control Entry'!E24)</f>
        <v/>
      </c>
      <c r="E7" s="42" t="str">
        <f>IF(ISBLANK('Control Entry'!G24),"",'Control Entry'!G24)</f>
        <v/>
      </c>
      <c r="F7" s="42" t="str">
        <f>IF(ISBLANK('Control Entry'!J24),"",'Control Entry'!J24)</f>
        <v/>
      </c>
      <c r="G7" s="10"/>
      <c r="H7" s="35" t="s">
        <v>29</v>
      </c>
    </row>
    <row r="8" spans="1:22" ht="36" customHeight="1" thickBot="1" x14ac:dyDescent="0.4">
      <c r="A8" s="43"/>
      <c r="B8" s="44" t="str">
        <f>'Control Entry'!N24</f>
        <v/>
      </c>
      <c r="C8" s="44" t="str">
        <f>'Control Entry'!O24</f>
        <v/>
      </c>
      <c r="D8" s="45"/>
      <c r="E8" s="46" t="str">
        <f>IF(ISBLANK('Control Entry'!H24),"",'Control Entry'!H24)</f>
        <v/>
      </c>
      <c r="F8" s="46" t="str">
        <f>IF(ISBLANK('Control Entry'!K24),"",'Control Entry'!K24)</f>
        <v/>
      </c>
      <c r="G8" s="11"/>
      <c r="H8" s="35" t="s">
        <v>29</v>
      </c>
      <c r="J8" s="17" t="s">
        <v>34</v>
      </c>
      <c r="L8" s="127" t="str">
        <f>IF(ISBLANK('Control Card #1'!L8:Q8),"",'Control Card #1'!L8:Q8)</f>
        <v/>
      </c>
      <c r="M8" s="127"/>
      <c r="N8" s="127"/>
      <c r="O8" s="127"/>
      <c r="P8" s="127"/>
      <c r="Q8" s="127"/>
      <c r="R8" s="36"/>
      <c r="S8" s="55" t="s">
        <v>47</v>
      </c>
      <c r="T8" s="134" t="str">
        <f>IF(ISBLANK('Control Card #1'!T8:U8),"",'Control Card #1'!T8:U8)</f>
        <v/>
      </c>
      <c r="U8" s="134"/>
    </row>
    <row r="9" spans="1:22" ht="36" customHeight="1" x14ac:dyDescent="0.35">
      <c r="A9" s="39"/>
      <c r="B9" s="40" t="str">
        <f>'Control Entry'!N25</f>
        <v/>
      </c>
      <c r="C9" s="40" t="str">
        <f>'Control Entry'!O25</f>
        <v/>
      </c>
      <c r="D9" s="47"/>
      <c r="E9" s="42" t="str">
        <f>IF(ISBLANK('Control Entry'!F25),"",'Control Entry'!F25)</f>
        <v/>
      </c>
      <c r="F9" s="42" t="str">
        <f>IF(ISBLANK('Control Entry'!I25),"",'Control Entry'!I25)</f>
        <v/>
      </c>
      <c r="G9" s="10"/>
      <c r="H9" s="35" t="s">
        <v>29</v>
      </c>
    </row>
    <row r="10" spans="1:22" ht="36" customHeight="1" x14ac:dyDescent="0.3">
      <c r="A10" s="48" t="str">
        <f>IF(ISBLANK('Control Entry'!D25),"",'Control Entry'!D25)</f>
        <v/>
      </c>
      <c r="B10" s="49" t="str">
        <f>'Control Entry'!N25</f>
        <v/>
      </c>
      <c r="C10" s="49" t="str">
        <f>'Control Entry'!O25</f>
        <v/>
      </c>
      <c r="D10" s="50" t="str">
        <f>IF(ISBLANK('Control Entry'!E25),"",'Control Entry'!E25)</f>
        <v/>
      </c>
      <c r="E10" s="42" t="str">
        <f>IF(ISBLANK('Control Entry'!G25),"",'Control Entry'!G25)</f>
        <v/>
      </c>
      <c r="F10" s="42" t="str">
        <f>IF(ISBLANK('Control Entry'!J25),"",'Control Entry'!J25)</f>
        <v/>
      </c>
      <c r="G10" s="10"/>
      <c r="H10" s="35" t="s">
        <v>29</v>
      </c>
    </row>
    <row r="11" spans="1:22" ht="36" customHeight="1" thickBot="1" x14ac:dyDescent="0.4">
      <c r="A11" s="43"/>
      <c r="B11" s="44" t="str">
        <f>'Control Entry'!N25</f>
        <v/>
      </c>
      <c r="C11" s="44" t="str">
        <f>'Control Entry'!O25</f>
        <v/>
      </c>
      <c r="D11" s="45"/>
      <c r="E11" s="46" t="str">
        <f>IF(ISBLANK('Control Entry'!H25),"",'Control Entry'!H25)</f>
        <v/>
      </c>
      <c r="F11" s="46" t="str">
        <f>IF(ISBLANK('Control Entry'!K25),"",'Control Entry'!K25)</f>
        <v/>
      </c>
      <c r="G11" s="11"/>
      <c r="H11" s="35" t="s">
        <v>29</v>
      </c>
    </row>
    <row r="12" spans="1:22" ht="36" customHeight="1" x14ac:dyDescent="0.35">
      <c r="A12" s="39"/>
      <c r="B12" s="40" t="str">
        <f>'Control Entry'!N26</f>
        <v/>
      </c>
      <c r="C12" s="40" t="str">
        <f>'Control Entry'!O26</f>
        <v/>
      </c>
      <c r="D12" s="47"/>
      <c r="E12" s="42" t="str">
        <f>IF(ISBLANK('Control Entry'!F26),"",'Control Entry'!F26)</f>
        <v/>
      </c>
      <c r="F12" s="42" t="str">
        <f>IF(ISBLANK('Control Entry'!I26),"",'Control Entry'!I26)</f>
        <v/>
      </c>
      <c r="G12" s="10"/>
      <c r="H12" s="35" t="s">
        <v>29</v>
      </c>
    </row>
    <row r="13" spans="1:22" ht="36" customHeight="1" x14ac:dyDescent="0.3">
      <c r="A13" s="48" t="str">
        <f>IF(ISBLANK('Control Entry'!D26),"",'Control Entry'!D26)</f>
        <v/>
      </c>
      <c r="B13" s="49" t="str">
        <f>'Control Entry'!N26</f>
        <v/>
      </c>
      <c r="C13" s="49" t="str">
        <f>'Control Entry'!O26</f>
        <v/>
      </c>
      <c r="D13" s="50" t="str">
        <f>IF(ISBLANK('Control Entry'!E26),"",'Control Entry'!E26)</f>
        <v/>
      </c>
      <c r="E13" s="42" t="str">
        <f>IF(ISBLANK('Control Entry'!G26),"",'Control Entry'!G26)</f>
        <v/>
      </c>
      <c r="F13" s="42" t="str">
        <f>IF(ISBLANK('Control Entry'!J26),"",'Control Entry'!J26)</f>
        <v/>
      </c>
      <c r="G13" s="10"/>
      <c r="H13" s="35" t="s">
        <v>29</v>
      </c>
    </row>
    <row r="14" spans="1:22" ht="36" customHeight="1" thickBot="1" x14ac:dyDescent="0.4">
      <c r="A14" s="43"/>
      <c r="B14" s="44" t="str">
        <f>'Control Entry'!N26</f>
        <v/>
      </c>
      <c r="C14" s="44" t="str">
        <f>'Control Entry'!O26</f>
        <v/>
      </c>
      <c r="D14" s="45"/>
      <c r="E14" s="46" t="str">
        <f>IF(ISBLANK('Control Entry'!H26),"",'Control Entry'!H26)</f>
        <v/>
      </c>
      <c r="F14" s="46" t="str">
        <f>IF(ISBLANK('Control Entry'!K26),"",'Control Entry'!K26)</f>
        <v/>
      </c>
      <c r="G14" s="11"/>
      <c r="H14" s="35" t="s">
        <v>29</v>
      </c>
    </row>
    <row r="15" spans="1:22" ht="36" customHeight="1" x14ac:dyDescent="0.35">
      <c r="A15" s="39"/>
      <c r="B15" s="40" t="str">
        <f>'Control Entry'!N27</f>
        <v/>
      </c>
      <c r="C15" s="40" t="str">
        <f>'Control Entry'!O27</f>
        <v/>
      </c>
      <c r="D15" s="47"/>
      <c r="E15" s="42" t="str">
        <f>IF(ISBLANK('Control Entry'!F27),"",'Control Entry'!F27)</f>
        <v/>
      </c>
      <c r="F15" s="42" t="str">
        <f>IF(ISBLANK('Control Entry'!I27),"",'Control Entry'!I27)</f>
        <v/>
      </c>
      <c r="G15" s="10"/>
      <c r="H15" s="35" t="s">
        <v>29</v>
      </c>
    </row>
    <row r="16" spans="1:22" ht="36" customHeight="1" x14ac:dyDescent="0.3">
      <c r="A16" s="48" t="str">
        <f>IF(ISBLANK('Control Entry'!D27),"",'Control Entry'!D27)</f>
        <v/>
      </c>
      <c r="B16" s="49" t="str">
        <f>'Control Entry'!N27</f>
        <v/>
      </c>
      <c r="C16" s="49" t="str">
        <f>'Control Entry'!O27</f>
        <v/>
      </c>
      <c r="D16" s="50" t="str">
        <f>IF(ISBLANK('Control Entry'!E27),"",'Control Entry'!E27)</f>
        <v/>
      </c>
      <c r="E16" s="42" t="str">
        <f>IF(ISBLANK('Control Entry'!G27),"",'Control Entry'!G27)</f>
        <v/>
      </c>
      <c r="F16" s="42" t="str">
        <f>IF(ISBLANK('Control Entry'!J27),"",'Control Entry'!J27)</f>
        <v/>
      </c>
      <c r="G16" s="10"/>
      <c r="H16" s="35" t="s">
        <v>29</v>
      </c>
    </row>
    <row r="17" spans="1:21" ht="36" customHeight="1" thickBot="1" x14ac:dyDescent="0.4">
      <c r="A17" s="43"/>
      <c r="B17" s="44" t="str">
        <f>'Control Entry'!N27</f>
        <v/>
      </c>
      <c r="C17" s="44" t="str">
        <f>'Control Entry'!O27</f>
        <v/>
      </c>
      <c r="D17" s="45"/>
      <c r="E17" s="46" t="str">
        <f>IF(ISBLANK('Control Entry'!H27),"",'Control Entry'!H27)</f>
        <v/>
      </c>
      <c r="F17" s="46" t="str">
        <f>IF(ISBLANK('Control Entry'!K27),"",'Control Entry'!K27)</f>
        <v/>
      </c>
      <c r="G17" s="11"/>
      <c r="H17" s="35" t="s">
        <v>29</v>
      </c>
    </row>
    <row r="18" spans="1:21" ht="36" customHeight="1" thickBot="1" x14ac:dyDescent="0.4">
      <c r="A18" s="39"/>
      <c r="B18" s="40" t="str">
        <f>'Control Entry'!N28</f>
        <v/>
      </c>
      <c r="C18" s="40" t="str">
        <f>'Control Entry'!O28</f>
        <v/>
      </c>
      <c r="D18" s="47"/>
      <c r="E18" s="42" t="str">
        <f>IF(ISBLANK('Control Entry'!F28),"",'Control Entry'!F28)</f>
        <v/>
      </c>
      <c r="F18" s="42" t="str">
        <f>IF(ISBLANK('Control Entry'!I28),"",'Control Entry'!I28)</f>
        <v/>
      </c>
      <c r="G18" s="10"/>
      <c r="H18" s="35" t="s">
        <v>29</v>
      </c>
      <c r="N18" s="135"/>
      <c r="O18" s="135"/>
      <c r="P18" s="135"/>
      <c r="Q18" s="135"/>
      <c r="R18" s="135"/>
      <c r="S18" s="135"/>
    </row>
    <row r="19" spans="1:21" ht="36" customHeight="1" x14ac:dyDescent="0.3">
      <c r="A19" s="48" t="str">
        <f>IF(ISBLANK('Control Entry'!D28),"",'Control Entry'!D28)</f>
        <v/>
      </c>
      <c r="B19" s="49" t="str">
        <f>'Control Entry'!N28</f>
        <v/>
      </c>
      <c r="C19" s="49" t="str">
        <f>'Control Entry'!O28</f>
        <v/>
      </c>
      <c r="D19" s="50" t="str">
        <f>IF(ISBLANK('Control Entry'!E28),"",'Control Entry'!E28)</f>
        <v/>
      </c>
      <c r="E19" s="42" t="str">
        <f>IF(ISBLANK('Control Entry'!G28),"",'Control Entry'!G28)</f>
        <v/>
      </c>
      <c r="F19" s="42" t="str">
        <f>IF(ISBLANK('Control Entry'!J28),"",'Control Entry'!J28)</f>
        <v/>
      </c>
      <c r="G19" s="10"/>
      <c r="H19" s="35" t="s">
        <v>29</v>
      </c>
      <c r="N19" s="121" t="s">
        <v>17</v>
      </c>
      <c r="O19" s="121"/>
      <c r="P19" s="121"/>
      <c r="Q19" s="121"/>
      <c r="R19" s="121"/>
      <c r="S19" s="121"/>
    </row>
    <row r="20" spans="1:21" ht="36" customHeight="1" thickBot="1" x14ac:dyDescent="0.4">
      <c r="A20" s="43"/>
      <c r="B20" s="44" t="str">
        <f>'Control Entry'!N28</f>
        <v/>
      </c>
      <c r="C20" s="44" t="str">
        <f>'Control Entry'!O28</f>
        <v/>
      </c>
      <c r="D20" s="45"/>
      <c r="E20" s="46" t="str">
        <f>IF(ISBLANK('Control Entry'!H28),"",'Control Entry'!H28)</f>
        <v/>
      </c>
      <c r="F20" s="46" t="str">
        <f>IF(ISBLANK('Control Entry'!K28),"",'Control Entry'!K28)</f>
        <v/>
      </c>
      <c r="G20" s="11"/>
      <c r="H20" s="35" t="s">
        <v>29</v>
      </c>
    </row>
    <row r="21" spans="1:21" ht="36" customHeight="1" x14ac:dyDescent="0.35">
      <c r="A21" s="39"/>
      <c r="B21" s="40" t="str">
        <f>'Control Entry'!N29</f>
        <v/>
      </c>
      <c r="C21" s="40" t="str">
        <f>'Control Entry'!O29</f>
        <v/>
      </c>
      <c r="D21" s="47"/>
      <c r="E21" s="42" t="str">
        <f>IF(ISBLANK('Control Entry'!F29),"",'Control Entry'!F29)</f>
        <v/>
      </c>
      <c r="F21" s="42" t="str">
        <f>IF(ISBLANK('Control Entry'!I29),"",'Control Entry'!I29)</f>
        <v/>
      </c>
      <c r="G21" s="10"/>
      <c r="H21" s="35" t="s">
        <v>29</v>
      </c>
      <c r="L21" s="133" t="s">
        <v>63</v>
      </c>
      <c r="M21" s="133"/>
      <c r="N21" s="133"/>
      <c r="O21" s="133"/>
      <c r="P21" s="133"/>
      <c r="Q21" s="133"/>
      <c r="R21" s="133"/>
      <c r="S21" s="133"/>
      <c r="T21" s="133"/>
      <c r="U21" s="133"/>
    </row>
    <row r="22" spans="1:21" ht="36" customHeight="1" x14ac:dyDescent="0.3">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29</v>
      </c>
    </row>
    <row r="23" spans="1:21" ht="36" customHeight="1" thickBot="1" x14ac:dyDescent="0.4">
      <c r="A23" s="43"/>
      <c r="B23" s="44" t="str">
        <f>'Control Entry'!N29</f>
        <v/>
      </c>
      <c r="C23" s="44" t="str">
        <f>'Control Entry'!O29</f>
        <v/>
      </c>
      <c r="D23" s="45"/>
      <c r="E23" s="46" t="str">
        <f>IF(ISBLANK('Control Entry'!H29),"",'Control Entry'!H29)</f>
        <v/>
      </c>
      <c r="F23" s="46" t="str">
        <f>IF(ISBLANK('Control Entry'!K29),"",'Control Entry'!K29)</f>
        <v/>
      </c>
      <c r="G23" s="11"/>
      <c r="H23" s="35" t="s">
        <v>29</v>
      </c>
    </row>
    <row r="24" spans="1:21" ht="36" customHeight="1" x14ac:dyDescent="0.35">
      <c r="A24" s="39"/>
      <c r="B24" s="40" t="str">
        <f>'Control Entry'!N30</f>
        <v/>
      </c>
      <c r="C24" s="40" t="str">
        <f>'Control Entry'!O30</f>
        <v/>
      </c>
      <c r="D24" s="47"/>
      <c r="E24" s="42" t="str">
        <f>IF(ISBLANK('Control Entry'!F30),"",'Control Entry'!F30)</f>
        <v/>
      </c>
      <c r="F24" s="42" t="str">
        <f>IF(ISBLANK('Control Entry'!I30),"",'Control Entry'!I30)</f>
        <v/>
      </c>
      <c r="G24" s="10"/>
      <c r="H24" s="35" t="s">
        <v>29</v>
      </c>
    </row>
    <row r="25" spans="1:21" ht="36" customHeight="1" x14ac:dyDescent="0.3">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29</v>
      </c>
    </row>
    <row r="26" spans="1:21" ht="36" customHeight="1" thickBot="1" x14ac:dyDescent="0.4">
      <c r="A26" s="43"/>
      <c r="B26" s="44" t="str">
        <f>'Control Entry'!N30</f>
        <v/>
      </c>
      <c r="C26" s="44" t="str">
        <f>'Control Entry'!O30</f>
        <v/>
      </c>
      <c r="D26" s="45"/>
      <c r="E26" s="46" t="str">
        <f>IF(ISBLANK('Control Entry'!H30),"",'Control Entry'!H30)</f>
        <v/>
      </c>
      <c r="F26" s="46" t="str">
        <f>IF(ISBLANK('Control Entry'!K30),"",'Control Entry'!K30)</f>
        <v/>
      </c>
      <c r="G26" s="11"/>
      <c r="H26" s="35" t="s">
        <v>29</v>
      </c>
    </row>
    <row r="27" spans="1:21" ht="36" customHeight="1" x14ac:dyDescent="0.35">
      <c r="A27" s="39"/>
      <c r="B27" s="40" t="str">
        <f>'Control Entry'!N31</f>
        <v/>
      </c>
      <c r="C27" s="40" t="str">
        <f>'Control Entry'!O31</f>
        <v/>
      </c>
      <c r="D27" s="47"/>
      <c r="E27" s="42" t="str">
        <f>IF(ISBLANK('Control Entry'!F31),"",'Control Entry'!F31)</f>
        <v/>
      </c>
      <c r="F27" s="42" t="str">
        <f>IF(ISBLANK('Control Entry'!I31),"",'Control Entry'!I31)</f>
        <v/>
      </c>
      <c r="G27" s="10"/>
      <c r="H27" s="35" t="s">
        <v>29</v>
      </c>
    </row>
    <row r="28" spans="1:21" ht="36" customHeight="1" x14ac:dyDescent="0.3">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29</v>
      </c>
    </row>
    <row r="29" spans="1:21" ht="36" customHeight="1" thickBot="1" x14ac:dyDescent="0.4">
      <c r="A29" s="43"/>
      <c r="B29" s="44" t="str">
        <f>'Control Entry'!N31</f>
        <v/>
      </c>
      <c r="C29" s="44" t="str">
        <f>'Control Entry'!O31</f>
        <v/>
      </c>
      <c r="D29" s="45"/>
      <c r="E29" s="46" t="str">
        <f>IF(ISBLANK('Control Entry'!H31),"",'Control Entry'!H31)</f>
        <v/>
      </c>
      <c r="F29" s="46" t="str">
        <f>IF(ISBLANK('Control Entry'!K31),"",'Control Entry'!K31)</f>
        <v/>
      </c>
      <c r="G29" s="11"/>
      <c r="H29" s="35" t="s">
        <v>29</v>
      </c>
      <c r="M29" s="131" t="s">
        <v>42</v>
      </c>
      <c r="N29" s="131"/>
      <c r="O29" s="131"/>
      <c r="P29" s="131"/>
      <c r="Q29" s="131"/>
      <c r="R29" s="131"/>
      <c r="S29" s="131"/>
      <c r="T29" s="131"/>
      <c r="U29" s="68"/>
    </row>
    <row r="30" spans="1:21" ht="36" customHeight="1" x14ac:dyDescent="0.35">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1" ht="36" customHeight="1" x14ac:dyDescent="0.3">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1" ht="36" customHeight="1" thickBot="1" x14ac:dyDescent="0.4">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35">
      <c r="A33" s="116" t="s">
        <v>43</v>
      </c>
      <c r="B33" s="116"/>
      <c r="C33" s="116"/>
      <c r="D33" s="116"/>
      <c r="E33" s="116"/>
      <c r="F33" s="116"/>
      <c r="G33" s="116"/>
      <c r="H33" s="51"/>
      <c r="I33" s="51"/>
      <c r="N33" s="132"/>
      <c r="O33" s="132"/>
      <c r="P33" s="132"/>
      <c r="Q33" s="132"/>
      <c r="R33" s="132"/>
      <c r="S33" s="132"/>
      <c r="T33" s="132"/>
      <c r="U33" s="132"/>
      <c r="V33" s="61"/>
    </row>
    <row r="34" spans="1:22" ht="36" customHeight="1" x14ac:dyDescent="0.35">
      <c r="A34"/>
      <c r="O34" s="59"/>
      <c r="P34" s="59"/>
      <c r="Q34" s="59"/>
      <c r="R34" s="58"/>
    </row>
    <row r="35" spans="1:22" ht="36" customHeight="1" x14ac:dyDescent="0.25">
      <c r="A35"/>
      <c r="N35" s="131"/>
      <c r="O35" s="131"/>
      <c r="P35" s="131"/>
      <c r="Q35" s="131"/>
      <c r="R35" s="131"/>
      <c r="S35" s="131"/>
      <c r="T35" s="131"/>
      <c r="U35" s="131"/>
    </row>
    <row r="36" spans="1:22" ht="36" customHeight="1" x14ac:dyDescent="0.25">
      <c r="A36"/>
      <c r="N36" s="36"/>
      <c r="O36" s="29"/>
      <c r="P36" s="29"/>
      <c r="Q36" s="29"/>
      <c r="R36" s="29"/>
      <c r="S36" s="29"/>
      <c r="T36" s="29"/>
      <c r="U36" s="29"/>
    </row>
    <row r="37" spans="1:22" ht="36" customHeight="1" x14ac:dyDescent="0.25">
      <c r="A37"/>
      <c r="N37" s="36"/>
      <c r="O37" s="29"/>
      <c r="P37" s="29"/>
      <c r="Q37" s="29"/>
      <c r="R37" s="29"/>
      <c r="S37" s="29"/>
      <c r="T37" s="29"/>
      <c r="U37" s="29"/>
    </row>
    <row r="38" spans="1:22" ht="36" customHeight="1" x14ac:dyDescent="0.35">
      <c r="A38"/>
      <c r="N38" s="69"/>
      <c r="O38" s="29"/>
      <c r="P38" s="29"/>
      <c r="Q38" s="29"/>
      <c r="R38" s="29"/>
      <c r="S38" s="29"/>
      <c r="T38" s="29"/>
      <c r="U38" s="29"/>
    </row>
    <row r="39" spans="1:22" ht="36" customHeight="1" x14ac:dyDescent="0.25">
      <c r="A39"/>
    </row>
    <row r="40" spans="1:22" ht="36" customHeight="1" x14ac:dyDescent="0.25">
      <c r="A40"/>
    </row>
  </sheetData>
  <mergeCells count="16">
    <mergeCell ref="A1:G1"/>
    <mergeCell ref="K2:U2"/>
    <mergeCell ref="N3:S3"/>
    <mergeCell ref="M4:T4"/>
    <mergeCell ref="N35:U35"/>
    <mergeCell ref="L21:U21"/>
    <mergeCell ref="L6:U6"/>
    <mergeCell ref="T8:U8"/>
    <mergeCell ref="A33:G33"/>
    <mergeCell ref="N33:U33"/>
    <mergeCell ref="N5:O5"/>
    <mergeCell ref="R5:U5"/>
    <mergeCell ref="L8:Q8"/>
    <mergeCell ref="M29:T29"/>
    <mergeCell ref="N18:S18"/>
    <mergeCell ref="N19:S19"/>
  </mergeCells>
  <phoneticPr fontId="12"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Colin Fingler</cp:lastModifiedBy>
  <cp:lastPrinted>2021-07-01T03:48:11Z</cp:lastPrinted>
  <dcterms:created xsi:type="dcterms:W3CDTF">1997-11-12T04:43:39Z</dcterms:created>
  <dcterms:modified xsi:type="dcterms:W3CDTF">2021-07-01T04:15:47Z</dcterms:modified>
</cp:coreProperties>
</file>