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showInkAnnotation="0" codeName="ThisWorkbook" autoCompressPictures="0"/>
  <mc:AlternateContent xmlns:mc="http://schemas.openxmlformats.org/markup-compatibility/2006">
    <mc:Choice Requires="x15">
      <x15ac:absPath xmlns:x15ac="http://schemas.microsoft.com/office/spreadsheetml/2010/11/ac" url="C:\Users\Colin Fingl\Documents\Colin\Rando\2021 Season\Abbey Road 300\"/>
    </mc:Choice>
  </mc:AlternateContent>
  <xr:revisionPtr revIDLastSave="0" documentId="13_ncr:1_{452C6856-AE50-4403-A461-5525120F92DA}" xr6:coauthVersionLast="47" xr6:coauthVersionMax="47" xr10:uidLastSave="{00000000-0000-0000-0000-000000000000}"/>
  <bookViews>
    <workbookView xWindow="-108" yWindow="-108" windowWidth="23256" windowHeight="12576" tabRatio="509" activeTab="1" xr2:uid="{00000000-000D-0000-FFFF-FFFF00000000}"/>
  </bookViews>
  <sheets>
    <sheet name="Control Entry" sheetId="1" r:id="rId1"/>
    <sheet name="Control Card #1" sheetId="2" r:id="rId2"/>
    <sheet name="Control Card #2" sheetId="3" r:id="rId3"/>
  </sheets>
  <definedNames>
    <definedName name="Address_1" localSheetId="2">#REF!</definedName>
    <definedName name="Address_1">#REF!</definedName>
    <definedName name="Address_2" localSheetId="2">#REF!</definedName>
    <definedName name="Address_2">#REF!</definedName>
    <definedName name="brevet">'Control Entry'!$C$1</definedName>
    <definedName name="Brevet_Description">'Control Entry'!$B$3</definedName>
    <definedName name="Brevet_Length">'Control Entry'!$B$1</definedName>
    <definedName name="Brevet_Number">'Control Entry'!$B$4</definedName>
    <definedName name="City" localSheetId="2">#REF!</definedName>
    <definedName name="City">#REF!</definedName>
    <definedName name="Close">'Control Entry'!$M$10:$M$19</definedName>
    <definedName name="Close_time">'Control Entry'!$O$10:$O$19</definedName>
    <definedName name="Control_1">'Control Entry'!$D$10:$O$10</definedName>
    <definedName name="Control_10">'Control Entry'!$D$19:$O$19</definedName>
    <definedName name="Control_11" localSheetId="2">'Control Entry'!#REF!</definedName>
    <definedName name="Control_11">'Control Entry'!#REF!</definedName>
    <definedName name="Control_12" localSheetId="2">'Control Entry'!#REF!</definedName>
    <definedName name="Control_12">'Control Entry'!#REF!</definedName>
    <definedName name="Control_13" localSheetId="2">'Control Entry'!#REF!</definedName>
    <definedName name="Control_13">'Control Entry'!#REF!</definedName>
    <definedName name="Control_14" localSheetId="2">'Control Entry'!#REF!</definedName>
    <definedName name="Control_14">'Control Entry'!#REF!</definedName>
    <definedName name="Control_15" localSheetId="2">'Control Entry'!#REF!</definedName>
    <definedName name="Control_15">'Control Entry'!#REF!</definedName>
    <definedName name="Control_16" localSheetId="2">'Control Entry'!#REF!</definedName>
    <definedName name="Control_16">'Control Entry'!#REF!</definedName>
    <definedName name="Control_17" localSheetId="2">'Control Entry'!#REF!</definedName>
    <definedName name="Control_17">'Control Entry'!#REF!</definedName>
    <definedName name="Control_18" localSheetId="2">'Control Entry'!#REF!</definedName>
    <definedName name="Control_18">'Control Entry'!#REF!</definedName>
    <definedName name="Control_19" localSheetId="2">'Control Entry'!#REF!</definedName>
    <definedName name="Control_19">'Control Entry'!#REF!</definedName>
    <definedName name="Control_2">'Control Entry'!$D$11:$O$11</definedName>
    <definedName name="Control_20" localSheetId="2">'Control Entry'!#REF!</definedName>
    <definedName name="Control_20">'Control Entry'!#REF!</definedName>
    <definedName name="Control_3">'Control Entry'!$D$12:$O$12</definedName>
    <definedName name="Control_4">'Control Entry'!$D$13:$O$13</definedName>
    <definedName name="Control_5">'Control Entry'!$D$14:$O$14</definedName>
    <definedName name="Control_6">'Control Entry'!$D$15:$O$15</definedName>
    <definedName name="Control_7">'Control Entry'!$D$16:$O$16</definedName>
    <definedName name="Control_8">'Control Entry'!$D$17:$O$17</definedName>
    <definedName name="Control_9">'Control Entry'!$D$18:$O$18</definedName>
    <definedName name="Country" localSheetId="2">#REF!</definedName>
    <definedName name="Country">#REF!</definedName>
    <definedName name="Distance">'Control Entry'!$D$10:$D$19</definedName>
    <definedName name="email" localSheetId="2">#REF!</definedName>
    <definedName name="email">#REF!</definedName>
    <definedName name="Establishment_1">'Control Entry'!$F$10:$F$19</definedName>
    <definedName name="Establishment_2">'Control Entry'!$G$10:$G$19</definedName>
    <definedName name="Establishment_3">'Control Entry'!$H$10:$H$19</definedName>
    <definedName name="Fax" localSheetId="2">#REF!</definedName>
    <definedName name="Fax">#REF!</definedName>
    <definedName name="First_Name" localSheetId="2">#REF!</definedName>
    <definedName name="First_Name">#REF!</definedName>
    <definedName name="Home_telephone" localSheetId="2">#REF!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2">#REF!</definedName>
    <definedName name="Initial">#REF!</definedName>
    <definedName name="Locale">'Control Entry'!$E$10:$E$19</definedName>
    <definedName name="Max_time">'Control Entry'!$B$2</definedName>
    <definedName name="Open">'Control Entry'!$L$10:$L$19</definedName>
    <definedName name="Open_time">'Control Entry'!$N$10:$N$19</definedName>
    <definedName name="Postal_Code" localSheetId="2">#REF!</definedName>
    <definedName name="Postal_Code">#REF!</definedName>
    <definedName name="_xlnm.Print_Titles" localSheetId="1">'Control Card #1'!$1:$2</definedName>
    <definedName name="_xlnm.Print_Titles" localSheetId="2">'Control Card #2'!$1:$2</definedName>
    <definedName name="Province_State" localSheetId="2">#REF!</definedName>
    <definedName name="Province_State">#REF!</definedName>
    <definedName name="Start_date">'Control Entry'!$B$7</definedName>
    <definedName name="Start_time">'Control Entry'!$B$8</definedName>
    <definedName name="surname" localSheetId="2">#REF!</definedName>
    <definedName name="surname">#REF!</definedName>
    <definedName name="Work_telephone" localSheetId="2">#REF!</definedName>
    <definedName name="Work_telepho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 i="1" l="1"/>
  <c r="N10" i="1" s="1"/>
  <c r="M23" i="1"/>
  <c r="E7" i="3"/>
  <c r="E8" i="3"/>
  <c r="E5" i="3"/>
  <c r="F5" i="2"/>
  <c r="T8" i="3"/>
  <c r="L8" i="3"/>
  <c r="S3" i="2"/>
  <c r="F32" i="2"/>
  <c r="F31" i="2"/>
  <c r="F30" i="2"/>
  <c r="F29" i="2"/>
  <c r="F28" i="2"/>
  <c r="F27" i="2"/>
  <c r="F26" i="2"/>
  <c r="F25" i="2"/>
  <c r="F24" i="2"/>
  <c r="F23" i="2"/>
  <c r="F22" i="2"/>
  <c r="F21" i="2"/>
  <c r="F20" i="2"/>
  <c r="F19" i="2"/>
  <c r="F18" i="2"/>
  <c r="F17" i="2"/>
  <c r="F16" i="2"/>
  <c r="F15" i="2"/>
  <c r="F14" i="2"/>
  <c r="F13" i="2"/>
  <c r="F12" i="2"/>
  <c r="F11" i="2"/>
  <c r="F10" i="2"/>
  <c r="F9" i="2"/>
  <c r="F8" i="2"/>
  <c r="F7" i="2"/>
  <c r="F6" i="2"/>
  <c r="F4" i="2"/>
  <c r="F3" i="2"/>
  <c r="C1" i="1"/>
  <c r="M12" i="1" s="1"/>
  <c r="F32" i="3"/>
  <c r="F31" i="3"/>
  <c r="F30" i="3"/>
  <c r="F29" i="3"/>
  <c r="F28" i="3"/>
  <c r="F27" i="3"/>
  <c r="F26" i="3"/>
  <c r="F25" i="3"/>
  <c r="F24" i="3"/>
  <c r="F23" i="3"/>
  <c r="F22" i="3"/>
  <c r="F21" i="3"/>
  <c r="F20" i="3"/>
  <c r="F19" i="3"/>
  <c r="F18" i="3"/>
  <c r="F17" i="3"/>
  <c r="F16" i="3"/>
  <c r="F15" i="3"/>
  <c r="F14" i="3"/>
  <c r="F13" i="3"/>
  <c r="F12" i="3"/>
  <c r="F11" i="3"/>
  <c r="F10" i="3"/>
  <c r="F9" i="3"/>
  <c r="F7" i="3"/>
  <c r="F8" i="3"/>
  <c r="F5" i="3"/>
  <c r="F6" i="3"/>
  <c r="F4" i="3"/>
  <c r="F3" i="3"/>
  <c r="E32" i="3"/>
  <c r="E31" i="3"/>
  <c r="E30" i="3"/>
  <c r="E29" i="3"/>
  <c r="E28" i="3"/>
  <c r="E27" i="3"/>
  <c r="E26" i="3"/>
  <c r="E25" i="3"/>
  <c r="E24" i="3"/>
  <c r="E23" i="3"/>
  <c r="E22" i="3"/>
  <c r="E21" i="3"/>
  <c r="E20" i="3"/>
  <c r="E19" i="3"/>
  <c r="E18" i="3"/>
  <c r="E17" i="3"/>
  <c r="E16" i="3"/>
  <c r="E15" i="3"/>
  <c r="E14" i="3"/>
  <c r="E13" i="3"/>
  <c r="E12" i="3"/>
  <c r="E11" i="3"/>
  <c r="E10" i="3"/>
  <c r="E9" i="3"/>
  <c r="E6" i="3"/>
  <c r="L24" i="1"/>
  <c r="M24" i="1"/>
  <c r="L25" i="1"/>
  <c r="M25" i="1"/>
  <c r="L26" i="1"/>
  <c r="M26" i="1"/>
  <c r="L27" i="1"/>
  <c r="M27" i="1"/>
  <c r="L28" i="1"/>
  <c r="M28" i="1"/>
  <c r="L29" i="1"/>
  <c r="M29" i="1"/>
  <c r="L30" i="1"/>
  <c r="M30" i="1"/>
  <c r="L31" i="1"/>
  <c r="M31" i="1"/>
  <c r="L32" i="1"/>
  <c r="M32" i="1"/>
  <c r="L23" i="1"/>
  <c r="E4" i="3"/>
  <c r="E3" i="3"/>
  <c r="D31" i="3"/>
  <c r="D28" i="3"/>
  <c r="D25" i="3"/>
  <c r="D22" i="3"/>
  <c r="D19" i="3"/>
  <c r="D16" i="3"/>
  <c r="D13" i="3"/>
  <c r="D10" i="3"/>
  <c r="D7" i="3"/>
  <c r="D4" i="3"/>
  <c r="A31" i="3"/>
  <c r="A28" i="3"/>
  <c r="A25" i="3"/>
  <c r="A22" i="3"/>
  <c r="A19" i="3"/>
  <c r="A16" i="3"/>
  <c r="A13" i="3"/>
  <c r="A10" i="3"/>
  <c r="A7" i="3"/>
  <c r="A4" i="3"/>
  <c r="B2" i="1"/>
  <c r="L19" i="1"/>
  <c r="L18" i="1"/>
  <c r="L17" i="1"/>
  <c r="L16" i="1"/>
  <c r="L15" i="1"/>
  <c r="L14" i="1"/>
  <c r="L13" i="1"/>
  <c r="L12" i="1"/>
  <c r="M11" i="1"/>
  <c r="L11" i="1"/>
  <c r="L6" i="3"/>
  <c r="R5" i="3"/>
  <c r="P5" i="3"/>
  <c r="L6" i="2"/>
  <c r="S20" i="2"/>
  <c r="R5" i="2"/>
  <c r="P5" i="2"/>
  <c r="A7"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D25" i="2"/>
  <c r="D28" i="2"/>
  <c r="D31" i="2"/>
  <c r="A31" i="2"/>
  <c r="A4" i="2"/>
  <c r="D19" i="2"/>
  <c r="D16" i="2"/>
  <c r="D13" i="2"/>
  <c r="D10" i="2"/>
  <c r="D7" i="2"/>
  <c r="D4" i="2"/>
  <c r="D22" i="2"/>
  <c r="A28" i="2"/>
  <c r="A25" i="2"/>
  <c r="A22" i="2"/>
  <c r="A19" i="2"/>
  <c r="A10" i="2"/>
  <c r="A16" i="2"/>
  <c r="A13" i="2"/>
  <c r="O23" i="1"/>
  <c r="C3" i="3" s="1"/>
  <c r="N31" i="1"/>
  <c r="B29" i="3" s="1"/>
  <c r="N29" i="1"/>
  <c r="B23" i="3" s="1"/>
  <c r="N27" i="1"/>
  <c r="B17" i="3" s="1"/>
  <c r="N25" i="1"/>
  <c r="B11" i="3" s="1"/>
  <c r="O32" i="1"/>
  <c r="C30" i="3" s="1"/>
  <c r="O30" i="1"/>
  <c r="C24" i="3" s="1"/>
  <c r="O28" i="1"/>
  <c r="C18" i="3" s="1"/>
  <c r="O26" i="1"/>
  <c r="C12" i="3" s="1"/>
  <c r="O24" i="1"/>
  <c r="C6" i="3" s="1"/>
  <c r="N32" i="1"/>
  <c r="B32" i="3" s="1"/>
  <c r="N28" i="1"/>
  <c r="B20" i="3" s="1"/>
  <c r="N24" i="1"/>
  <c r="B8" i="3" s="1"/>
  <c r="N26" i="1"/>
  <c r="B14" i="3" s="1"/>
  <c r="N23" i="1"/>
  <c r="B5" i="3" s="1"/>
  <c r="O31" i="1"/>
  <c r="C27" i="3" s="1"/>
  <c r="O29" i="1"/>
  <c r="C21" i="3" s="1"/>
  <c r="O27" i="1"/>
  <c r="C15" i="3" s="1"/>
  <c r="O25" i="1"/>
  <c r="C9" i="3" s="1"/>
  <c r="N30" i="1"/>
  <c r="B26" i="3" s="1"/>
  <c r="B27" i="3"/>
  <c r="C32" i="3"/>
  <c r="C31" i="3"/>
  <c r="M4" i="2"/>
  <c r="B28" i="3" l="1"/>
  <c r="M10" i="1"/>
  <c r="O10" i="1" s="1"/>
  <c r="C3" i="2" s="1"/>
  <c r="B13" i="3"/>
  <c r="C26" i="3"/>
  <c r="B31" i="3"/>
  <c r="B3" i="3"/>
  <c r="B18" i="3"/>
  <c r="B10" i="3"/>
  <c r="B22" i="3"/>
  <c r="B4" i="3"/>
  <c r="C11" i="3"/>
  <c r="B6" i="3"/>
  <c r="C20" i="3"/>
  <c r="B21" i="3"/>
  <c r="C25" i="3"/>
  <c r="C10" i="3"/>
  <c r="B30" i="3"/>
  <c r="C23" i="3"/>
  <c r="C5" i="3"/>
  <c r="C14" i="3"/>
  <c r="B7" i="3"/>
  <c r="C13" i="3"/>
  <c r="C22" i="3"/>
  <c r="C4" i="3"/>
  <c r="B9" i="3"/>
  <c r="N19" i="1"/>
  <c r="N15" i="1"/>
  <c r="O11" i="1"/>
  <c r="B3" i="2"/>
  <c r="N16" i="1"/>
  <c r="B21" i="2" s="1"/>
  <c r="N18" i="1"/>
  <c r="B5" i="2"/>
  <c r="N12" i="1"/>
  <c r="B4" i="2"/>
  <c r="N17" i="1"/>
  <c r="B24" i="2" s="1"/>
  <c r="N14" i="1"/>
  <c r="B15" i="2" s="1"/>
  <c r="N13" i="1"/>
  <c r="N11" i="1"/>
  <c r="B8" i="2" s="1"/>
  <c r="O12" i="1"/>
  <c r="C11" i="2" s="1"/>
  <c r="B25" i="3"/>
  <c r="B19" i="3"/>
  <c r="B15" i="3"/>
  <c r="C7" i="3"/>
  <c r="C8" i="3"/>
  <c r="B24" i="3"/>
  <c r="C28" i="3"/>
  <c r="C29" i="3"/>
  <c r="C19" i="3"/>
  <c r="C16" i="3"/>
  <c r="B16" i="3"/>
  <c r="C17" i="3"/>
  <c r="B12" i="3"/>
  <c r="C5" i="2"/>
  <c r="C4" i="2"/>
  <c r="M14" i="1"/>
  <c r="O14" i="1" s="1"/>
  <c r="M16" i="1"/>
  <c r="O16" i="1" s="1"/>
  <c r="M18" i="1"/>
  <c r="O18" i="1" s="1"/>
  <c r="M13" i="1"/>
  <c r="O13" i="1" s="1"/>
  <c r="M15" i="1"/>
  <c r="O15" i="1" s="1"/>
  <c r="M17" i="1"/>
  <c r="O17" i="1" s="1"/>
  <c r="M19" i="1"/>
  <c r="O19" i="1" s="1"/>
  <c r="M4" i="3"/>
  <c r="B26" i="2" l="1"/>
  <c r="B23" i="2"/>
  <c r="B25" i="2"/>
  <c r="C9" i="2"/>
  <c r="C10" i="2"/>
  <c r="B22" i="2"/>
  <c r="B14" i="2"/>
  <c r="B12" i="2"/>
  <c r="B13" i="2"/>
  <c r="B10" i="2"/>
  <c r="B11" i="2"/>
  <c r="B9" i="2"/>
  <c r="B17" i="2"/>
  <c r="B16" i="2"/>
  <c r="C7" i="2"/>
  <c r="C6" i="2"/>
  <c r="C8" i="2"/>
  <c r="B27" i="2"/>
  <c r="B29" i="2"/>
  <c r="B28" i="2"/>
  <c r="B18" i="2"/>
  <c r="B20" i="2"/>
  <c r="B19" i="2"/>
  <c r="B7" i="2"/>
  <c r="B6" i="2"/>
  <c r="B32" i="2"/>
  <c r="B31" i="2"/>
  <c r="B30" i="2"/>
  <c r="C17" i="2"/>
  <c r="C15" i="2"/>
  <c r="C16" i="2"/>
  <c r="C32" i="2"/>
  <c r="C30" i="2"/>
  <c r="C31" i="2"/>
  <c r="C13" i="2"/>
  <c r="C12" i="2"/>
  <c r="C14" i="2"/>
  <c r="C25" i="2"/>
  <c r="C26" i="2"/>
  <c r="C24" i="2"/>
  <c r="C28" i="2"/>
  <c r="C27" i="2"/>
  <c r="C29" i="2"/>
  <c r="C19" i="2"/>
  <c r="C18" i="2"/>
  <c r="C20" i="2"/>
  <c r="C21" i="2"/>
  <c r="C23" i="2"/>
  <c r="C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1" authorId="0" shapeId="0" xr:uid="{00000000-0006-0000-0000-000001000000}">
      <text>
        <r>
          <rPr>
            <b/>
            <sz val="10"/>
            <color indexed="8"/>
            <rFont val="Tahoma"/>
            <family val="2"/>
          </rPr>
          <t>Stephen Hinde:</t>
        </r>
        <r>
          <rPr>
            <sz val="10"/>
            <color indexed="8"/>
            <rFont val="Tahoma"/>
            <family val="2"/>
          </rPr>
          <t xml:space="preserve">
</t>
        </r>
        <r>
          <rPr>
            <sz val="10"/>
            <color indexed="8"/>
            <rFont val="Tahoma"/>
            <family val="2"/>
          </rPr>
          <t xml:space="preserve">Nominal ACP distance
</t>
        </r>
        <r>
          <rPr>
            <sz val="10"/>
            <color indexed="8"/>
            <rFont val="Tahoma"/>
            <family val="2"/>
          </rPr>
          <t xml:space="preserve">
</t>
        </r>
        <r>
          <rPr>
            <sz val="10"/>
            <color indexed="8"/>
            <rFont val="Tahoma"/>
            <family val="2"/>
          </rPr>
          <t>eg 200, 300, 400, 600</t>
        </r>
      </text>
    </comment>
    <comment ref="B2" authorId="1" shapeId="0" xr:uid="{00000000-0006-0000-0000-000002000000}">
      <text>
        <r>
          <rPr>
            <sz val="8"/>
            <color indexed="8"/>
            <rFont val="Tahoma"/>
            <family val="2"/>
          </rPr>
          <t>Partial result of closing time calculation to avoid limitation of only 7 nested functions</t>
        </r>
      </text>
    </comment>
    <comment ref="B4" authorId="0" shapeId="0" xr:uid="{00000000-0006-0000-0000-000003000000}">
      <text>
        <r>
          <rPr>
            <b/>
            <sz val="10"/>
            <color indexed="8"/>
            <rFont val="Tahoma"/>
            <family val="2"/>
          </rPr>
          <t>Stephen Hinde:</t>
        </r>
        <r>
          <rPr>
            <sz val="10"/>
            <color indexed="8"/>
            <rFont val="Tahoma"/>
            <family val="2"/>
          </rPr>
          <t xml:space="preserve">
</t>
        </r>
        <r>
          <rPr>
            <sz val="10"/>
            <color indexed="8"/>
            <rFont val="Tahoma"/>
            <family val="2"/>
          </rPr>
          <t>On event page</t>
        </r>
      </text>
    </comment>
    <comment ref="B5" authorId="0" shapeId="0" xr:uid="{00000000-0006-0000-0000-000004000000}">
      <text>
        <r>
          <rPr>
            <b/>
            <sz val="10"/>
            <color indexed="8"/>
            <rFont val="Tahoma"/>
            <family val="2"/>
          </rPr>
          <t>Stephen Hinde:</t>
        </r>
        <r>
          <rPr>
            <sz val="10"/>
            <color indexed="8"/>
            <rFont val="Tahoma"/>
            <family val="2"/>
          </rPr>
          <t xml:space="preserve">
</t>
        </r>
        <r>
          <rPr>
            <sz val="10"/>
            <color indexed="8"/>
            <rFont val="Tahoma"/>
            <family val="2"/>
          </rPr>
          <t>Official ACP date</t>
        </r>
      </text>
    </comment>
    <comment ref="B7" authorId="0" shapeId="0" xr:uid="{C28DAFA5-7D9A-4CF7-BE94-E3C349400A1A}">
      <text>
        <r>
          <rPr>
            <b/>
            <sz val="10"/>
            <color rgb="FF000000"/>
            <rFont val="Tahoma"/>
            <family val="2"/>
          </rPr>
          <t>Stephen Hinde:</t>
        </r>
        <r>
          <rPr>
            <sz val="10"/>
            <color rgb="FF000000"/>
            <rFont val="Tahoma"/>
            <family val="2"/>
          </rPr>
          <t xml:space="preserve">
</t>
        </r>
        <r>
          <rPr>
            <sz val="10"/>
            <color rgb="FF000000"/>
            <rFont val="Tahoma"/>
            <family val="2"/>
          </rPr>
          <t xml:space="preserve">Actual date
</t>
        </r>
        <r>
          <rPr>
            <sz val="10"/>
            <color rgb="FF000000"/>
            <rFont val="Tahoma"/>
            <family val="2"/>
          </rPr>
          <t xml:space="preserve">
</t>
        </r>
        <r>
          <rPr>
            <sz val="10"/>
            <color rgb="FF000000"/>
            <rFont val="Tahoma"/>
            <family val="2"/>
          </rPr>
          <t>Recommend using Schedule date</t>
        </r>
      </text>
    </comment>
  </commentList>
</comments>
</file>

<file path=xl/sharedStrings.xml><?xml version="1.0" encoding="utf-8"?>
<sst xmlns="http://schemas.openxmlformats.org/spreadsheetml/2006/main" count="218" uniqueCount="124">
  <si>
    <t>Start time</t>
  </si>
  <si>
    <t>Finish time</t>
  </si>
  <si>
    <t>Elapsed time</t>
  </si>
  <si>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</si>
  <si>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</si>
  <si>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</si>
  <si>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</si>
  <si>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</si>
  <si>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</si>
  <si>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</si>
  <si>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</si>
  <si>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</si>
  <si>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</si>
  <si>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</si>
  <si>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</si>
  <si>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</si>
  <si>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</si>
  <si>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</si>
  <si>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</si>
  <si>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</si>
  <si>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</si>
  <si>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</si>
  <si>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</si>
  <si>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</si>
  <si>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</si>
  <si>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</si>
  <si>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</si>
  <si>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</si>
  <si>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</si>
  <si>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t>
  </si>
  <si>
    <t>DIST (km)</t>
  </si>
  <si>
    <t>Establishment</t>
  </si>
  <si>
    <t>Time of Passage</t>
  </si>
  <si>
    <t>Control Card</t>
  </si>
  <si>
    <t>Name</t>
  </si>
  <si>
    <t>Address</t>
  </si>
  <si>
    <t>City</t>
  </si>
  <si>
    <t>Province/State</t>
  </si>
  <si>
    <t>Country</t>
  </si>
  <si>
    <t>Postal Code</t>
  </si>
  <si>
    <t>Telephone</t>
  </si>
  <si>
    <t>email</t>
  </si>
  <si>
    <t>Randonneur Committee Authorization</t>
  </si>
  <si>
    <t>Report results or abandonment through registration email link</t>
  </si>
  <si>
    <r>
      <t xml:space="preserve">Please </t>
    </r>
    <r>
      <rPr>
        <b/>
        <i/>
        <sz val="16"/>
        <rFont val="Arial"/>
        <family val="2"/>
      </rPr>
      <t>answer questions</t>
    </r>
    <r>
      <rPr>
        <i/>
        <sz val="16"/>
        <rFont val="Arial"/>
        <family val="2"/>
      </rPr>
      <t xml:space="preserve"> and</t>
    </r>
    <r>
      <rPr>
        <b/>
        <i/>
        <sz val="16"/>
        <rFont val="Arial"/>
        <family val="2"/>
      </rPr>
      <t xml:space="preserve"> note time of day</t>
    </r>
  </si>
  <si>
    <t>Start Date</t>
  </si>
  <si>
    <t>Finish Date</t>
  </si>
  <si>
    <t>Member #</t>
  </si>
  <si>
    <t xml:space="preserve">Brevet No. </t>
  </si>
  <si>
    <t>Schedule date:</t>
  </si>
  <si>
    <t>Single</t>
  </si>
  <si>
    <t>Tandem</t>
  </si>
  <si>
    <t>Fixed</t>
  </si>
  <si>
    <t>Recumbent</t>
  </si>
  <si>
    <t>Velomobile</t>
  </si>
  <si>
    <t>(only add if change needed to database)</t>
  </si>
  <si>
    <t>Founding member of LES RANDONNEURS MONDIAUX (1983)</t>
  </si>
  <si>
    <t>Bicycle Type
Circle one</t>
  </si>
  <si>
    <t>-------&gt;</t>
  </si>
  <si>
    <t>Ride Day Emergency Contact</t>
  </si>
  <si>
    <t>Signature/Answer</t>
  </si>
  <si>
    <t>Control Card #1</t>
  </si>
  <si>
    <t>Control Card #2</t>
  </si>
  <si>
    <t>Complete ride details on Card #1</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</si>
  <si>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</si>
  <si>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</si>
  <si>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</si>
  <si>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</si>
  <si>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</si>
  <si>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</si>
  <si>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</si>
  <si>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</si>
  <si>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</si>
  <si>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Enter the start date.  This will always be the same as the schedule date, unless a ride window has been enabled.</t>
  </si>
  <si>
    <t>Enter the start time.  This will always be the official ACP listed start time found on the event page, unless a ride window has been enabled.</t>
  </si>
  <si>
    <t>Fill in the control distance.  The opening and closing times will be automatically calculated based on the start time and the brevet distance.  If you need more than 10 controls, use card #2, otherwise leave that section blank.</t>
  </si>
  <si>
    <t>Fill in the Locale (city) for each control.  Establishment 1, 2, and 3 can be used to describe the control itself eg Locale Hope  Est.1 Dairy Queen Est.2 817 Water Ave Est. 3 (leaft blank)</t>
  </si>
  <si>
    <t>When using information controls, you can put your question in the Signature/Answer section eg Sig/Ans.1 Sign on main door  Sig/Ans. 2  This week's special is?  Sig/Ans. 3 ________________</t>
  </si>
  <si>
    <t>Control Card #1 Information Control Question (optional)</t>
  </si>
  <si>
    <t>Note:  Control Card #1 will only show '#1' if a distance is entered into the first distance box for Control Card #2</t>
  </si>
  <si>
    <t>Control Card #2 Information Control Question (optional)</t>
  </si>
  <si>
    <t>Abbey Road 300</t>
  </si>
  <si>
    <t>LM300-1</t>
  </si>
  <si>
    <t>07/03/2021</t>
  </si>
  <si>
    <t>Blue wildlife sign</t>
  </si>
  <si>
    <t xml:space="preserve">Thanks for waiting 'til the </t>
  </si>
  <si>
    <t>Westminister Abbey</t>
  </si>
  <si>
    <t>Chapel at end of road,</t>
  </si>
  <si>
    <t>3695 Lougheed Hwy</t>
  </si>
  <si>
    <t>McDonald's Entrance</t>
  </si>
  <si>
    <t>engraved on door</t>
  </si>
  <si>
    <t>"Ingredere __ __"</t>
  </si>
  <si>
    <t xml:space="preserve">McConnell Creek </t>
  </si>
  <si>
    <t>Farmer's Institute</t>
  </si>
  <si>
    <t>35483 Hartley Rd</t>
  </si>
  <si>
    <t>titled "The __?</t>
  </si>
  <si>
    <t>Pitt Meadows</t>
  </si>
  <si>
    <t>TransCan Trail</t>
  </si>
  <si>
    <t>__ __ __ __</t>
  </si>
  <si>
    <t>Majuba Hill Rd</t>
  </si>
  <si>
    <t>Crescent Beach</t>
  </si>
  <si>
    <t>Mud Bay Path end</t>
  </si>
  <si>
    <t>Danger ___</t>
  </si>
  <si>
    <t>area closed</t>
  </si>
  <si>
    <t>Sign at Beach Grove Rd</t>
  </si>
  <si>
    <t>Millenium Trail</t>
  </si>
  <si>
    <t>Blue plaque on right</t>
  </si>
  <si>
    <t>before bridge</t>
  </si>
  <si>
    <t>Trail completed ___</t>
  </si>
  <si>
    <t>SteamWorks Taproom</t>
  </si>
  <si>
    <t>On door</t>
  </si>
  <si>
    <t>Protected by ____</t>
  </si>
  <si>
    <t>Custom security</t>
  </si>
  <si>
    <t>Café/Day Care/</t>
  </si>
  <si>
    <t>Mini Mart/____</t>
  </si>
  <si>
    <t>Who to call to book Hall?</t>
  </si>
  <si>
    <t># of Zap Straps on post?</t>
  </si>
  <si>
    <t>Stop sign on left</t>
  </si>
  <si>
    <t>&amp; Bowman Rd</t>
  </si>
  <si>
    <t xml:space="preserve">Sign for "The Station": </t>
  </si>
  <si>
    <t>Sumas Mtn &amp; McKee Rd</t>
  </si>
  <si>
    <t>End of Beecher St</t>
  </si>
  <si>
    <t xml:space="preserve">Info Sign on Left </t>
  </si>
  <si>
    <t>Park Closed ___ to 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</si>
</sst>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
  </numFmts>
  <fonts count="28" x14ac:knownFonts="1">
    <font>
      <sz val="10"/>
      <name val="Arial"/>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i/>
      <sz val="14"/>
      <name val="Arial"/>
      <family val="2"/>
    </font>
    <font>
      <sz val="18"/>
      <name val="Arial"/>
      <family val="2"/>
    </font>
    <font>
      <sz val="14"/>
      <name val="Arial Narrow"/>
      <family val="2"/>
    </font>
    <font>
      <b/>
      <sz val="14"/>
      <name val="Arial Narrow"/>
      <family val="2"/>
    </font>
    <font>
      <b/>
      <sz val="16"/>
      <name val="Arial Narrow"/>
      <family val="2"/>
    </font>
    <font>
      <sz val="8"/>
      <name val="Arial"/>
      <family val="2"/>
    </font>
    <font>
      <b/>
      <sz val="16"/>
      <name val="Arial"/>
      <family val="2"/>
    </font>
    <font>
      <sz val="8"/>
      <color indexed="8"/>
      <name val="Tahoma"/>
      <family val="2"/>
    </font>
    <font>
      <i/>
      <sz val="16"/>
      <name val="Arial"/>
      <family val="2"/>
    </font>
    <font>
      <b/>
      <i/>
      <sz val="16"/>
      <name val="Arial"/>
      <family val="2"/>
    </font>
    <font>
      <sz val="16"/>
      <name val="Arial Narrow"/>
      <family val="2"/>
    </font>
    <font>
      <sz val="20"/>
      <color indexed="47"/>
      <name val="Impact"/>
      <family val="2"/>
    </font>
    <font>
      <sz val="10"/>
      <color indexed="8"/>
      <name val="Tahoma"/>
      <family val="2"/>
    </font>
    <font>
      <b/>
      <sz val="10"/>
      <color indexed="8"/>
      <name val="Tahoma"/>
      <family val="2"/>
    </font>
    <font>
      <sz val="10"/>
      <name val="Arial Narrow"/>
      <family val="2"/>
    </font>
    <font>
      <sz val="10"/>
      <color indexed="10"/>
      <name val="Arial"/>
      <family val="2"/>
    </font>
    <font>
      <sz val="12"/>
      <name val="Arial Narrow"/>
      <family val="2"/>
    </font>
    <font>
      <sz val="11"/>
      <color theme="1"/>
      <name val="Calibri"/>
      <family val="2"/>
      <scheme val="minor"/>
    </font>
    <font>
      <sz val="12"/>
      <color theme="1"/>
      <name val="Calibri"/>
      <family val="2"/>
      <scheme val="minor"/>
    </font>
    <font>
      <b/>
      <sz val="10"/>
      <color rgb="FF000000"/>
      <name val="Tahoma"/>
      <family val="2"/>
    </font>
    <font>
      <sz val="10"/>
      <color rgb="FF000000"/>
      <name val="Tahoma"/>
      <family val="2"/>
    </font>
  </fonts>
  <fills count="3">
    <fill>
      <patternFill patternType="none"/>
    </fill>
    <fill>
      <patternFill patternType="gray125"/>
    </fill>
    <fill>
      <patternFill patternType="solid">
        <fgColor indexed="22"/>
        <bgColor indexed="64"/>
      </patternFill>
    </fill>
  </fills>
  <borders count="27">
    <border>
      <left/>
      <right/>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xf numFmtId="0" fontId="24" fillId="0" borderId="0"/>
    <xf numFmtId="0" fontId="25" fillId="0" borderId="0"/>
    <xf numFmtId="0" fontId="25" fillId="0" borderId="0"/>
    <xf numFmtId="0" fontId="25" fillId="0" borderId="0"/>
    <xf numFmtId="0" fontId="25" fillId="0" borderId="0"/>
    <xf numFmtId="0" fontId="1" fillId="0" borderId="0"/>
  </cellStyleXfs>
  <cellXfs count="136">
    <xf numFmtId="0" fontId="0" fillId="0" borderId="0" xfId="0"/>
    <xf numFmtId="0" fontId="0" fillId="0" borderId="1" xfId="0" applyBorder="1"/>
    <xf numFmtId="0" fontId="0" fillId="0" borderId="0" xfId="0" applyAlignment="1">
      <alignment horizontal="right"/>
    </xf>
    <xf numFmtId="0" fontId="0" fillId="0" borderId="0" xfId="0" applyProtection="1">
      <protection hidden="1"/>
    </xf>
    <xf numFmtId="164" fontId="0" fillId="0" borderId="0" xfId="0" applyNumberFormat="1" applyBorder="1"/>
    <xf numFmtId="164" fontId="0" fillId="0" borderId="0" xfId="0" applyNumberFormat="1" applyBorder="1" applyAlignment="1">
      <alignment horizontal="center" vertical="center" wrapText="1"/>
    </xf>
    <xf numFmtId="0" fontId="0" fillId="2" borderId="2" xfId="0" applyFill="1" applyBorder="1"/>
    <xf numFmtId="0" fontId="0" fillId="2" borderId="3" xfId="0" applyFill="1" applyBorder="1"/>
    <xf numFmtId="0" fontId="0" fillId="2" borderId="4" xfId="0" applyFill="1" applyBorder="1"/>
    <xf numFmtId="0" fontId="3" fillId="2" borderId="5" xfId="0" applyFont="1" applyFill="1" applyBorder="1" applyAlignment="1">
      <alignment horizontal="center"/>
    </xf>
    <xf numFmtId="0" fontId="3" fillId="0" borderId="1" xfId="0" applyFont="1" applyBorder="1" applyAlignment="1">
      <alignment horizontal="center" wrapText="1"/>
    </xf>
    <xf numFmtId="0" fontId="3" fillId="0" borderId="6" xfId="0" applyFont="1" applyBorder="1"/>
    <xf numFmtId="0" fontId="0" fillId="2" borderId="6" xfId="0" applyFill="1" applyBorder="1" applyAlignment="1">
      <alignment horizontal="right"/>
    </xf>
    <xf numFmtId="0" fontId="0" fillId="2" borderId="7" xfId="0" applyFill="1" applyBorder="1" applyAlignment="1">
      <alignment horizontal="right"/>
    </xf>
    <xf numFmtId="0" fontId="0" fillId="2" borderId="8" xfId="0" applyFill="1" applyBorder="1" applyAlignment="1">
      <alignment horizontal="right"/>
    </xf>
    <xf numFmtId="0" fontId="0" fillId="2" borderId="9" xfId="0" applyFill="1" applyBorder="1"/>
    <xf numFmtId="0" fontId="0" fillId="0" borderId="0" xfId="0" applyAlignment="1">
      <alignment vertical="top" textRotation="90"/>
    </xf>
    <xf numFmtId="0" fontId="6" fillId="0" borderId="0" xfId="0" applyFont="1"/>
    <xf numFmtId="0" fontId="0" fillId="0" borderId="10" xfId="0" applyBorder="1"/>
    <xf numFmtId="0" fontId="0" fillId="0" borderId="11" xfId="0" applyBorder="1"/>
    <xf numFmtId="0" fontId="0" fillId="0" borderId="12" xfId="0" applyBorder="1"/>
    <xf numFmtId="0" fontId="6" fillId="0" borderId="10" xfId="0" applyFont="1" applyBorder="1" applyProtection="1">
      <protection locked="0"/>
    </xf>
    <xf numFmtId="0" fontId="0" fillId="0" borderId="10" xfId="0" applyBorder="1" applyProtection="1">
      <protection locked="0"/>
    </xf>
    <xf numFmtId="0" fontId="6" fillId="0" borderId="10" xfId="0" applyFont="1" applyBorder="1" applyProtection="1"/>
    <xf numFmtId="0" fontId="6" fillId="0" borderId="0" xfId="0" applyFont="1" applyProtection="1"/>
    <xf numFmtId="0" fontId="0" fillId="0" borderId="0" xfId="0" applyProtection="1"/>
    <xf numFmtId="0" fontId="0" fillId="0" borderId="10" xfId="0" applyBorder="1" applyProtection="1"/>
    <xf numFmtId="0" fontId="0" fillId="0" borderId="13" xfId="0" applyBorder="1" applyProtection="1"/>
    <xf numFmtId="0" fontId="0" fillId="0" borderId="14" xfId="0" applyBorder="1" applyProtection="1"/>
    <xf numFmtId="0" fontId="0" fillId="0" borderId="0" xfId="0" applyBorder="1" applyProtection="1"/>
    <xf numFmtId="0" fontId="0" fillId="0" borderId="15" xfId="0" applyBorder="1" applyProtection="1"/>
    <xf numFmtId="0" fontId="0" fillId="0" borderId="16" xfId="0" applyBorder="1" applyProtection="1"/>
    <xf numFmtId="0" fontId="0" fillId="0" borderId="0" xfId="0" applyBorder="1" applyAlignment="1" applyProtection="1">
      <alignment horizontal="centerContinuous"/>
      <protection hidden="1"/>
    </xf>
    <xf numFmtId="0" fontId="0" fillId="0" borderId="0" xfId="0" applyBorder="1" applyAlignment="1">
      <alignment horizontal="centerContinuous"/>
    </xf>
    <xf numFmtId="167" fontId="0" fillId="0" borderId="17" xfId="0" applyNumberFormat="1" applyBorder="1" applyProtection="1">
      <protection locked="0"/>
    </xf>
    <xf numFmtId="0" fontId="0" fillId="0" borderId="0" xfId="0" applyBorder="1" applyAlignment="1">
      <alignment horizontal="center"/>
    </xf>
    <xf numFmtId="0" fontId="0" fillId="0" borderId="0" xfId="0" applyBorder="1"/>
    <xf numFmtId="0" fontId="4" fillId="0" borderId="10" xfId="0" applyFont="1" applyBorder="1" applyProtection="1"/>
    <xf numFmtId="0" fontId="8" fillId="0" borderId="10" xfId="0" applyFont="1" applyBorder="1" applyProtection="1"/>
    <xf numFmtId="167" fontId="9" fillId="0" borderId="1" xfId="0" applyNumberFormat="1" applyFont="1" applyBorder="1" applyAlignment="1">
      <alignment horizontal="center" wrapText="1"/>
    </xf>
    <xf numFmtId="166" fontId="9" fillId="0" borderId="1" xfId="0" applyNumberFormat="1" applyFont="1" applyBorder="1" applyAlignment="1">
      <alignment horizontal="center" vertical="center" wrapText="1"/>
    </xf>
    <xf numFmtId="0" fontId="9" fillId="0" borderId="15" xfId="0" applyFont="1" applyBorder="1" applyAlignment="1">
      <alignment horizontal="center" vertical="center"/>
    </xf>
    <xf numFmtId="0" fontId="10" fillId="0" borderId="1" xfId="0" applyFont="1" applyBorder="1" applyAlignment="1">
      <alignment horizontal="center" vertical="center" wrapText="1"/>
    </xf>
    <xf numFmtId="167" fontId="9" fillId="0" borderId="6" xfId="0" applyNumberFormat="1" applyFont="1" applyBorder="1"/>
    <xf numFmtId="165" fontId="9" fillId="0" borderId="6" xfId="0" applyNumberFormat="1" applyFont="1" applyBorder="1" applyAlignment="1">
      <alignment horizontal="center" vertical="center" wrapText="1"/>
    </xf>
    <xf numFmtId="0" fontId="9" fillId="0" borderId="10" xfId="0" applyFont="1" applyBorder="1" applyAlignment="1">
      <alignment horizontal="center" vertical="center"/>
    </xf>
    <xf numFmtId="0" fontId="10" fillId="0" borderId="6" xfId="0" applyFont="1" applyBorder="1" applyAlignment="1">
      <alignment horizontal="center" vertical="center" wrapText="1"/>
    </xf>
    <xf numFmtId="0" fontId="9" fillId="0" borderId="1" xfId="0" applyFont="1" applyBorder="1" applyAlignment="1">
      <alignment horizontal="center" vertical="center"/>
    </xf>
    <xf numFmtId="167" fontId="11" fillId="0" borderId="1" xfId="0" applyNumberFormat="1" applyFont="1" applyBorder="1" applyAlignment="1">
      <alignment horizontal="center" vertical="center"/>
    </xf>
    <xf numFmtId="18"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167" fontId="8" fillId="0" borderId="0" xfId="0" applyNumberFormat="1" applyFont="1" applyAlignment="1">
      <alignment vertical="top"/>
    </xf>
    <xf numFmtId="0" fontId="5" fillId="0" borderId="0" xfId="0" applyFont="1" applyAlignment="1">
      <alignment horizontal="left" vertical="center"/>
    </xf>
    <xf numFmtId="0" fontId="6" fillId="0" borderId="0" xfId="0" applyFont="1" applyAlignment="1">
      <alignment horizontal="left" vertical="center" wrapText="1"/>
    </xf>
    <xf numFmtId="0" fontId="7" fillId="0" borderId="0" xfId="0" applyFont="1" applyAlignment="1">
      <alignment horizontal="center" vertical="justify"/>
    </xf>
    <xf numFmtId="0" fontId="6" fillId="0" borderId="0" xfId="0" applyFont="1" applyBorder="1" applyAlignment="1" applyProtection="1">
      <alignment horizontal="right"/>
    </xf>
    <xf numFmtId="0" fontId="0" fillId="2" borderId="18" xfId="0" applyFill="1" applyBorder="1" applyAlignment="1">
      <alignment horizontal="right"/>
    </xf>
    <xf numFmtId="0" fontId="6" fillId="0" borderId="19" xfId="0" applyFont="1" applyBorder="1" applyProtection="1"/>
    <xf numFmtId="0" fontId="6" fillId="0" borderId="0" xfId="0" applyFont="1" applyBorder="1" applyAlignment="1" applyProtection="1">
      <alignment horizontal="left"/>
    </xf>
    <xf numFmtId="0" fontId="6" fillId="0" borderId="0" xfId="0" applyFont="1" applyAlignment="1" applyProtection="1"/>
    <xf numFmtId="0" fontId="1" fillId="2" borderId="8" xfId="0" applyFont="1" applyFill="1" applyBorder="1" applyAlignment="1">
      <alignment horizontal="right"/>
    </xf>
    <xf numFmtId="168" fontId="6" fillId="0" borderId="0" xfId="0" applyNumberFormat="1" applyFont="1" applyBorder="1" applyAlignment="1">
      <alignment horizontal="center"/>
    </xf>
    <xf numFmtId="0" fontId="6" fillId="0" borderId="0" xfId="0" quotePrefix="1" applyFont="1" applyAlignment="1">
      <alignment horizontal="right" vertical="center"/>
    </xf>
    <xf numFmtId="0" fontId="6" fillId="0" borderId="0" xfId="0" applyFont="1" applyAlignment="1">
      <alignment vertical="center"/>
    </xf>
    <xf numFmtId="167" fontId="0" fillId="0" borderId="20" xfId="0" applyNumberFormat="1" applyBorder="1" applyProtection="1">
      <protection locked="0"/>
    </xf>
    <xf numFmtId="0" fontId="18" fillId="0" borderId="10" xfId="0" applyFont="1" applyBorder="1" applyProtection="1"/>
    <xf numFmtId="0" fontId="6" fillId="0" borderId="21" xfId="0" applyFont="1" applyBorder="1"/>
    <xf numFmtId="0" fontId="10" fillId="0" borderId="1" xfId="0" applyFont="1" applyBorder="1" applyAlignment="1">
      <alignment horizontal="center" vertical="top" wrapText="1"/>
    </xf>
    <xf numFmtId="0" fontId="2" fillId="0" borderId="0" xfId="0" applyFont="1" applyBorder="1" applyAlignment="1" applyProtection="1">
      <alignment wrapText="1"/>
    </xf>
    <xf numFmtId="0" fontId="6" fillId="0" borderId="0" xfId="0" applyFont="1" applyBorder="1"/>
    <xf numFmtId="0" fontId="6" fillId="0" borderId="0" xfId="0" applyFont="1" applyBorder="1" applyProtection="1"/>
    <xf numFmtId="0" fontId="6" fillId="0" borderId="0" xfId="0" applyFont="1" applyAlignment="1">
      <alignment horizontal="center"/>
    </xf>
    <xf numFmtId="0" fontId="6" fillId="0" borderId="0" xfId="0" applyFont="1" applyBorder="1" applyAlignment="1">
      <alignment horizontal="center"/>
    </xf>
    <xf numFmtId="0" fontId="3" fillId="0" borderId="10" xfId="0" applyFont="1" applyFill="1" applyBorder="1" applyAlignment="1">
      <alignment horizontal="center" wrapText="1"/>
    </xf>
    <xf numFmtId="169" fontId="3" fillId="0" borderId="10" xfId="0" applyNumberFormat="1" applyFont="1" applyFill="1" applyBorder="1" applyAlignment="1">
      <alignment horizontal="left" wrapText="1"/>
    </xf>
    <xf numFmtId="168" fontId="6" fillId="0" borderId="10" xfId="0" applyNumberFormat="1" applyFont="1" applyBorder="1" applyAlignment="1">
      <alignment horizontal="center"/>
    </xf>
    <xf numFmtId="18" fontId="17" fillId="0" borderId="0" xfId="0" applyNumberFormat="1" applyFont="1" applyBorder="1" applyAlignment="1">
      <alignment horizontal="center" wrapText="1"/>
    </xf>
    <xf numFmtId="0" fontId="0" fillId="0" borderId="10" xfId="0" applyBorder="1" applyAlignment="1" applyProtection="1">
      <alignment horizontal="left"/>
    </xf>
    <xf numFmtId="169" fontId="8" fillId="0" borderId="10" xfId="0" applyNumberFormat="1" applyFont="1" applyBorder="1" applyAlignment="1" applyProtection="1">
      <alignment horizontal="center"/>
    </xf>
    <xf numFmtId="169" fontId="6" fillId="0" borderId="10" xfId="0" applyNumberFormat="1" applyFont="1" applyBorder="1" applyAlignment="1" applyProtection="1">
      <alignment horizontal="center"/>
    </xf>
    <xf numFmtId="0" fontId="6" fillId="0" borderId="0" xfId="0" applyNumberFormat="1" applyFont="1" applyBorder="1" applyAlignment="1" applyProtection="1">
      <alignment horizontal="left" vertical="center"/>
    </xf>
    <xf numFmtId="169" fontId="6" fillId="0" borderId="0" xfId="0" applyNumberFormat="1" applyFont="1" applyBorder="1" applyAlignment="1" applyProtection="1">
      <alignment horizontal="left" vertical="center"/>
    </xf>
    <xf numFmtId="0" fontId="5" fillId="0" borderId="0" xfId="0" applyFont="1" applyBorder="1" applyAlignment="1">
      <alignment horizontal="center" wrapText="1"/>
    </xf>
    <xf numFmtId="0" fontId="21" fillId="2" borderId="3" xfId="0" applyFont="1" applyFill="1" applyBorder="1"/>
    <xf numFmtId="0" fontId="21" fillId="2" borderId="4" xfId="0" applyFont="1" applyFill="1" applyBorder="1"/>
    <xf numFmtId="167" fontId="0" fillId="0" borderId="21" xfId="0" applyNumberFormat="1" applyBorder="1" applyProtection="1">
      <protection locked="0"/>
    </xf>
    <xf numFmtId="0" fontId="9" fillId="0" borderId="10" xfId="0" applyFont="1" applyBorder="1" applyProtection="1">
      <protection locked="0"/>
    </xf>
    <xf numFmtId="49" fontId="9" fillId="0" borderId="10" xfId="0" applyNumberFormat="1" applyFont="1" applyBorder="1" applyAlignment="1" applyProtection="1">
      <alignment horizontal="center"/>
      <protection locked="0"/>
    </xf>
    <xf numFmtId="49" fontId="9" fillId="0" borderId="16" xfId="0" applyNumberFormat="1" applyFont="1" applyBorder="1" applyAlignment="1" applyProtection="1">
      <alignment horizontal="center"/>
      <protection locked="0"/>
    </xf>
    <xf numFmtId="0" fontId="9" fillId="0" borderId="22" xfId="0" applyFont="1" applyBorder="1" applyProtection="1">
      <protection locked="0"/>
    </xf>
    <xf numFmtId="0" fontId="9" fillId="0" borderId="19" xfId="0" applyFont="1" applyBorder="1" applyAlignment="1"/>
    <xf numFmtId="0" fontId="9" fillId="0" borderId="4" xfId="0" applyFont="1" applyBorder="1" applyAlignment="1"/>
    <xf numFmtId="0" fontId="22" fillId="0" borderId="0" xfId="0" applyFont="1"/>
    <xf numFmtId="0" fontId="0" fillId="0" borderId="0" xfId="0" applyFont="1"/>
    <xf numFmtId="0" fontId="3" fillId="2" borderId="5" xfId="0" applyFont="1" applyFill="1" applyBorder="1" applyAlignment="1">
      <alignment horizontal="center" vertical="center" wrapText="1"/>
    </xf>
    <xf numFmtId="0" fontId="1" fillId="0" borderId="23" xfId="0" applyFont="1" applyBorder="1" applyProtection="1">
      <protection locked="0"/>
    </xf>
    <xf numFmtId="49" fontId="1" fillId="0" borderId="23" xfId="0" applyNumberFormat="1" applyFont="1" applyBorder="1" applyAlignment="1" applyProtection="1">
      <alignment horizontal="center"/>
      <protection locked="0"/>
    </xf>
    <xf numFmtId="49" fontId="1" fillId="0" borderId="9" xfId="0" applyNumberFormat="1" applyFont="1" applyBorder="1" applyAlignment="1" applyProtection="1">
      <alignment horizontal="center"/>
      <protection locked="0"/>
    </xf>
    <xf numFmtId="0" fontId="10" fillId="0" borderId="6" xfId="0" applyFont="1" applyBorder="1" applyAlignment="1">
      <alignment horizontal="center" wrapText="1"/>
    </xf>
    <xf numFmtId="15" fontId="23" fillId="0" borderId="9" xfId="0" applyNumberFormat="1" applyFont="1" applyBorder="1" applyProtection="1">
      <protection locked="0"/>
    </xf>
    <xf numFmtId="1" fontId="23" fillId="0" borderId="9" xfId="0" applyNumberFormat="1" applyFont="1" applyBorder="1" applyProtection="1">
      <protection locked="0"/>
    </xf>
    <xf numFmtId="0" fontId="23" fillId="0" borderId="24" xfId="0" applyFont="1" applyBorder="1" applyAlignment="1"/>
    <xf numFmtId="20" fontId="23" fillId="0" borderId="16" xfId="0" applyNumberFormat="1" applyFont="1" applyBorder="1" applyProtection="1">
      <protection locked="0"/>
    </xf>
    <xf numFmtId="49" fontId="23" fillId="0" borderId="23" xfId="0" applyNumberFormat="1" applyFont="1" applyBorder="1" applyAlignment="1" applyProtection="1">
      <alignment horizontal="center"/>
      <protection locked="0"/>
    </xf>
    <xf numFmtId="49" fontId="23" fillId="0" borderId="9" xfId="0" applyNumberFormat="1" applyFont="1" applyBorder="1" applyAlignment="1" applyProtection="1">
      <alignment horizontal="center"/>
      <protection locked="0"/>
    </xf>
    <xf numFmtId="0" fontId="21" fillId="0" borderId="25" xfId="0" applyFont="1" applyBorder="1" applyProtection="1">
      <protection locked="0"/>
    </xf>
    <xf numFmtId="49" fontId="21" fillId="0" borderId="25" xfId="0" applyNumberFormat="1" applyFont="1" applyBorder="1" applyAlignment="1" applyProtection="1">
      <alignment horizontal="center"/>
      <protection locked="0"/>
    </xf>
    <xf numFmtId="49" fontId="21" fillId="0" borderId="26" xfId="0" applyNumberFormat="1" applyFont="1" applyBorder="1" applyAlignment="1" applyProtection="1">
      <alignment horizontal="center"/>
      <protection locked="0"/>
    </xf>
    <xf numFmtId="49" fontId="1" fillId="0" borderId="15" xfId="0" applyNumberFormat="1" applyFont="1" applyFill="1" applyBorder="1" applyAlignment="1" applyProtection="1">
      <alignment horizontal="center"/>
      <protection locked="0"/>
    </xf>
    <xf numFmtId="0" fontId="1" fillId="0" borderId="25" xfId="0" applyFont="1" applyBorder="1" applyProtection="1">
      <protection locked="0"/>
    </xf>
    <xf numFmtId="49" fontId="1" fillId="0" borderId="25" xfId="0" applyNumberFormat="1" applyFont="1" applyBorder="1" applyAlignment="1" applyProtection="1">
      <alignment horizontal="center"/>
      <protection locked="0"/>
    </xf>
    <xf numFmtId="49" fontId="1" fillId="0" borderId="26" xfId="0" applyNumberFormat="1" applyFont="1" applyBorder="1" applyAlignment="1" applyProtection="1">
      <alignment horizontal="center"/>
      <protection locked="0"/>
    </xf>
    <xf numFmtId="0" fontId="22" fillId="0" borderId="0" xfId="0" applyFont="1" applyAlignment="1">
      <alignment horizontal="right"/>
    </xf>
    <xf numFmtId="0" fontId="0" fillId="2" borderId="24" xfId="0" applyFill="1" applyBorder="1" applyAlignment="1">
      <alignment horizontal="center"/>
    </xf>
    <xf numFmtId="0" fontId="0" fillId="2" borderId="19" xfId="0" applyFill="1" applyBorder="1" applyAlignment="1">
      <alignment horizontal="center"/>
    </xf>
    <xf numFmtId="0" fontId="0" fillId="2" borderId="4" xfId="0" applyFill="1" applyBorder="1" applyAlignment="1">
      <alignment horizontal="center"/>
    </xf>
    <xf numFmtId="167" fontId="8" fillId="0" borderId="13" xfId="0" applyNumberFormat="1"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pplyProtection="1">
      <alignment horizontal="right" vertical="center"/>
    </xf>
    <xf numFmtId="0" fontId="2" fillId="0" borderId="13" xfId="0" applyFont="1" applyBorder="1" applyAlignment="1">
      <alignment horizontal="center" vertical="top"/>
    </xf>
    <xf numFmtId="18" fontId="17" fillId="0" borderId="10" xfId="0" applyNumberFormat="1" applyFont="1" applyBorder="1" applyAlignment="1">
      <alignment horizontal="center" wrapText="1"/>
    </xf>
    <xf numFmtId="0" fontId="13" fillId="0" borderId="0" xfId="0" applyFont="1" applyAlignment="1">
      <alignment horizontal="center" vertical="top"/>
    </xf>
    <xf numFmtId="0" fontId="13" fillId="0" borderId="0" xfId="0" applyFont="1" applyAlignment="1">
      <alignment horizontal="center"/>
    </xf>
    <xf numFmtId="168" fontId="6" fillId="0" borderId="0" xfId="0" applyNumberFormat="1" applyFont="1" applyBorder="1" applyAlignment="1">
      <alignment horizontal="left" vertical="center"/>
    </xf>
    <xf numFmtId="0" fontId="0" fillId="0" borderId="0" xfId="0" applyAlignment="1">
      <alignment horizontal="left" vertical="top"/>
    </xf>
    <xf numFmtId="0" fontId="6" fillId="0" borderId="10" xfId="0" applyFont="1" applyBorder="1" applyAlignment="1" applyProtection="1">
      <alignment horizontal="left"/>
    </xf>
    <xf numFmtId="0" fontId="15" fillId="0" borderId="10" xfId="0" applyFont="1" applyBorder="1" applyAlignment="1">
      <alignment horizontal="center" vertical="center"/>
    </xf>
    <xf numFmtId="0" fontId="5" fillId="0" borderId="0" xfId="0" applyFont="1" applyAlignment="1">
      <alignment horizontal="center"/>
    </xf>
    <xf numFmtId="0" fontId="6" fillId="0" borderId="10" xfId="0" applyFont="1" applyBorder="1"/>
    <xf numFmtId="0" fontId="2" fillId="0" borderId="0" xfId="0" applyFont="1" applyBorder="1" applyAlignment="1" applyProtection="1">
      <alignment horizontal="center" wrapText="1"/>
    </xf>
    <xf numFmtId="0" fontId="2" fillId="0" borderId="0" xfId="0" applyFont="1" applyBorder="1" applyAlignment="1" applyProtection="1">
      <alignment horizontal="center" vertical="top" wrapText="1"/>
    </xf>
    <xf numFmtId="0" fontId="6" fillId="0" borderId="0" xfId="0" applyFont="1" applyAlignment="1">
      <alignment horizontal="center"/>
    </xf>
    <xf numFmtId="0" fontId="6" fillId="0" borderId="10" xfId="0" applyFont="1" applyBorder="1" applyAlignment="1">
      <alignment horizontal="center"/>
    </xf>
    <xf numFmtId="0" fontId="0" fillId="0" borderId="10" xfId="0" applyBorder="1" applyAlignment="1">
      <alignment horizontal="center"/>
    </xf>
  </cellXfs>
  <cellStyles count="7">
    <cellStyle name="Normal" xfId="0" builtinId="0"/>
    <cellStyle name="Normal 2" xfId="1" xr:uid="{00000000-0005-0000-0000-000001000000}"/>
    <cellStyle name="Normal 3" xfId="2" xr:uid="{00000000-0005-0000-0000-000002000000}"/>
    <cellStyle name="Normal 3 2" xfId="3" xr:uid="{00000000-0005-0000-0000-000003000000}"/>
    <cellStyle name="Normal 3 2 2" xfId="4" xr:uid="{00000000-0005-0000-0000-000004000000}"/>
    <cellStyle name="Normal 3 2 3" xfId="5" xr:uid="{00000000-0005-0000-0000-000005000000}"/>
    <cellStyle name="Normal 4" xfId="6" xr:uid="{00000000-0005-0000-0000-000006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657225</xdr:colOff>
      <xdr:row>1</xdr:row>
      <xdr:rowOff>228600</xdr:rowOff>
    </xdr:from>
    <xdr:to>
      <xdr:col>11</xdr:col>
      <xdr:colOff>409576</xdr:colOff>
      <xdr:row>5</xdr:row>
      <xdr:rowOff>0</xdr:rowOff>
    </xdr:to>
    <xdr:pic>
      <xdr:nvPicPr>
        <xdr:cNvPr id="3073" name="Picture 3">
          <a:extLst>
            <a:ext uri="{FF2B5EF4-FFF2-40B4-BE49-F238E27FC236}">
              <a16:creationId xmlns:a16="http://schemas.microsoft.com/office/drawing/2014/main" id="{00000000-0008-0000-0100-0000010C0000}"/>
            </a:ext>
          </a:extLst>
        </xdr:cNvPr>
        <xdr:cNvPicPr>
          <a:picLocks noChangeAspect="1"/>
        </xdr:cNvPicPr>
      </xdr:nvPicPr>
      <xdr:blipFill>
        <a:blip xmlns:r="http://schemas.openxmlformats.org/officeDocument/2006/relationships" r:embed="rId1"/>
        <a:srcRect/>
        <a:stretch>
          <a:fillRect/>
        </a:stretch>
      </xdr:blipFill>
      <xdr:spPr bwMode="auto">
        <a:xfrm>
          <a:off x="9782175" y="495300"/>
          <a:ext cx="1733550" cy="15716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657225</xdr:colOff>
      <xdr:row>1</xdr:row>
      <xdr:rowOff>228600</xdr:rowOff>
    </xdr:from>
    <xdr:to>
      <xdr:col>11</xdr:col>
      <xdr:colOff>409575</xdr:colOff>
      <xdr:row>5</xdr:row>
      <xdr:rowOff>0</xdr:rowOff>
    </xdr:to>
    <xdr:pic>
      <xdr:nvPicPr>
        <xdr:cNvPr id="4097" name="Picture 1">
          <a:extLst>
            <a:ext uri="{FF2B5EF4-FFF2-40B4-BE49-F238E27FC236}">
              <a16:creationId xmlns:a16="http://schemas.microsoft.com/office/drawing/2014/main" id="{00000000-0008-0000-0200-000001100000}"/>
            </a:ext>
          </a:extLst>
        </xdr:cNvPr>
        <xdr:cNvPicPr>
          <a:picLocks noChangeAspect="1"/>
        </xdr:cNvPicPr>
      </xdr:nvPicPr>
      <xdr:blipFill>
        <a:blip xmlns:r="http://schemas.openxmlformats.org/officeDocument/2006/relationships" r:embed="rId1"/>
        <a:srcRect/>
        <a:stretch>
          <a:fillRect/>
        </a:stretch>
      </xdr:blipFill>
      <xdr:spPr bwMode="auto">
        <a:xfrm>
          <a:off x="9782175" y="495300"/>
          <a:ext cx="1733550" cy="15716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32"/>
  <sheetViews>
    <sheetView showGridLines="0" zoomScaleNormal="100" zoomScalePageLayoutView="135" workbookViewId="0">
      <selection activeCell="A17" sqref="A17"/>
    </sheetView>
  </sheetViews>
  <sheetFormatPr defaultColWidth="8.88671875" defaultRowHeight="13.2" x14ac:dyDescent="0.25"/>
  <cols>
    <col min="1" max="1" width="16.44140625" style="2" customWidth="1"/>
    <col min="2" max="2" width="9.88671875" bestFit="1" customWidth="1"/>
    <col min="3" max="3" width="0" style="3" hidden="1" customWidth="1"/>
    <col min="4" max="4" width="8.33203125" customWidth="1"/>
    <col min="5" max="5" width="17" bestFit="1" customWidth="1"/>
    <col min="6" max="6" width="18" bestFit="1" customWidth="1"/>
    <col min="7" max="7" width="22.109375" bestFit="1" customWidth="1"/>
    <col min="8" max="8" width="25.109375" bestFit="1" customWidth="1"/>
    <col min="9" max="11" width="31.109375" customWidth="1"/>
    <col min="12" max="12" width="17.33203125" hidden="1" customWidth="1"/>
    <col min="13" max="15" width="17.88671875" hidden="1" customWidth="1"/>
  </cols>
  <sheetData>
    <row r="1" spans="1:23" ht="18" x14ac:dyDescent="0.35">
      <c r="A1" s="13" t="s">
        <v>18</v>
      </c>
      <c r="B1" s="89">
        <v>300</v>
      </c>
      <c r="C1">
        <f>IF(Brevet_Length&gt;=1200,Brevet_Length,IF(Brevet_Length&gt;=1000,1000,IF(Brevet_Length&gt;=600,600,IF(Brevet_Length&gt;=400,400,IF(Brevet_Length&gt;=300,300,IF(Brevet_Length&gt;=200,200,100))))))</f>
        <v>300</v>
      </c>
      <c r="J1" s="112" t="s">
        <v>67</v>
      </c>
      <c r="K1" s="112"/>
      <c r="Q1" s="92" t="s">
        <v>68</v>
      </c>
      <c r="R1" s="92"/>
      <c r="S1" s="92"/>
      <c r="T1" s="92"/>
      <c r="U1" s="92"/>
      <c r="V1" s="92"/>
      <c r="W1" s="92"/>
    </row>
    <row r="2" spans="1:23" ht="13.8" thickBot="1" x14ac:dyDescent="0.3">
      <c r="A2" s="14" t="s">
        <v>19</v>
      </c>
      <c r="B2" s="15">
        <f>IF(brevet=1200,90,IF(brevet=1000,75,IF(brevet=600,40,IF(brevet=400,27,IF(brevet=300,20,IF(brevet=200,13.5,IF(brevet=100,7,0)))))))</f>
        <v>20</v>
      </c>
      <c r="Q2" t="s">
        <v>69</v>
      </c>
    </row>
    <row r="3" spans="1:23" ht="18.600000000000001" thickBot="1" x14ac:dyDescent="0.4">
      <c r="A3" s="14" t="s">
        <v>20</v>
      </c>
      <c r="B3" s="101" t="s">
        <v>81</v>
      </c>
      <c r="C3" s="90"/>
      <c r="D3" s="90"/>
      <c r="E3" s="90"/>
      <c r="F3" s="90"/>
      <c r="G3" s="90"/>
      <c r="H3" s="91"/>
      <c r="I3" s="35"/>
      <c r="J3" s="35"/>
      <c r="K3" s="35"/>
      <c r="O3" s="36"/>
      <c r="P3" s="36"/>
      <c r="Q3" s="92" t="s">
        <v>70</v>
      </c>
    </row>
    <row r="4" spans="1:23" ht="15.6" x14ac:dyDescent="0.3">
      <c r="A4" s="14" t="s">
        <v>21</v>
      </c>
      <c r="B4" s="100" t="s">
        <v>82</v>
      </c>
      <c r="C4" s="32"/>
      <c r="F4" s="33"/>
      <c r="G4" s="33"/>
      <c r="H4" s="33"/>
      <c r="I4" s="33"/>
      <c r="J4" s="33"/>
      <c r="K4" s="33"/>
      <c r="Q4" s="92" t="s">
        <v>71</v>
      </c>
    </row>
    <row r="5" spans="1:23" ht="15.6" x14ac:dyDescent="0.3">
      <c r="A5" s="60" t="s">
        <v>49</v>
      </c>
      <c r="B5" s="99" t="s">
        <v>83</v>
      </c>
      <c r="Q5" s="92" t="s">
        <v>72</v>
      </c>
    </row>
    <row r="6" spans="1:23" ht="6" customHeight="1" x14ac:dyDescent="0.25"/>
    <row r="7" spans="1:23" ht="16.2" thickBot="1" x14ac:dyDescent="0.35">
      <c r="A7" s="56" t="s">
        <v>22</v>
      </c>
      <c r="B7" s="99">
        <v>44380</v>
      </c>
      <c r="Q7" s="92" t="s">
        <v>73</v>
      </c>
    </row>
    <row r="8" spans="1:23" ht="16.2" thickBot="1" x14ac:dyDescent="0.35">
      <c r="A8" s="12" t="s">
        <v>23</v>
      </c>
      <c r="B8" s="102">
        <v>0.27083333333333331</v>
      </c>
      <c r="D8" s="113" t="s">
        <v>61</v>
      </c>
      <c r="E8" s="114"/>
      <c r="F8" s="114"/>
      <c r="G8" s="114"/>
      <c r="H8" s="114"/>
      <c r="I8" s="113" t="s">
        <v>78</v>
      </c>
      <c r="J8" s="114"/>
      <c r="K8" s="115"/>
      <c r="Q8" s="92" t="s">
        <v>74</v>
      </c>
    </row>
    <row r="9" spans="1:23" ht="14.4" thickBot="1" x14ac:dyDescent="0.35">
      <c r="D9" s="6" t="s">
        <v>24</v>
      </c>
      <c r="E9" s="7" t="s">
        <v>25</v>
      </c>
      <c r="F9" s="83" t="s">
        <v>26</v>
      </c>
      <c r="G9" s="83" t="s">
        <v>27</v>
      </c>
      <c r="H9" s="84" t="s">
        <v>28</v>
      </c>
      <c r="I9" s="7" t="s">
        <v>64</v>
      </c>
      <c r="J9" s="7" t="s">
        <v>65</v>
      </c>
      <c r="K9" s="8" t="s">
        <v>66</v>
      </c>
      <c r="L9" t="s">
        <v>3</v>
      </c>
      <c r="M9" t="s">
        <v>4</v>
      </c>
      <c r="N9" t="s">
        <v>5</v>
      </c>
      <c r="O9" t="s">
        <v>6</v>
      </c>
      <c r="Q9" s="92" t="s">
        <v>75</v>
      </c>
    </row>
    <row r="10" spans="1:23" ht="17.100000000000001" customHeight="1" x14ac:dyDescent="0.3">
      <c r="C10" s="3" t="s">
        <v>7</v>
      </c>
      <c r="D10" s="34">
        <v>0</v>
      </c>
      <c r="E10" s="95" t="s">
        <v>88</v>
      </c>
      <c r="F10" s="96" t="s">
        <v>89</v>
      </c>
      <c r="G10" s="96" t="s">
        <v>85</v>
      </c>
      <c r="H10" s="97" t="s">
        <v>98</v>
      </c>
      <c r="I10" s="103"/>
      <c r="J10" s="103"/>
      <c r="K10" s="104"/>
      <c r="L10" s="4">
        <f>Start_date+Start_time</f>
        <v>44380.270833333336</v>
      </c>
      <c r="M10" s="4">
        <f>L10+"1:00"</f>
        <v>44380.3125</v>
      </c>
      <c r="N10" s="5">
        <f>IF(ISBLANK(Distance),"",Open Control_1)</f>
        <v>44380.270833333336</v>
      </c>
      <c r="O10" s="5">
        <f>IF(ISBLANK(Distance),"",Close Control_1)</f>
        <v>44380.3125</v>
      </c>
      <c r="Q10" s="92" t="s">
        <v>76</v>
      </c>
    </row>
    <row r="11" spans="1:23" ht="17.100000000000001" customHeight="1" x14ac:dyDescent="0.3">
      <c r="C11" s="3" t="s">
        <v>8</v>
      </c>
      <c r="D11" s="34">
        <v>38</v>
      </c>
      <c r="E11" s="95" t="s">
        <v>96</v>
      </c>
      <c r="F11" s="96" t="s">
        <v>97</v>
      </c>
      <c r="G11" s="96" t="s">
        <v>84</v>
      </c>
      <c r="H11" s="97" t="s">
        <v>95</v>
      </c>
      <c r="I11" s="103"/>
      <c r="J11" s="103"/>
      <c r="K11" s="104"/>
      <c r="L11">
        <f>IF(ISBLANK(Distance),"",IF(Distance&gt;1000,(Distance-1000)/26+33.0847,(IF(Distance&gt;600,(Distance-600)/28+18.799,(IF(Distance&gt;400,(Distance-400)/30+12.1324,(IF(Distance&gt;200,(Distance-200)/32+5.8824,Distance/34))))))))</f>
        <v>1.1176470588235294</v>
      </c>
      <c r="M11">
        <f>IF(ISBLANK(Distance),"",IF(Distance&gt;=brevet,IF(brevet&gt;1200,(brevet-1200)*75/1000+90,Max_time),IF(Distance&gt;1200,(Distance-1200)*75/1000+90,IF(Distance&gt;1000,(Distance-1000)/(1000/75)+75,IF(Distance&gt;600,(Distance-600)/(400/35)+40,Distance/15)))))</f>
        <v>2.5333333333333332</v>
      </c>
      <c r="N11" s="5">
        <f>IF(ISBLANK(Distance),"",Open_time Control_1+(INT(Open)&amp;":"&amp;IF(ROUND(((Open-INT(Open))*60),0)&lt;10,0,"")&amp;ROUND(((Open-INT(Open))*60),0)))</f>
        <v>44380.317361111112</v>
      </c>
      <c r="O11" s="5">
        <f>IF(ISBLANK(Distance),"",Open_time Control_1+(INT(Close)&amp;":"&amp;IF(ROUND(((Close-INT(Close))*60),0)&lt;10,0,"")&amp;ROUND(((Close-INT(Close))*60),0)))</f>
        <v>44380.376388888893</v>
      </c>
      <c r="Q11" s="92" t="s">
        <v>77</v>
      </c>
    </row>
    <row r="12" spans="1:23" ht="17.100000000000001" customHeight="1" x14ac:dyDescent="0.3">
      <c r="C12" s="3" t="s">
        <v>9</v>
      </c>
      <c r="D12" s="34">
        <v>89</v>
      </c>
      <c r="E12" s="95" t="s">
        <v>94</v>
      </c>
      <c r="F12" s="96" t="s">
        <v>92</v>
      </c>
      <c r="G12" s="96" t="s">
        <v>93</v>
      </c>
      <c r="H12" s="97" t="s">
        <v>115</v>
      </c>
      <c r="I12" s="103"/>
      <c r="J12" s="103"/>
      <c r="K12" s="104"/>
      <c r="L12">
        <f>IF(ISBLANK(Distance),"",IF(Distance&gt;1000,(Distance-1000)/26+33.0847,(IF(Distance&gt;600,(Distance-600)/28+18.799,(IF(Distance&gt;400,(Distance-400)/30+12.1324,(IF(Distance&gt;200,(Distance-200)/32+5.8824,Distance/34))))))))</f>
        <v>2.6176470588235294</v>
      </c>
      <c r="M12">
        <f t="shared" ref="M12:M19" si="0">IF(ISBLANK(Distance),"",IF(Distance&gt;=brevet,IF(brevet&gt;1200,(brevet-1200)*75/1000+90,Max_time),IF(Distance&gt;1200,(Distance-1200)*75/1000+90,IF(Distance&gt;1000,(Distance-1000)/(1000/75)+75,IF(Distance&gt;600,(Distance-600)/(400/35)+40,Distance/15)))))</f>
        <v>5.9333333333333336</v>
      </c>
      <c r="N12" s="5">
        <f>IF(ISBLANK(Distance),"",Open_time Control_1+(INT(Open)&amp;":"&amp;IF(ROUND(((Open-INT(Open))*60),0)&lt;10,0,"")&amp;ROUND(((Open-INT(Open))*60),0)))</f>
        <v>44380.379861111112</v>
      </c>
      <c r="O12" s="5">
        <f>IF(ISBLANK(Distance),"",Open_time Control_1+(INT(Close)&amp;":"&amp;IF(ROUND(((Close-INT(Close))*60),0)&lt;10,0,"")&amp;ROUND(((Close-INT(Close))*60),0)))</f>
        <v>44380.518055555556</v>
      </c>
    </row>
    <row r="13" spans="1:23" ht="17.100000000000001" customHeight="1" x14ac:dyDescent="0.3">
      <c r="C13" s="3" t="s">
        <v>10</v>
      </c>
      <c r="D13" s="34">
        <v>106.1</v>
      </c>
      <c r="E13" s="95" t="s">
        <v>86</v>
      </c>
      <c r="F13" s="96" t="s">
        <v>87</v>
      </c>
      <c r="G13" s="96" t="s">
        <v>90</v>
      </c>
      <c r="H13" s="97" t="s">
        <v>91</v>
      </c>
      <c r="I13" s="103"/>
      <c r="J13" s="103"/>
      <c r="K13" s="104"/>
      <c r="L13">
        <f t="shared" ref="L13:L19" si="1">IF(ISBLANK(Distance),"",IF(Distance&gt;1000,(Distance-1000)/26+33.0847,(IF(Distance&gt;600,(Distance-600)/28+18.799,(IF(Distance&gt;400,(Distance-400)/30+12.1324,(IF(Distance&gt;200,(Distance-200)/32+5.8824,Distance/34))))))))</f>
        <v>3.1205882352941177</v>
      </c>
      <c r="M13">
        <f t="shared" si="0"/>
        <v>7.0733333333333333</v>
      </c>
      <c r="N13" s="5">
        <f>IF(ISBLANK(Distance),"",Open_time Control_1+(INT(Open)&amp;":"&amp;IF(ROUND(((Open-INT(Open))*60),0)&lt;10,0,"")&amp;ROUND(((Open-INT(Open))*60),0)))</f>
        <v>44380.400694444448</v>
      </c>
      <c r="O13" s="5">
        <f>IF(ISBLANK(Distance),"",Open_time Control_1+(INT(Close)&amp;":"&amp;IF(ROUND(((Close-INT(Close))*60),0)&lt;10,0,"")&amp;ROUND(((Close-INT(Close))*60),0)))</f>
        <v>44380.56527777778</v>
      </c>
    </row>
    <row r="14" spans="1:23" ht="17.100000000000001" customHeight="1" x14ac:dyDescent="0.3">
      <c r="C14" s="3" t="s">
        <v>11</v>
      </c>
      <c r="D14" s="34">
        <v>127.3</v>
      </c>
      <c r="E14" s="95" t="s">
        <v>120</v>
      </c>
      <c r="F14" s="96" t="s">
        <v>119</v>
      </c>
      <c r="G14" s="97" t="s">
        <v>113</v>
      </c>
      <c r="H14" s="108" t="s">
        <v>114</v>
      </c>
      <c r="I14" s="103"/>
      <c r="J14" s="103"/>
      <c r="K14" s="104"/>
      <c r="L14">
        <f t="shared" si="1"/>
        <v>3.7441176470588236</v>
      </c>
      <c r="M14">
        <f t="shared" si="0"/>
        <v>8.4866666666666664</v>
      </c>
      <c r="N14" s="5">
        <f>IF(ISBLANK(Distance),"",Open_time Control_1+(INT(Open)&amp;":"&amp;IF(ROUND(((Open-INT(Open))*60),0)&lt;10,0,"")&amp;ROUND(((Open-INT(Open))*60),0)))</f>
        <v>44380.427083333336</v>
      </c>
      <c r="O14" s="5">
        <f>IF(ISBLANK(Distance),"",Open_time Control_1+(INT(Close)&amp;":"&amp;IF(ROUND(((Close-INT(Close))*60),0)&lt;10,0,"")&amp;ROUND(((Close-INT(Close))*60),0)))</f>
        <v>44380.624305555561</v>
      </c>
      <c r="Q14" s="93" t="s">
        <v>79</v>
      </c>
    </row>
    <row r="15" spans="1:23" ht="17.100000000000001" customHeight="1" x14ac:dyDescent="0.3">
      <c r="C15" s="3" t="s">
        <v>12</v>
      </c>
      <c r="D15" s="34">
        <v>148.4</v>
      </c>
      <c r="E15" s="95" t="s">
        <v>99</v>
      </c>
      <c r="F15" s="96" t="s">
        <v>118</v>
      </c>
      <c r="G15" s="96" t="s">
        <v>117</v>
      </c>
      <c r="H15" s="97" t="s">
        <v>116</v>
      </c>
      <c r="I15" s="103"/>
      <c r="J15" s="103"/>
      <c r="K15" s="104"/>
      <c r="L15">
        <f t="shared" si="1"/>
        <v>4.3647058823529417</v>
      </c>
      <c r="M15">
        <f t="shared" si="0"/>
        <v>9.8933333333333344</v>
      </c>
      <c r="N15" s="5">
        <f>IF(ISBLANK(Distance),"",Open_time Control_1+(INT(Open)&amp;":"&amp;IF(ROUND(((Open-INT(Open))*60),0)&lt;10,0,"")&amp;ROUND(((Open-INT(Open))*60),0)))</f>
        <v>44380.452777777777</v>
      </c>
      <c r="O15" s="5">
        <f>IF(ISBLANK(Distance),"",Open_time Control_1+(INT(Close)&amp;":"&amp;IF(ROUND(((Close-INT(Close))*60),0)&lt;10,0,"")&amp;ROUND(((Close-INT(Close))*60),0)))</f>
        <v>44380.683333333334</v>
      </c>
    </row>
    <row r="16" spans="1:23" ht="17.100000000000001" customHeight="1" x14ac:dyDescent="0.3">
      <c r="C16" s="3" t="s">
        <v>13</v>
      </c>
      <c r="D16" s="34">
        <v>220</v>
      </c>
      <c r="E16" s="95" t="s">
        <v>100</v>
      </c>
      <c r="F16" s="96" t="s">
        <v>121</v>
      </c>
      <c r="G16" s="96" t="s">
        <v>122</v>
      </c>
      <c r="H16" s="97" t="s">
        <v>123</v>
      </c>
      <c r="I16" s="103"/>
      <c r="J16" s="103"/>
      <c r="K16" s="104"/>
      <c r="L16">
        <f t="shared" si="1"/>
        <v>6.5073999999999996</v>
      </c>
      <c r="M16">
        <f t="shared" si="0"/>
        <v>14.666666666666666</v>
      </c>
      <c r="N16" s="5">
        <f>IF(ISBLANK(Distance),"",Open_time Control_1+(INT(Open)&amp;":"&amp;IF(ROUND(((Open-INT(Open))*60),0)&lt;10,0,"")&amp;ROUND(((Open-INT(Open))*60),0)))</f>
        <v>44380.541666666672</v>
      </c>
      <c r="O16" s="5">
        <f>IF(ISBLANK(Distance),"",Open_time Control_1+(INT(Close)&amp;":"&amp;IF(ROUND(((Close-INT(Close))*60),0)&lt;10,0,"")&amp;ROUND(((Close-INT(Close))*60),0)))</f>
        <v>44380.881944444445</v>
      </c>
    </row>
    <row r="17" spans="3:15" ht="17.100000000000001" customHeight="1" x14ac:dyDescent="0.3">
      <c r="C17" s="3" t="s">
        <v>14</v>
      </c>
      <c r="D17" s="34">
        <v>251.1</v>
      </c>
      <c r="E17" s="95" t="s">
        <v>101</v>
      </c>
      <c r="F17" s="96" t="s">
        <v>104</v>
      </c>
      <c r="G17" s="96" t="s">
        <v>102</v>
      </c>
      <c r="H17" s="97" t="s">
        <v>103</v>
      </c>
      <c r="I17" s="103"/>
      <c r="J17" s="103"/>
      <c r="K17" s="104"/>
      <c r="L17">
        <f t="shared" si="1"/>
        <v>7.4792749999999995</v>
      </c>
      <c r="M17">
        <f t="shared" si="0"/>
        <v>16.739999999999998</v>
      </c>
      <c r="N17" s="5">
        <f>IF(ISBLANK(Distance),"",Open_time Control_1+(INT(Open)&amp;":"&amp;IF(ROUND(((Open-INT(Open))*60),0)&lt;10,0,"")&amp;ROUND(((Open-INT(Open))*60),0)))</f>
        <v>44380.582638888889</v>
      </c>
      <c r="O17" s="5">
        <f>IF(ISBLANK(Distance),"",Open_time Control_1+(INT(Close)&amp;":"&amp;IF(ROUND(((Close-INT(Close))*60),0)&lt;10,0,"")&amp;ROUND(((Close-INT(Close))*60),0)))</f>
        <v>44380.968055555561</v>
      </c>
    </row>
    <row r="18" spans="3:15" ht="17.100000000000001" customHeight="1" x14ac:dyDescent="0.3">
      <c r="C18" s="3" t="s">
        <v>15</v>
      </c>
      <c r="D18" s="34">
        <v>265.10000000000002</v>
      </c>
      <c r="E18" s="95" t="s">
        <v>105</v>
      </c>
      <c r="F18" s="96" t="s">
        <v>106</v>
      </c>
      <c r="G18" s="96" t="s">
        <v>107</v>
      </c>
      <c r="H18" s="97" t="s">
        <v>108</v>
      </c>
      <c r="I18" s="103"/>
      <c r="J18" s="103"/>
      <c r="K18" s="104"/>
      <c r="L18">
        <f t="shared" si="1"/>
        <v>7.9167750000000003</v>
      </c>
      <c r="M18">
        <f t="shared" si="0"/>
        <v>17.673333333333336</v>
      </c>
      <c r="N18" s="5">
        <f>IF(ISBLANK(Distance),"",Open_time Control_1+(INT(Open)&amp;":"&amp;IF(ROUND(((Open-INT(Open))*60),0)&lt;10,0,"")&amp;ROUND(((Open-INT(Open))*60),0)))</f>
        <v>44380.600694444445</v>
      </c>
      <c r="O18" s="5">
        <f>IF(ISBLANK(Distance),"",Open_time Control_1+(INT(Close)&amp;":"&amp;IF(ROUND(((Close-INT(Close))*60),0)&lt;10,0,"")&amp;ROUND(((Close-INT(Close))*60),0)))</f>
        <v>44381.006944444445</v>
      </c>
    </row>
    <row r="19" spans="3:15" ht="17.100000000000001" customHeight="1" thickBot="1" x14ac:dyDescent="0.35">
      <c r="C19" s="3" t="s">
        <v>16</v>
      </c>
      <c r="D19" s="64">
        <v>303.89999999999998</v>
      </c>
      <c r="E19" s="109" t="s">
        <v>109</v>
      </c>
      <c r="F19" s="110" t="s">
        <v>110</v>
      </c>
      <c r="G19" s="110" t="s">
        <v>111</v>
      </c>
      <c r="H19" s="111" t="s">
        <v>112</v>
      </c>
      <c r="I19" s="106"/>
      <c r="J19" s="106"/>
      <c r="K19" s="107"/>
      <c r="L19">
        <f t="shared" si="1"/>
        <v>9.1292749999999998</v>
      </c>
      <c r="M19">
        <f t="shared" si="0"/>
        <v>20</v>
      </c>
      <c r="N19" s="5">
        <f>IF(ISBLANK(Distance),"",Open_time Control_1+(INT(Open)&amp;":"&amp;IF(ROUND(((Open-INT(Open))*60),0)&lt;10,0,"")&amp;ROUND(((Open-INT(Open))*60),0)))</f>
        <v>44380.651388888895</v>
      </c>
      <c r="O19" s="5">
        <f>IF(ISBLANK(Distance),"",Open_time Control_1+(INT(Close)&amp;":"&amp;IF(ROUND(((Close-INT(Close))*60),0)&lt;10,0,"")&amp;ROUND(((Close-INT(Close))*60),0)))</f>
        <v>44381.104166666672</v>
      </c>
    </row>
    <row r="20" spans="3:15" ht="6.9" customHeight="1" thickBot="1" x14ac:dyDescent="0.4">
      <c r="D20" s="85"/>
      <c r="E20" s="86"/>
      <c r="F20" s="87"/>
      <c r="G20" s="87"/>
      <c r="H20" s="87"/>
      <c r="I20" s="87"/>
      <c r="J20" s="87"/>
      <c r="K20" s="88"/>
      <c r="N20" s="5"/>
      <c r="O20" s="5"/>
    </row>
    <row r="21" spans="3:15" ht="13.8" thickBot="1" x14ac:dyDescent="0.3">
      <c r="D21" s="113" t="s">
        <v>62</v>
      </c>
      <c r="E21" s="114"/>
      <c r="F21" s="114"/>
      <c r="G21" s="114"/>
      <c r="H21" s="114"/>
      <c r="I21" s="113" t="s">
        <v>80</v>
      </c>
      <c r="J21" s="114"/>
      <c r="K21" s="115"/>
    </row>
    <row r="22" spans="3:15" ht="14.4" thickBot="1" x14ac:dyDescent="0.35">
      <c r="D22" s="6" t="s">
        <v>24</v>
      </c>
      <c r="E22" s="7" t="s">
        <v>25</v>
      </c>
      <c r="F22" s="83" t="s">
        <v>26</v>
      </c>
      <c r="G22" s="83" t="s">
        <v>27</v>
      </c>
      <c r="H22" s="84" t="s">
        <v>28</v>
      </c>
      <c r="I22" s="7" t="s">
        <v>64</v>
      </c>
      <c r="J22" s="7" t="s">
        <v>65</v>
      </c>
      <c r="K22" s="8" t="s">
        <v>66</v>
      </c>
      <c r="L22" t="s">
        <v>3</v>
      </c>
      <c r="M22" t="s">
        <v>4</v>
      </c>
      <c r="N22" t="s">
        <v>5</v>
      </c>
      <c r="O22" t="s">
        <v>6</v>
      </c>
    </row>
    <row r="23" spans="3:15" ht="15.6" x14ac:dyDescent="0.3">
      <c r="D23" s="34"/>
      <c r="E23" s="95"/>
      <c r="F23" s="96"/>
      <c r="G23" s="96"/>
      <c r="H23" s="97"/>
      <c r="I23" s="103"/>
      <c r="J23" s="103"/>
      <c r="K23" s="104"/>
      <c r="L23" t="str">
        <f>IF(ISBLANK(D23),"",IF(D23&gt;1000,(D23-1000)/26+33.0847,(IF(D23&gt;600,(D23-600)/28+18.799,(IF(D23&gt;400,(D23-400)/30+12.1324,(IF(D23&gt;200,(D23-200)/32+5.8824,D23/34))))))))</f>
        <v/>
      </c>
      <c r="M23" t="str">
        <f>IF(ISBLANK(D23),"",IF(D23=0,(L23+1),IF(D23&gt;=brevet,IF(brevet&gt;1200,(brevet-1200)*75/1000+90,Max_time),IF(D23&gt;1200,(D23-1200)*75/1000+90,IF(D23&gt;1000,(D23-1000)/(1000/75)+75,IF(D23&gt;600,(D23-600)/(400/35)+40,D23/15))))))</f>
        <v/>
      </c>
      <c r="N23" s="5" t="str">
        <f>IF(ISBLANK(D23),"",Open_time Control_1+(INT(L23)&amp;":"&amp;IF(ROUND(((L23-INT(L23))*60),0)&lt;10,0,"")&amp;ROUND(((L23-INT(L23))*60),0)))</f>
        <v/>
      </c>
      <c r="O23" s="5" t="str">
        <f>IF(ISBLANK(D23),"",Open_time Control_1+(INT(M23)&amp;":"&amp;IF(ROUND(((M23-INT(M23))*60),0)&lt;10,0,"")&amp;ROUND(((M23-INT(M23))*60),0)))</f>
        <v/>
      </c>
    </row>
    <row r="24" spans="3:15" ht="17.100000000000001" customHeight="1" x14ac:dyDescent="0.3">
      <c r="D24" s="34"/>
      <c r="E24" s="95"/>
      <c r="F24" s="96"/>
      <c r="G24" s="96"/>
      <c r="H24" s="97"/>
      <c r="I24" s="103"/>
      <c r="J24" s="103"/>
      <c r="K24" s="104"/>
      <c r="L24" t="str">
        <f t="shared" ref="L24:L32" si="2">IF(ISBLANK(D24),"",IF(D24&gt;1000,(D24-1000)/26+33.0847,(IF(D24&gt;600,(D24-600)/28+18.799,(IF(D24&gt;400,(D24-400)/30+12.1324,(IF(D24&gt;200,(D24-200)/32+5.8824,D24/34))))))))</f>
        <v/>
      </c>
      <c r="M24" t="str">
        <f t="shared" ref="M24:M32" si="3">IF(ISBLANK(D24),"",IF(D24&gt;=brevet,IF(brevet&gt;1200,(brevet-1200)*75/1000+90,Max_time),IF(D24&gt;1200,(D24-1200)*75/1000+90,IF(D24&gt;1000,(D24-1000)/(1000/75)+75,IF(D24&gt;600,(D24-600)/(400/35)+40,D24/15)))))</f>
        <v/>
      </c>
      <c r="N24" s="5" t="str">
        <f>IF(ISBLANK(D24),"",Open_time Control_1+(INT(L24)&amp;":"&amp;IF(ROUND(((L24-INT(L24))*60),0)&lt;10,0,"")&amp;ROUND(((L24-INT(L24))*60),0)))</f>
        <v/>
      </c>
      <c r="O24" s="5" t="str">
        <f>IF(ISBLANK(D24),"",Open_time Control_1+(INT(M24)&amp;":"&amp;IF(ROUND(((M24-INT(M24))*60),0)&lt;10,0,"")&amp;ROUND(((M24-INT(M24))*60),0)))</f>
        <v/>
      </c>
    </row>
    <row r="25" spans="3:15" ht="17.100000000000001" customHeight="1" x14ac:dyDescent="0.3">
      <c r="D25" s="34"/>
      <c r="E25" s="95"/>
      <c r="F25" s="96"/>
      <c r="G25" s="96"/>
      <c r="H25" s="97"/>
      <c r="I25" s="103"/>
      <c r="J25" s="103"/>
      <c r="K25" s="104"/>
      <c r="L25" t="str">
        <f t="shared" si="2"/>
        <v/>
      </c>
      <c r="M25" t="str">
        <f t="shared" si="3"/>
        <v/>
      </c>
      <c r="N25" s="5" t="str">
        <f>IF(ISBLANK(D25),"",Open_time Control_1+(INT(L25)&amp;":"&amp;IF(ROUND(((L25-INT(L25))*60),0)&lt;10,0,"")&amp;ROUND(((L25-INT(L25))*60),0)))</f>
        <v/>
      </c>
      <c r="O25" s="5" t="str">
        <f>IF(ISBLANK(D25),"",Open_time Control_1+(INT(M25)&amp;":"&amp;IF(ROUND(((M25-INT(M25))*60),0)&lt;10,0,"")&amp;ROUND(((M25-INT(M25))*60),0)))</f>
        <v/>
      </c>
    </row>
    <row r="26" spans="3:15" ht="17.100000000000001" customHeight="1" x14ac:dyDescent="0.3">
      <c r="D26" s="34"/>
      <c r="E26" s="95"/>
      <c r="F26" s="96"/>
      <c r="G26" s="96"/>
      <c r="H26" s="97"/>
      <c r="I26" s="103"/>
      <c r="J26" s="103"/>
      <c r="K26" s="104"/>
      <c r="L26" t="str">
        <f t="shared" si="2"/>
        <v/>
      </c>
      <c r="M26" t="str">
        <f t="shared" si="3"/>
        <v/>
      </c>
      <c r="N26" s="5" t="str">
        <f>IF(ISBLANK(D26),"",Open_time Control_1+(INT(L26)&amp;":"&amp;IF(ROUND(((L26-INT(L26))*60),0)&lt;10,0,"")&amp;ROUND(((L26-INT(L26))*60),0)))</f>
        <v/>
      </c>
      <c r="O26" s="5" t="str">
        <f>IF(ISBLANK(D26),"",Open_time Control_1+(INT(M26)&amp;":"&amp;IF(ROUND(((M26-INT(M26))*60),0)&lt;10,0,"")&amp;ROUND(((M26-INT(M26))*60),0)))</f>
        <v/>
      </c>
    </row>
    <row r="27" spans="3:15" ht="17.100000000000001" customHeight="1" x14ac:dyDescent="0.3">
      <c r="D27" s="34"/>
      <c r="E27" s="95"/>
      <c r="F27" s="96"/>
      <c r="G27" s="96"/>
      <c r="H27" s="97"/>
      <c r="I27" s="103"/>
      <c r="J27" s="103"/>
      <c r="K27" s="104"/>
      <c r="L27" t="str">
        <f t="shared" si="2"/>
        <v/>
      </c>
      <c r="M27" t="str">
        <f t="shared" si="3"/>
        <v/>
      </c>
      <c r="N27" s="5" t="str">
        <f>IF(ISBLANK(D27),"",Open_time Control_1+(INT(L27)&amp;":"&amp;IF(ROUND(((L27-INT(L27))*60),0)&lt;10,0,"")&amp;ROUND(((L27-INT(L27))*60),0)))</f>
        <v/>
      </c>
      <c r="O27" s="5" t="str">
        <f>IF(ISBLANK(D27),"",Open_time Control_1+(INT(M27)&amp;":"&amp;IF(ROUND(((M27-INT(M27))*60),0)&lt;10,0,"")&amp;ROUND(((M27-INT(M27))*60),0)))</f>
        <v/>
      </c>
    </row>
    <row r="28" spans="3:15" ht="17.100000000000001" customHeight="1" x14ac:dyDescent="0.3">
      <c r="D28" s="34"/>
      <c r="E28" s="95"/>
      <c r="F28" s="96"/>
      <c r="G28" s="96"/>
      <c r="H28" s="97"/>
      <c r="I28" s="103"/>
      <c r="J28" s="103"/>
      <c r="K28" s="104"/>
      <c r="L28" t="str">
        <f t="shared" si="2"/>
        <v/>
      </c>
      <c r="M28" t="str">
        <f t="shared" si="3"/>
        <v/>
      </c>
      <c r="N28" s="5" t="str">
        <f>IF(ISBLANK(D28),"",Open_time Control_1+(INT(L28)&amp;":"&amp;IF(ROUND(((L28-INT(L28))*60),0)&lt;10,0,"")&amp;ROUND(((L28-INT(L28))*60),0)))</f>
        <v/>
      </c>
      <c r="O28" s="5" t="str">
        <f>IF(ISBLANK(D28),"",Open_time Control_1+(INT(M28)&amp;":"&amp;IF(ROUND(((M28-INT(M28))*60),0)&lt;10,0,"")&amp;ROUND(((M28-INT(M28))*60),0)))</f>
        <v/>
      </c>
    </row>
    <row r="29" spans="3:15" ht="17.100000000000001" customHeight="1" x14ac:dyDescent="0.3">
      <c r="D29" s="34"/>
      <c r="E29" s="95"/>
      <c r="F29" s="96"/>
      <c r="G29" s="96"/>
      <c r="H29" s="97"/>
      <c r="I29" s="103"/>
      <c r="J29" s="103"/>
      <c r="K29" s="104"/>
      <c r="L29" t="str">
        <f t="shared" si="2"/>
        <v/>
      </c>
      <c r="M29" t="str">
        <f t="shared" si="3"/>
        <v/>
      </c>
      <c r="N29" s="5" t="str">
        <f>IF(ISBLANK(D29),"",Open_time Control_1+(INT(L29)&amp;":"&amp;IF(ROUND(((L29-INT(L29))*60),0)&lt;10,0,"")&amp;ROUND(((L29-INT(L29))*60),0)))</f>
        <v/>
      </c>
      <c r="O29" s="5" t="str">
        <f>IF(ISBLANK(D29),"",Open_time Control_1+(INT(M29)&amp;":"&amp;IF(ROUND(((M29-INT(M29))*60),0)&lt;10,0,"")&amp;ROUND(((M29-INT(M29))*60),0)))</f>
        <v/>
      </c>
    </row>
    <row r="30" spans="3:15" ht="17.100000000000001" customHeight="1" x14ac:dyDescent="0.3">
      <c r="D30" s="34"/>
      <c r="E30" s="95"/>
      <c r="F30" s="96"/>
      <c r="G30" s="96"/>
      <c r="H30" s="97"/>
      <c r="I30" s="103"/>
      <c r="J30" s="103"/>
      <c r="K30" s="104"/>
      <c r="L30" t="str">
        <f t="shared" si="2"/>
        <v/>
      </c>
      <c r="M30" t="str">
        <f t="shared" si="3"/>
        <v/>
      </c>
      <c r="N30" s="5" t="str">
        <f>IF(ISBLANK(D30),"",Open_time Control_1+(INT(L30)&amp;":"&amp;IF(ROUND(((L30-INT(L30))*60),0)&lt;10,0,"")&amp;ROUND(((L30-INT(L30))*60),0)))</f>
        <v/>
      </c>
      <c r="O30" s="5" t="str">
        <f>IF(ISBLANK(D30),"",Open_time Control_1+(INT(M30)&amp;":"&amp;IF(ROUND(((M30-INT(M30))*60),0)&lt;10,0,"")&amp;ROUND(((M30-INT(M30))*60),0)))</f>
        <v/>
      </c>
    </row>
    <row r="31" spans="3:15" ht="17.100000000000001" customHeight="1" x14ac:dyDescent="0.3">
      <c r="D31" s="34"/>
      <c r="E31" s="95"/>
      <c r="F31" s="96"/>
      <c r="G31" s="96"/>
      <c r="H31" s="97"/>
      <c r="I31" s="103"/>
      <c r="J31" s="103"/>
      <c r="K31" s="104"/>
      <c r="L31" t="str">
        <f t="shared" si="2"/>
        <v/>
      </c>
      <c r="M31" t="str">
        <f t="shared" si="3"/>
        <v/>
      </c>
      <c r="N31" s="5" t="str">
        <f>IF(ISBLANK(D31),"",Open_time Control_1+(INT(L31)&amp;":"&amp;IF(ROUND(((L31-INT(L31))*60),0)&lt;10,0,"")&amp;ROUND(((L31-INT(L31))*60),0)))</f>
        <v/>
      </c>
      <c r="O31" s="5" t="str">
        <f>IF(ISBLANK(D31),"",Open_time Control_1+(INT(M31)&amp;":"&amp;IF(ROUND(((M31-INT(M31))*60),0)&lt;10,0,"")&amp;ROUND(((M31-INT(M31))*60),0)))</f>
        <v/>
      </c>
    </row>
    <row r="32" spans="3:15" ht="17.100000000000001" customHeight="1" thickBot="1" x14ac:dyDescent="0.35">
      <c r="D32" s="64"/>
      <c r="E32" s="105"/>
      <c r="F32" s="106"/>
      <c r="G32" s="106"/>
      <c r="H32" s="107"/>
      <c r="I32" s="106"/>
      <c r="J32" s="106"/>
      <c r="K32" s="107"/>
      <c r="L32" t="str">
        <f t="shared" si="2"/>
        <v/>
      </c>
      <c r="M32" t="str">
        <f t="shared" si="3"/>
        <v/>
      </c>
      <c r="N32" s="5" t="str">
        <f>IF(ISBLANK(D32),"",Open_time Control_1+(INT(L32)&amp;":"&amp;IF(ROUND(((L32-INT(L32))*60),0)&lt;10,0,"")&amp;ROUND(((L32-INT(L32))*60),0)))</f>
        <v/>
      </c>
      <c r="O32" s="5" t="str">
        <f>IF(ISBLANK(D32),"",Open_time Control_1+(INT(M32)&amp;":"&amp;IF(ROUND(((M32-INT(M32))*60),0)&lt;10,0,"")&amp;ROUND(((M32-INT(M32))*60),0)))</f>
        <v/>
      </c>
    </row>
  </sheetData>
  <mergeCells count="5">
    <mergeCell ref="J1:K1"/>
    <mergeCell ref="D8:H8"/>
    <mergeCell ref="D21:H21"/>
    <mergeCell ref="I8:K8"/>
    <mergeCell ref="I21:K21"/>
  </mergeCells>
  <phoneticPr fontId="12" type="noConversion"/>
  <pageMargins left="0.75" right="0.75" top="1" bottom="1" header="0.5" footer="0.5"/>
  <pageSetup orientation="portrait" horizontalDpi="4294967292" verticalDpi="4294967292"/>
  <headerFooter>
    <oddHeader>&amp;A</oddHeader>
    <oddFooter>Page &amp;P</oddFoot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V40"/>
  <sheetViews>
    <sheetView showGridLines="0" tabSelected="1" zoomScale="85" zoomScaleNormal="85" zoomScalePageLayoutView="92" workbookViewId="0">
      <selection activeCell="L22" sqref="L22"/>
    </sheetView>
  </sheetViews>
  <sheetFormatPr defaultColWidth="8.88671875" defaultRowHeight="13.2" x14ac:dyDescent="0.25"/>
  <cols>
    <col min="1" max="1" width="8.44140625" style="1" customWidth="1"/>
    <col min="2" max="2" width="12.77734375" customWidth="1"/>
    <col min="3" max="3" width="11.6640625" customWidth="1"/>
    <col min="4" max="4" width="18" customWidth="1"/>
    <col min="5" max="5" width="23.88671875" customWidth="1"/>
    <col min="6" max="6" width="42" customWidth="1"/>
    <col min="7" max="7" width="13.44140625" customWidth="1"/>
    <col min="8" max="8" width="8" style="36" customWidth="1"/>
    <col min="9" max="9" width="12" customWidth="1"/>
    <col min="14" max="14" width="8.88671875" customWidth="1"/>
    <col min="15" max="15" width="10.5546875" customWidth="1"/>
    <col min="18" max="19" width="8.88671875" customWidth="1"/>
  </cols>
  <sheetData>
    <row r="1" spans="1:22" ht="21" thickBot="1" x14ac:dyDescent="0.3">
      <c r="A1" s="128" t="s">
        <v>44</v>
      </c>
      <c r="B1" s="128"/>
      <c r="C1" s="128"/>
      <c r="D1" s="128"/>
      <c r="E1" s="128"/>
      <c r="F1" s="128"/>
      <c r="G1" s="128"/>
      <c r="H1" s="35" t="s">
        <v>29</v>
      </c>
    </row>
    <row r="2" spans="1:22" ht="33.75" customHeight="1" thickBot="1" x14ac:dyDescent="0.35">
      <c r="A2" s="94" t="s">
        <v>30</v>
      </c>
      <c r="B2" s="9" t="s">
        <v>3</v>
      </c>
      <c r="C2" s="9" t="s">
        <v>4</v>
      </c>
      <c r="D2" s="9" t="s">
        <v>25</v>
      </c>
      <c r="E2" s="9" t="s">
        <v>31</v>
      </c>
      <c r="F2" s="9" t="s">
        <v>60</v>
      </c>
      <c r="G2" s="94" t="s">
        <v>32</v>
      </c>
      <c r="H2" s="35" t="s">
        <v>29</v>
      </c>
      <c r="K2" s="126" t="s">
        <v>56</v>
      </c>
      <c r="L2" s="126"/>
      <c r="M2" s="126"/>
      <c r="N2" s="126"/>
      <c r="O2" s="126"/>
      <c r="P2" s="126"/>
      <c r="Q2" s="126"/>
      <c r="R2" s="126"/>
      <c r="S2" s="126"/>
      <c r="T2" s="126"/>
      <c r="U2" s="126"/>
    </row>
    <row r="3" spans="1:22" ht="36" customHeight="1" x14ac:dyDescent="0.7">
      <c r="A3" s="39"/>
      <c r="B3" s="40">
        <f>Control_1 Open_time</f>
        <v>44380.270833333336</v>
      </c>
      <c r="C3" s="40">
        <f>Control_1 Close_time</f>
        <v>44380.3125</v>
      </c>
      <c r="D3" s="41"/>
      <c r="E3" s="42" t="str">
        <f>IF(ISBLANK(Control_1 Establishment_1),"",Control_1 Establishment_1)</f>
        <v>McDonald's Entrance</v>
      </c>
      <c r="F3" s="42" t="str">
        <f>IF(ISBLANK('Control Entry'!I10),"",'Control Entry'!I10)</f>
        <v/>
      </c>
      <c r="G3" s="10"/>
      <c r="H3" s="35" t="s">
        <v>29</v>
      </c>
      <c r="K3" s="16"/>
      <c r="O3" s="129" t="s">
        <v>33</v>
      </c>
      <c r="P3" s="129"/>
      <c r="Q3" s="129"/>
      <c r="R3" s="129"/>
      <c r="S3" s="82" t="str">
        <f>IF(ISBLANK('Control Entry'!D23),"","#1")</f>
        <v/>
      </c>
      <c r="U3" s="52"/>
    </row>
    <row r="4" spans="1:22" ht="36" customHeight="1" x14ac:dyDescent="0.3">
      <c r="A4" s="48">
        <f>IF(ISBLANK(Distance Control_1),"",Control_1 Distance)</f>
        <v>0</v>
      </c>
      <c r="B4" s="49">
        <f>Control_1 Open_time</f>
        <v>44380.270833333336</v>
      </c>
      <c r="C4" s="49">
        <f>Control_1 Close_time</f>
        <v>44380.3125</v>
      </c>
      <c r="D4" s="50" t="str">
        <f>IF(ISBLANK(Locale Control_1),"",Locale Control_1)</f>
        <v>3695 Lougheed Hwy</v>
      </c>
      <c r="E4" s="42" t="str">
        <f>IF(ISBLANK(Control_1 Establishment_2),"",Control_1 Establishment_2)</f>
        <v xml:space="preserve">Thanks for waiting 'til the </v>
      </c>
      <c r="F4" s="42" t="str">
        <f>IF(ISBLANK('Control Entry'!J10),"",'Control Entry'!J10)</f>
        <v/>
      </c>
      <c r="G4" s="10"/>
      <c r="H4" s="35" t="s">
        <v>29</v>
      </c>
      <c r="K4" s="16"/>
      <c r="M4" s="117" t="str">
        <f>IF(ISBLANK(brevet),"",brevet&amp;" km Randonnée")</f>
        <v>300 km Randonnée</v>
      </c>
      <c r="N4" s="117"/>
      <c r="O4" s="117"/>
      <c r="P4" s="117"/>
      <c r="Q4" s="117"/>
      <c r="R4" s="117"/>
      <c r="S4" s="117"/>
      <c r="T4" s="117"/>
      <c r="U4" s="53"/>
    </row>
    <row r="5" spans="1:22" ht="36" customHeight="1" thickBot="1" x14ac:dyDescent="0.4">
      <c r="A5" s="43"/>
      <c r="B5" s="44">
        <f>Control_1 Open_time</f>
        <v>44380.270833333336</v>
      </c>
      <c r="C5" s="44">
        <f>Control_1 Close_time</f>
        <v>44380.3125</v>
      </c>
      <c r="D5" s="45"/>
      <c r="E5" s="46" t="str">
        <f>IF(ISBLANK(Control_1 Establishment_3),"",Control_1 Establishment_3)</f>
        <v>__ __ __ __</v>
      </c>
      <c r="F5" s="98" t="str">
        <f>IF(ISBLANK('Control Entry'!K10),"",'Control Entry'!K10)</f>
        <v/>
      </c>
      <c r="G5" s="11"/>
      <c r="H5" s="35" t="s">
        <v>29</v>
      </c>
      <c r="K5" s="16"/>
      <c r="M5" s="17"/>
      <c r="N5" s="120" t="s">
        <v>48</v>
      </c>
      <c r="O5" s="120"/>
      <c r="P5" s="80" t="str">
        <f>IF(ISBLANK(Brevet_Number),"",Brevet_Number)</f>
        <v>LM300-1</v>
      </c>
      <c r="Q5" s="81"/>
      <c r="R5" s="125" t="str">
        <f>IF(ISBLANK('Control Entry'!$B5),"",'Control Entry'!$B5)</f>
        <v>07/03/2021</v>
      </c>
      <c r="S5" s="125"/>
      <c r="T5" s="125"/>
      <c r="U5" s="125"/>
      <c r="V5" s="54"/>
    </row>
    <row r="6" spans="1:22" ht="36" customHeight="1" x14ac:dyDescent="0.4">
      <c r="A6" s="39"/>
      <c r="B6" s="40">
        <f>Control_2 Open_time</f>
        <v>44380.317361111112</v>
      </c>
      <c r="C6" s="40">
        <f>Control_2 Close_time</f>
        <v>44380.376388888893</v>
      </c>
      <c r="D6" s="47"/>
      <c r="E6" s="42" t="str">
        <f>IF(ISBLANK(Control_2 Establishment_1),"",Control_2 Establishment_1)</f>
        <v>TransCan Trail</v>
      </c>
      <c r="F6" s="42" t="str">
        <f>IF(ISBLANK('Control Entry'!I11),"",'Control Entry'!I11)</f>
        <v/>
      </c>
      <c r="G6" s="10"/>
      <c r="H6" s="35" t="s">
        <v>29</v>
      </c>
      <c r="K6" s="16"/>
      <c r="L6" s="124" t="str">
        <f>IF(ISBLANK(Brevet_Description),"",Brevet_Description)</f>
        <v>Abbey Road 300</v>
      </c>
      <c r="M6" s="124"/>
      <c r="N6" s="124"/>
      <c r="O6" s="124"/>
      <c r="P6" s="124"/>
      <c r="Q6" s="124"/>
      <c r="R6" s="124"/>
      <c r="S6" s="124"/>
      <c r="T6" s="124"/>
      <c r="U6" s="124"/>
    </row>
    <row r="7" spans="1:22" ht="36" customHeight="1" x14ac:dyDescent="0.3">
      <c r="A7" s="48">
        <f>IF(ISBLANK(Distance Control_2),"",Control_2 Distance)</f>
        <v>38</v>
      </c>
      <c r="B7" s="49">
        <f>Control_2 Open_time</f>
        <v>44380.317361111112</v>
      </c>
      <c r="C7" s="49">
        <f>Control_2 Close_time</f>
        <v>44380.376388888893</v>
      </c>
      <c r="D7" s="50" t="str">
        <f>IF(ISBLANK(Locale Control_2),"",Locale Control_2)</f>
        <v>Pitt Meadows</v>
      </c>
      <c r="E7" s="42" t="str">
        <f>IF(ISBLANK(Control_2 Establishment_2),"",Control_2 Establishment_2)</f>
        <v>Blue wildlife sign</v>
      </c>
      <c r="F7" s="42" t="str">
        <f>IF(ISBLANK('Control Entry'!J11),"",'Control Entry'!J11)</f>
        <v/>
      </c>
      <c r="G7" s="10"/>
      <c r="H7" s="35" t="s">
        <v>29</v>
      </c>
    </row>
    <row r="8" spans="1:22" ht="36" customHeight="1" thickBot="1" x14ac:dyDescent="0.4">
      <c r="A8" s="43"/>
      <c r="B8" s="44">
        <f>Control_2 Open_time</f>
        <v>44380.317361111112</v>
      </c>
      <c r="C8" s="44">
        <f>Control_2 Close_time</f>
        <v>44380.376388888893</v>
      </c>
      <c r="D8" s="45"/>
      <c r="E8" s="46" t="str">
        <f>IF(ISBLANK(Control_2 Establishment_3),"",Control_2 Establishment_3)</f>
        <v>titled "The __?</v>
      </c>
      <c r="F8" s="46" t="str">
        <f>IF(ISBLANK('Control Entry'!K11),"",'Control Entry'!K11)</f>
        <v/>
      </c>
      <c r="G8" s="11"/>
      <c r="H8" s="35" t="s">
        <v>29</v>
      </c>
      <c r="J8" s="17" t="s">
        <v>34</v>
      </c>
      <c r="L8" s="127"/>
      <c r="M8" s="127"/>
      <c r="N8" s="127"/>
      <c r="O8" s="127"/>
      <c r="P8" s="127"/>
      <c r="Q8" s="127"/>
      <c r="R8" s="36"/>
      <c r="S8" s="55" t="s">
        <v>47</v>
      </c>
      <c r="T8" s="130"/>
      <c r="U8" s="130"/>
    </row>
    <row r="9" spans="1:22" ht="36" customHeight="1" thickBot="1" x14ac:dyDescent="0.5">
      <c r="A9" s="39"/>
      <c r="B9" s="40">
        <f>Control_3 Open_time</f>
        <v>44380.379861111112</v>
      </c>
      <c r="C9" s="40">
        <f>Control_3 Close_time</f>
        <v>44380.518055555556</v>
      </c>
      <c r="D9" s="47"/>
      <c r="E9" s="42" t="str">
        <f>IF(ISBLANK(Control_3 Establishment_1),"",Control_3 Establishment_1)</f>
        <v xml:space="preserve">McConnell Creek </v>
      </c>
      <c r="F9" s="42" t="str">
        <f>IF(ISBLANK('Control Entry'!I12),"",'Control Entry'!I12)</f>
        <v/>
      </c>
      <c r="G9" s="10"/>
      <c r="H9" s="35" t="s">
        <v>29</v>
      </c>
      <c r="J9" s="17" t="s">
        <v>35</v>
      </c>
      <c r="K9" s="17"/>
      <c r="L9" s="65" t="s">
        <v>55</v>
      </c>
      <c r="M9" s="23"/>
      <c r="N9" s="23"/>
      <c r="O9" s="23"/>
      <c r="P9" s="23"/>
      <c r="Q9" s="23"/>
      <c r="R9" s="23"/>
      <c r="S9" s="23"/>
      <c r="T9" s="23"/>
      <c r="U9" s="21"/>
    </row>
    <row r="10" spans="1:22" ht="36" customHeight="1" thickBot="1" x14ac:dyDescent="0.45">
      <c r="A10" s="48">
        <f>IF(ISBLANK(Distance Control_3),"",Control_3 Distance)</f>
        <v>89</v>
      </c>
      <c r="B10" s="49">
        <f>Control_3 Open_time</f>
        <v>44380.379861111112</v>
      </c>
      <c r="C10" s="49">
        <f>Control_3 Close_time</f>
        <v>44380.518055555556</v>
      </c>
      <c r="D10" s="50" t="str">
        <f>IF(ISBLANK(Locale Control_3),"",Locale Control_3)</f>
        <v>35483 Hartley Rd</v>
      </c>
      <c r="E10" s="42" t="str">
        <f>IF(ISBLANK(Control_3 Establishment_2),"",Control_3 Establishment_2)</f>
        <v>Farmer's Institute</v>
      </c>
      <c r="F10" s="42" t="str">
        <f>IF(ISBLANK('Control Entry'!J12),"",'Control Entry'!J12)</f>
        <v/>
      </c>
      <c r="G10" s="10"/>
      <c r="H10" s="35" t="s">
        <v>29</v>
      </c>
      <c r="J10" s="17"/>
      <c r="K10" s="17"/>
      <c r="L10" s="37"/>
      <c r="M10" s="23"/>
      <c r="N10" s="23"/>
      <c r="O10" s="23"/>
      <c r="P10" s="23"/>
      <c r="Q10" s="23"/>
      <c r="R10" s="23"/>
      <c r="S10" s="23"/>
      <c r="T10" s="23"/>
      <c r="U10" s="21"/>
    </row>
    <row r="11" spans="1:22" ht="36" customHeight="1" thickBot="1" x14ac:dyDescent="0.45">
      <c r="A11" s="43"/>
      <c r="B11" s="44">
        <f>Control_3 Open_time</f>
        <v>44380.379861111112</v>
      </c>
      <c r="C11" s="44">
        <f>Control_3 Close_time</f>
        <v>44380.518055555556</v>
      </c>
      <c r="D11" s="45"/>
      <c r="E11" s="46" t="str">
        <f>IF(ISBLANK(Control_3 Establishment_3),"",Control_3 Establishment_3)</f>
        <v>Who to call to book Hall?</v>
      </c>
      <c r="F11" s="46" t="str">
        <f>IF(ISBLANK('Control Entry'!K12),"",'Control Entry'!K12)</f>
        <v/>
      </c>
      <c r="G11" s="11"/>
      <c r="H11" s="35" t="s">
        <v>29</v>
      </c>
      <c r="J11" s="17" t="s">
        <v>36</v>
      </c>
      <c r="K11" s="17"/>
      <c r="L11" s="37"/>
      <c r="M11" s="23"/>
      <c r="N11" s="23"/>
      <c r="O11" s="24"/>
      <c r="P11" s="24" t="s">
        <v>37</v>
      </c>
      <c r="Q11" s="24"/>
      <c r="R11" s="24"/>
      <c r="S11" s="57"/>
      <c r="T11" s="37"/>
      <c r="U11" s="21"/>
    </row>
    <row r="12" spans="1:22" ht="36" customHeight="1" thickBot="1" x14ac:dyDescent="0.45">
      <c r="A12" s="39"/>
      <c r="B12" s="40">
        <f>Control_4 Open_time</f>
        <v>44380.400694444448</v>
      </c>
      <c r="C12" s="40">
        <f>Control_4 Close_time</f>
        <v>44380.56527777778</v>
      </c>
      <c r="D12" s="47"/>
      <c r="E12" s="42" t="str">
        <f>IF(ISBLANK(Control_4 Establishment_1),"",Control_4 Establishment_1)</f>
        <v>Chapel at end of road,</v>
      </c>
      <c r="F12" s="42" t="str">
        <f>IF(ISBLANK('Control Entry'!I13),"",'Control Entry'!I13)</f>
        <v/>
      </c>
      <c r="G12" s="10"/>
      <c r="H12" s="35" t="s">
        <v>29</v>
      </c>
      <c r="J12" s="17" t="s">
        <v>38</v>
      </c>
      <c r="K12" s="17"/>
      <c r="L12" s="37"/>
      <c r="M12" s="23"/>
      <c r="N12" s="23"/>
      <c r="O12" s="24"/>
      <c r="P12" s="24" t="s">
        <v>39</v>
      </c>
      <c r="Q12" s="24"/>
      <c r="R12" s="24"/>
      <c r="S12" s="57"/>
      <c r="T12" s="37"/>
      <c r="U12" s="21"/>
    </row>
    <row r="13" spans="1:22" ht="36" customHeight="1" thickBot="1" x14ac:dyDescent="0.45">
      <c r="A13" s="48">
        <f>IF(ISBLANK(Distance Control_4),"",Control_4 Distance)</f>
        <v>106.1</v>
      </c>
      <c r="B13" s="49">
        <f>Control_4 Open_time</f>
        <v>44380.400694444448</v>
      </c>
      <c r="C13" s="49">
        <f>Control_4 Close_time</f>
        <v>44380.56527777778</v>
      </c>
      <c r="D13" s="50" t="str">
        <f>IF(ISBLANK(Locale Control_4),"",Locale Control_4)</f>
        <v>Westminister Abbey</v>
      </c>
      <c r="E13" s="42" t="str">
        <f>IF(ISBLANK(Control_4 Establishment_2),"",Control_4 Establishment_2)</f>
        <v>engraved on door</v>
      </c>
      <c r="F13" s="42" t="str">
        <f>IF(ISBLANK('Control Entry'!J13),"",'Control Entry'!J13)</f>
        <v/>
      </c>
      <c r="G13" s="10"/>
      <c r="H13" s="35" t="s">
        <v>29</v>
      </c>
      <c r="J13" s="17" t="s">
        <v>40</v>
      </c>
      <c r="L13" s="78"/>
      <c r="M13" s="79"/>
      <c r="N13" s="79"/>
      <c r="O13" s="25"/>
      <c r="P13" s="24" t="s">
        <v>41</v>
      </c>
      <c r="Q13" s="24"/>
      <c r="R13" s="38"/>
      <c r="S13" s="26"/>
      <c r="T13" s="26"/>
      <c r="U13" s="22"/>
    </row>
    <row r="14" spans="1:22" ht="36" customHeight="1" thickBot="1" x14ac:dyDescent="0.4">
      <c r="A14" s="43"/>
      <c r="B14" s="44">
        <f>Control_4 Open_time</f>
        <v>44380.400694444448</v>
      </c>
      <c r="C14" s="44">
        <f>Control_4 Close_time</f>
        <v>44380.56527777778</v>
      </c>
      <c r="D14" s="45"/>
      <c r="E14" s="46" t="str">
        <f>IF(ISBLANK(Control_4 Establishment_3),"",Control_4 Establishment_3)</f>
        <v>"Ingredere __ __"</v>
      </c>
      <c r="F14" s="98" t="str">
        <f>IF(ISBLANK('Control Entry'!K13),"",'Control Entry'!K13)</f>
        <v/>
      </c>
      <c r="G14" s="11"/>
      <c r="H14" s="35" t="s">
        <v>29</v>
      </c>
    </row>
    <row r="15" spans="1:22" ht="36" customHeight="1" x14ac:dyDescent="0.35">
      <c r="A15" s="39"/>
      <c r="B15" s="40">
        <f>Control_5 Open_time</f>
        <v>44380.427083333336</v>
      </c>
      <c r="C15" s="40">
        <f>Control_5 Close_time</f>
        <v>44380.624305555561</v>
      </c>
      <c r="D15" s="47"/>
      <c r="E15" s="42" t="str">
        <f>IF(ISBLANK(Control_5 Establishment_1),"",Control_5 Establishment_1)</f>
        <v xml:space="preserve">Sign for "The Station": </v>
      </c>
      <c r="F15" s="42" t="str">
        <f>IF(ISBLANK('Control Entry'!I14),"",'Control Entry'!I14)</f>
        <v/>
      </c>
      <c r="G15" s="10"/>
      <c r="H15" s="35" t="s">
        <v>29</v>
      </c>
      <c r="J15" s="17"/>
      <c r="L15" s="123" t="s">
        <v>59</v>
      </c>
      <c r="M15" s="123"/>
      <c r="N15" s="123"/>
      <c r="O15" s="123"/>
      <c r="P15" s="123"/>
      <c r="Q15" s="123"/>
      <c r="R15" s="123"/>
      <c r="S15" s="123"/>
      <c r="T15" s="123"/>
      <c r="U15" s="123"/>
    </row>
    <row r="16" spans="1:22" ht="36" customHeight="1" thickBot="1" x14ac:dyDescent="0.35">
      <c r="A16" s="48">
        <f>IF(ISBLANK(Distance Control_5),"",Control_5 Distance)</f>
        <v>127.3</v>
      </c>
      <c r="B16" s="49">
        <f>Control_5 Open_time</f>
        <v>44380.427083333336</v>
      </c>
      <c r="C16" s="49">
        <f>Control_5 Close_time</f>
        <v>44380.624305555561</v>
      </c>
      <c r="D16" s="50" t="str">
        <f>IF(ISBLANK(Locale Control_5),"",Locale Control_5)</f>
        <v>Sumas Mtn &amp; McKee Rd</v>
      </c>
      <c r="E16" s="42" t="str">
        <f>IF(ISBLANK(Control_5 Establishment_2),"",Control_5 Establishment_2)</f>
        <v>Café/Day Care/</v>
      </c>
      <c r="F16" s="42" t="str">
        <f>IF(ISBLANK('Control Entry'!J14),"",'Control Entry'!J14)</f>
        <v/>
      </c>
      <c r="G16" s="10"/>
      <c r="H16" s="35" t="s">
        <v>29</v>
      </c>
      <c r="L16" s="73"/>
      <c r="M16" s="73"/>
      <c r="N16" s="73"/>
      <c r="O16" s="73"/>
      <c r="P16" s="73"/>
      <c r="Q16" s="74"/>
      <c r="R16" s="74"/>
      <c r="S16" s="74"/>
      <c r="T16" s="74"/>
      <c r="U16" s="74"/>
    </row>
    <row r="17" spans="1:22" ht="36" customHeight="1" thickBot="1" x14ac:dyDescent="0.4">
      <c r="A17" s="43"/>
      <c r="B17" s="44">
        <f>Control_5 Open_time</f>
        <v>44380.427083333336</v>
      </c>
      <c r="C17" s="44">
        <f>Control_5 Close_time</f>
        <v>44380.624305555561</v>
      </c>
      <c r="D17" s="45"/>
      <c r="E17" s="46" t="str">
        <f>IF(ISBLANK(Control_5 Establishment_3),"",Control_5 Establishment_3)</f>
        <v>Mini Mart/____</v>
      </c>
      <c r="F17" s="46" t="str">
        <f>IF(ISBLANK('Control Entry'!K14),"",'Control Entry'!K14)</f>
        <v/>
      </c>
      <c r="G17" s="11"/>
      <c r="H17" s="35" t="s">
        <v>29</v>
      </c>
    </row>
    <row r="18" spans="1:22" ht="36" customHeight="1" x14ac:dyDescent="0.35">
      <c r="A18" s="39"/>
      <c r="B18" s="40">
        <f>Control_6 Open_time</f>
        <v>44380.452777777777</v>
      </c>
      <c r="C18" s="40">
        <f>Control_6 Close_time</f>
        <v>44380.683333333334</v>
      </c>
      <c r="D18" s="47"/>
      <c r="E18" s="42" t="str">
        <f>IF(ISBLANK(Control_6 Establishment_1),"",Control_6 Establishment_1)</f>
        <v>&amp; Bowman Rd</v>
      </c>
      <c r="F18" s="42" t="str">
        <f>IF(ISBLANK('Control Entry'!I15),"",'Control Entry'!I15)</f>
        <v/>
      </c>
      <c r="G18" s="10"/>
      <c r="H18" s="35" t="s">
        <v>29</v>
      </c>
    </row>
    <row r="19" spans="1:22" ht="36" customHeight="1" x14ac:dyDescent="0.3">
      <c r="A19" s="48">
        <f>IF(ISBLANK(Distance Control_6),"",Control_6 Distance)</f>
        <v>148.4</v>
      </c>
      <c r="B19" s="49">
        <f>Control_6 Open_time</f>
        <v>44380.452777777777</v>
      </c>
      <c r="C19" s="49">
        <f>Control_6 Close_time</f>
        <v>44380.683333333334</v>
      </c>
      <c r="D19" s="50" t="str">
        <f>IF(ISBLANK(Locale Control_6),"",Locale Control_6)</f>
        <v>Majuba Hill Rd</v>
      </c>
      <c r="E19" s="42" t="str">
        <f>IF(ISBLANK(Control_6 Establishment_2),"",Control_6 Establishment_2)</f>
        <v>Stop sign on left</v>
      </c>
      <c r="F19" s="42" t="str">
        <f>IF(ISBLANK('Control Entry'!J15),"",'Control Entry'!J15)</f>
        <v/>
      </c>
      <c r="G19" s="10"/>
      <c r="H19" s="35" t="s">
        <v>29</v>
      </c>
    </row>
    <row r="20" spans="1:22" ht="36" customHeight="1" thickBot="1" x14ac:dyDescent="0.4">
      <c r="A20" s="43"/>
      <c r="B20" s="44">
        <f>Control_6 Open_time</f>
        <v>44380.452777777777</v>
      </c>
      <c r="C20" s="44">
        <f>Control_6 Close_time</f>
        <v>44380.683333333334</v>
      </c>
      <c r="D20" s="45"/>
      <c r="E20" s="46" t="str">
        <f>IF(ISBLANK(Control_6 Establishment_3),"",Control_6 Establishment_3)</f>
        <v># of Zap Straps on post?</v>
      </c>
      <c r="F20" s="46" t="str">
        <f>IF(ISBLANK('Control Entry'!K15),"",'Control Entry'!K15)</f>
        <v/>
      </c>
      <c r="G20" s="11"/>
      <c r="H20" s="35" t="s">
        <v>29</v>
      </c>
      <c r="J20" s="72" t="s">
        <v>45</v>
      </c>
      <c r="K20" s="72"/>
      <c r="L20" s="75"/>
      <c r="M20" s="75"/>
      <c r="N20" s="75"/>
      <c r="P20" s="24" t="s">
        <v>0</v>
      </c>
      <c r="Q20" s="24"/>
      <c r="S20" s="122">
        <f>'Control Entry'!B8</f>
        <v>0.27083333333333331</v>
      </c>
      <c r="T20" s="122"/>
      <c r="U20" s="122"/>
    </row>
    <row r="21" spans="1:22" ht="36" customHeight="1" x14ac:dyDescent="0.35">
      <c r="A21" s="39"/>
      <c r="B21" s="40">
        <f>Control_7 Open_time</f>
        <v>44380.541666666672</v>
      </c>
      <c r="C21" s="40">
        <f>Control_7 Close_time</f>
        <v>44380.881944444445</v>
      </c>
      <c r="D21" s="47"/>
      <c r="E21" s="42" t="str">
        <f>IF(ISBLANK(Control_7 Establishment_1),"",Control_7 Establishment_1)</f>
        <v>End of Beecher St</v>
      </c>
      <c r="F21" s="42" t="str">
        <f>IF(ISBLANK('Control Entry'!I16),"",'Control Entry'!I16)</f>
        <v/>
      </c>
      <c r="G21" s="10"/>
      <c r="H21" s="35" t="s">
        <v>29</v>
      </c>
      <c r="J21" s="72"/>
      <c r="K21" s="72"/>
      <c r="L21" s="61"/>
      <c r="M21" s="61"/>
      <c r="N21" s="61"/>
      <c r="P21" s="24"/>
      <c r="Q21" s="24"/>
      <c r="R21" s="29"/>
      <c r="S21" s="76"/>
      <c r="T21" s="76"/>
      <c r="U21" s="76"/>
      <c r="V21" s="36"/>
    </row>
    <row r="22" spans="1:22" ht="36" customHeight="1" thickBot="1" x14ac:dyDescent="0.4">
      <c r="A22" s="48">
        <f>IF(ISBLANK(Distance Control_7),"",Control_7 Distance)</f>
        <v>220</v>
      </c>
      <c r="B22" s="49">
        <f>Control_7 Open_time</f>
        <v>44380.541666666672</v>
      </c>
      <c r="C22" s="49">
        <f>Control_7 Close_time</f>
        <v>44380.881944444445</v>
      </c>
      <c r="D22" s="50" t="str">
        <f>IF(ISBLANK(Locale Control_7),"",Locale Control_7)</f>
        <v>Crescent Beach</v>
      </c>
      <c r="E22" s="42" t="str">
        <f>IF(ISBLANK(Control_7 Establishment_2),"",Control_7 Establishment_2)</f>
        <v xml:space="preserve">Info Sign on Left </v>
      </c>
      <c r="F22" s="42" t="str">
        <f>IF(ISBLANK('Control Entry'!J16),"",'Control Entry'!J16)</f>
        <v/>
      </c>
      <c r="G22" s="10"/>
      <c r="H22" s="35" t="s">
        <v>29</v>
      </c>
      <c r="J22" s="71" t="s">
        <v>46</v>
      </c>
      <c r="K22" s="71"/>
      <c r="L22" s="75"/>
      <c r="M22" s="75"/>
      <c r="N22" s="75"/>
      <c r="O22" s="25"/>
      <c r="P22" s="24" t="s">
        <v>1</v>
      </c>
      <c r="Q22" s="24"/>
      <c r="R22" s="25"/>
      <c r="S22" s="77"/>
      <c r="T22" s="77"/>
      <c r="U22" s="77"/>
    </row>
    <row r="23" spans="1:22" ht="36" customHeight="1" thickBot="1" x14ac:dyDescent="0.4">
      <c r="A23" s="43"/>
      <c r="B23" s="44">
        <f>Control_7 Open_time</f>
        <v>44380.541666666672</v>
      </c>
      <c r="C23" s="44">
        <f>Control_7 Close_time</f>
        <v>44380.881944444445</v>
      </c>
      <c r="D23" s="45"/>
      <c r="E23" s="46" t="str">
        <f>IF(ISBLANK(Control_7 Establishment_3),"",Control_7 Establishment_3)</f>
        <v>Park Closed ___ to ___</v>
      </c>
      <c r="F23" s="46" t="str">
        <f>IF(ISBLANK('Control Entry'!K16),"",'Control Entry'!K16)</f>
        <v/>
      </c>
      <c r="G23" s="11"/>
      <c r="H23" s="35" t="s">
        <v>29</v>
      </c>
      <c r="J23" s="71"/>
      <c r="K23" s="71"/>
      <c r="L23" s="61"/>
      <c r="M23" s="61"/>
      <c r="N23" s="61"/>
      <c r="O23" s="29"/>
      <c r="P23" s="70"/>
      <c r="Q23" s="70"/>
      <c r="R23" s="29"/>
      <c r="S23" s="29"/>
      <c r="T23" s="29"/>
      <c r="U23" s="29"/>
      <c r="V23" s="36"/>
    </row>
    <row r="24" spans="1:22" ht="36" customHeight="1" thickBot="1" x14ac:dyDescent="0.4">
      <c r="A24" s="39"/>
      <c r="B24" s="40">
        <f>Control_8 Open_time</f>
        <v>44380.582638888889</v>
      </c>
      <c r="C24" s="40">
        <f>Control_8 Close_time</f>
        <v>44380.968055555561</v>
      </c>
      <c r="D24" s="47"/>
      <c r="E24" s="42" t="str">
        <f>IF(ISBLANK(Control_8 Establishment_1),"",Control_8 Establishment_1)</f>
        <v>Sign at Beach Grove Rd</v>
      </c>
      <c r="F24" s="42" t="str">
        <f>IF(ISBLANK('Control Entry'!I17),"",'Control Entry'!I17)</f>
        <v/>
      </c>
      <c r="G24" s="10"/>
      <c r="H24" s="35" t="s">
        <v>29</v>
      </c>
      <c r="J24" s="18"/>
      <c r="K24" s="18"/>
      <c r="L24" s="18"/>
      <c r="M24" s="26"/>
      <c r="N24" s="26"/>
      <c r="O24" s="25"/>
      <c r="P24" s="24" t="s">
        <v>2</v>
      </c>
      <c r="Q24" s="24"/>
      <c r="R24" s="25"/>
      <c r="S24" s="26"/>
      <c r="T24" s="26"/>
      <c r="U24" s="26"/>
    </row>
    <row r="25" spans="1:22" ht="36" customHeight="1" x14ac:dyDescent="0.3">
      <c r="A25" s="48">
        <f>IF(ISBLANK(Distance Control_8),"",Control_8 Distance)</f>
        <v>251.1</v>
      </c>
      <c r="B25" s="49">
        <f>Control_8 Open_time</f>
        <v>44380.582638888889</v>
      </c>
      <c r="C25" s="49">
        <f>Control_8 Close_time</f>
        <v>44380.968055555561</v>
      </c>
      <c r="D25" s="50" t="str">
        <f>IF(ISBLANK(Locale Control_8),"",Locale Control_8)</f>
        <v>Mud Bay Path end</v>
      </c>
      <c r="E25" s="67" t="str">
        <f>IF(ISBLANK(Control_8 Establishment_2),"",Control_8 Establishment_2)</f>
        <v>Danger ___</v>
      </c>
      <c r="F25" s="42" t="str">
        <f>IF(ISBLANK('Control Entry'!J17),"",'Control Entry'!J17)</f>
        <v/>
      </c>
      <c r="G25" s="10"/>
      <c r="H25" s="35" t="s">
        <v>29</v>
      </c>
      <c r="J25" s="121" t="s">
        <v>17</v>
      </c>
      <c r="K25" s="121"/>
      <c r="L25" s="121"/>
      <c r="M25" s="121"/>
      <c r="N25" s="121"/>
      <c r="O25" s="63"/>
      <c r="P25" s="118"/>
      <c r="Q25" s="118"/>
      <c r="R25" s="63"/>
      <c r="S25" s="119"/>
      <c r="T25" s="119"/>
      <c r="U25" s="119"/>
      <c r="V25" s="119"/>
    </row>
    <row r="26" spans="1:22" ht="36" customHeight="1" thickBot="1" x14ac:dyDescent="0.4">
      <c r="A26" s="43"/>
      <c r="B26" s="44">
        <f>Control_8 Open_time</f>
        <v>44380.582638888889</v>
      </c>
      <c r="C26" s="44">
        <f>Control_8 Close_time</f>
        <v>44380.968055555561</v>
      </c>
      <c r="D26" s="45"/>
      <c r="E26" s="46" t="str">
        <f>IF(ISBLANK(Control_8 Establishment_3),"",Control_8 Establishment_3)</f>
        <v>area closed</v>
      </c>
      <c r="F26" s="46" t="str">
        <f>IF(ISBLANK('Control Entry'!K17),"",'Control Entry'!K17)</f>
        <v/>
      </c>
      <c r="G26" s="11"/>
      <c r="H26" s="35" t="s">
        <v>29</v>
      </c>
    </row>
    <row r="27" spans="1:22" ht="36" customHeight="1" x14ac:dyDescent="0.35">
      <c r="A27" s="39"/>
      <c r="B27" s="40">
        <f>Control_9 Open_time</f>
        <v>44380.600694444445</v>
      </c>
      <c r="C27" s="40">
        <f>Control_9 Close_time</f>
        <v>44381.006944444445</v>
      </c>
      <c r="D27" s="47"/>
      <c r="E27" s="42" t="str">
        <f>IF(ISBLANK(Control_9 Establishment_1),"",Control_9 Establishment_1)</f>
        <v>Blue plaque on right</v>
      </c>
      <c r="F27" s="42" t="str">
        <f>IF(ISBLANK('Control Entry'!I18),"",'Control Entry'!I18)</f>
        <v/>
      </c>
      <c r="G27" s="10"/>
      <c r="H27" s="35" t="s">
        <v>29</v>
      </c>
      <c r="K27" s="117" t="s">
        <v>57</v>
      </c>
      <c r="L27" s="118"/>
      <c r="M27" s="62" t="s">
        <v>58</v>
      </c>
      <c r="N27" s="118" t="s">
        <v>50</v>
      </c>
      <c r="O27" s="118"/>
      <c r="P27" s="118" t="s">
        <v>51</v>
      </c>
      <c r="Q27" s="118"/>
      <c r="R27" s="63" t="s">
        <v>52</v>
      </c>
      <c r="S27" s="119" t="s">
        <v>53</v>
      </c>
      <c r="T27" s="119"/>
      <c r="U27" s="119" t="s">
        <v>54</v>
      </c>
      <c r="V27" s="119"/>
    </row>
    <row r="28" spans="1:22" ht="36" customHeight="1" x14ac:dyDescent="0.3">
      <c r="A28" s="48">
        <f>IF(ISBLANK(Distance Control_9),"",Control_9 Distance)</f>
        <v>265.10000000000002</v>
      </c>
      <c r="B28" s="49">
        <f>Control_9 Open_time</f>
        <v>44380.600694444445</v>
      </c>
      <c r="C28" s="49">
        <f>Control_9 Close_time</f>
        <v>44381.006944444445</v>
      </c>
      <c r="D28" s="50" t="str">
        <f>IF(ISBLANK(Locale Control_9),"",Locale Control_9)</f>
        <v>Millenium Trail</v>
      </c>
      <c r="E28" s="42" t="str">
        <f>IF(ISBLANK(Control_9 Establishment_2),"",Control_9 Establishment_2)</f>
        <v>before bridge</v>
      </c>
      <c r="F28" s="42" t="str">
        <f>IF(ISBLANK('Control Entry'!J18),"",'Control Entry'!J18)</f>
        <v/>
      </c>
      <c r="G28" s="10"/>
      <c r="H28" s="35" t="s">
        <v>29</v>
      </c>
    </row>
    <row r="29" spans="1:22" ht="36" customHeight="1" thickBot="1" x14ac:dyDescent="0.4">
      <c r="A29" s="43"/>
      <c r="B29" s="44">
        <f>Control_9 Open_time</f>
        <v>44380.600694444445</v>
      </c>
      <c r="C29" s="44">
        <f>Control_9 Close_time</f>
        <v>44381.006944444445</v>
      </c>
      <c r="D29" s="45"/>
      <c r="E29" s="46" t="str">
        <f>IF(ISBLANK(Control_9 Establishment_3),"",Control_9 Establishment_3)</f>
        <v>Trail completed ___</v>
      </c>
      <c r="F29" s="46" t="str">
        <f>IF(ISBLANK('Control Entry'!K18),"",'Control Entry'!K18)</f>
        <v/>
      </c>
      <c r="G29" s="11"/>
      <c r="H29" s="35" t="s">
        <v>29</v>
      </c>
      <c r="M29" s="131" t="s">
        <v>42</v>
      </c>
      <c r="N29" s="131"/>
      <c r="O29" s="131"/>
      <c r="P29" s="131"/>
      <c r="Q29" s="131"/>
      <c r="R29" s="131"/>
      <c r="S29" s="131"/>
      <c r="T29" s="131"/>
      <c r="U29" s="68"/>
    </row>
    <row r="30" spans="1:22" ht="36" customHeight="1" x14ac:dyDescent="0.35">
      <c r="A30" s="39"/>
      <c r="B30" s="40">
        <f>Control_10 Open_time</f>
        <v>44380.651388888895</v>
      </c>
      <c r="C30" s="40">
        <f>Control_10 Close_time</f>
        <v>44381.104166666672</v>
      </c>
      <c r="D30" s="47"/>
      <c r="E30" s="42" t="str">
        <f>IF(ISBLANK(Control_10 Establishment_1),"",Control_10 Establishment_1)</f>
        <v>On door</v>
      </c>
      <c r="F30" s="42" t="str">
        <f>IF(ISBLANK('Control Entry'!I19),"",'Control Entry'!I19)</f>
        <v/>
      </c>
      <c r="G30" s="10"/>
      <c r="H30" s="35" t="s">
        <v>29</v>
      </c>
      <c r="M30" s="19"/>
      <c r="N30" s="27"/>
      <c r="O30" s="27"/>
      <c r="P30" s="28"/>
      <c r="Q30" s="27"/>
      <c r="R30" s="27"/>
      <c r="S30" s="27"/>
      <c r="T30" s="28"/>
      <c r="U30" s="29"/>
    </row>
    <row r="31" spans="1:22" ht="36" customHeight="1" x14ac:dyDescent="0.3">
      <c r="A31" s="48">
        <f>IF(ISBLANK(Distance Control_10),"",Control_10 Distance)</f>
        <v>303.89999999999998</v>
      </c>
      <c r="B31" s="49">
        <f>Control_10 Open_time</f>
        <v>44380.651388888895</v>
      </c>
      <c r="C31" s="49">
        <f>Control_10 Close_time</f>
        <v>44381.104166666672</v>
      </c>
      <c r="D31" s="50" t="str">
        <f>IF(ISBLANK(Locale Control_10),"",Locale Control_10)</f>
        <v>SteamWorks Taproom</v>
      </c>
      <c r="E31" s="42" t="str">
        <f>IF(ISBLANK(Control_10 Establishment_2),"",Control_10 Establishment_2)</f>
        <v>Protected by ____</v>
      </c>
      <c r="F31" s="42" t="str">
        <f>IF(ISBLANK('Control Entry'!J19),"",'Control Entry'!J19)</f>
        <v/>
      </c>
      <c r="G31" s="10"/>
      <c r="H31" s="35" t="s">
        <v>29</v>
      </c>
      <c r="M31" s="20"/>
      <c r="N31" s="29"/>
      <c r="O31" s="29"/>
      <c r="P31" s="30"/>
      <c r="Q31" s="29"/>
      <c r="R31" s="29"/>
      <c r="S31" s="29"/>
      <c r="T31" s="30"/>
      <c r="U31" s="29"/>
    </row>
    <row r="32" spans="1:22" ht="36" customHeight="1" thickBot="1" x14ac:dyDescent="0.4">
      <c r="A32" s="43"/>
      <c r="B32" s="44">
        <f>Control_10 Open_time</f>
        <v>44380.651388888895</v>
      </c>
      <c r="C32" s="44">
        <f>Control_10 Close_time</f>
        <v>44381.104166666672</v>
      </c>
      <c r="D32" s="45"/>
      <c r="E32" s="46" t="str">
        <f>IF(ISBLANK(Control_10 Establishment_3),"",Control_10 Establishment_3)</f>
        <v>Custom security</v>
      </c>
      <c r="F32" s="46" t="str">
        <f>IF(ISBLANK('Control Entry'!K19),"",'Control Entry'!K19)</f>
        <v/>
      </c>
      <c r="G32" s="11"/>
      <c r="H32" s="35" t="s">
        <v>29</v>
      </c>
      <c r="M32" s="66"/>
      <c r="N32" s="26"/>
      <c r="O32" s="26"/>
      <c r="P32" s="31"/>
      <c r="Q32" s="26"/>
      <c r="R32" s="26"/>
      <c r="S32" s="26"/>
      <c r="T32" s="31"/>
      <c r="U32" s="29"/>
    </row>
    <row r="33" spans="1:22" ht="36" customHeight="1" x14ac:dyDescent="0.35">
      <c r="A33" s="116" t="s">
        <v>43</v>
      </c>
      <c r="B33" s="116"/>
      <c r="C33" s="116"/>
      <c r="D33" s="116"/>
      <c r="E33" s="116"/>
      <c r="F33" s="116"/>
      <c r="G33" s="116"/>
      <c r="H33" s="51"/>
      <c r="I33" s="51"/>
      <c r="N33" s="132"/>
      <c r="O33" s="132"/>
      <c r="P33" s="132"/>
      <c r="Q33" s="132"/>
      <c r="R33" s="132"/>
      <c r="S33" s="132"/>
      <c r="T33" s="132"/>
      <c r="U33" s="132"/>
      <c r="V33" s="61"/>
    </row>
    <row r="34" spans="1:22" ht="36" customHeight="1" x14ac:dyDescent="0.35">
      <c r="A34"/>
      <c r="O34" s="59"/>
      <c r="P34" s="59"/>
      <c r="Q34" s="59"/>
      <c r="R34" s="58"/>
    </row>
    <row r="35" spans="1:22" ht="36" customHeight="1" x14ac:dyDescent="0.25">
      <c r="A35"/>
      <c r="N35" s="131"/>
      <c r="O35" s="131"/>
      <c r="P35" s="131"/>
      <c r="Q35" s="131"/>
      <c r="R35" s="131"/>
      <c r="S35" s="131"/>
      <c r="T35" s="131"/>
      <c r="U35" s="131"/>
    </row>
    <row r="36" spans="1:22" ht="36" customHeight="1" x14ac:dyDescent="0.25">
      <c r="A36"/>
      <c r="N36" s="36"/>
      <c r="O36" s="29"/>
      <c r="P36" s="29"/>
      <c r="Q36" s="29"/>
      <c r="R36" s="29"/>
      <c r="S36" s="29"/>
      <c r="T36" s="29"/>
      <c r="U36" s="29"/>
    </row>
    <row r="37" spans="1:22" ht="36" customHeight="1" x14ac:dyDescent="0.25">
      <c r="A37"/>
      <c r="N37" s="36"/>
      <c r="O37" s="29"/>
      <c r="P37" s="29"/>
      <c r="Q37" s="29"/>
      <c r="R37" s="29"/>
      <c r="S37" s="29"/>
      <c r="T37" s="29"/>
      <c r="U37" s="29"/>
    </row>
    <row r="38" spans="1:22" ht="36" customHeight="1" x14ac:dyDescent="0.35">
      <c r="A38"/>
      <c r="N38" s="69"/>
      <c r="O38" s="29"/>
      <c r="P38" s="29"/>
      <c r="Q38" s="29"/>
      <c r="R38" s="29"/>
      <c r="S38" s="29"/>
      <c r="T38" s="29"/>
      <c r="U38" s="29"/>
    </row>
    <row r="39" spans="1:22" ht="36" customHeight="1" x14ac:dyDescent="0.25">
      <c r="A39"/>
    </row>
    <row r="40" spans="1:22" ht="36" customHeight="1" x14ac:dyDescent="0.25">
      <c r="A40"/>
    </row>
  </sheetData>
  <mergeCells count="24">
    <mergeCell ref="N35:U35"/>
    <mergeCell ref="M29:T29"/>
    <mergeCell ref="N27:O27"/>
    <mergeCell ref="P27:Q27"/>
    <mergeCell ref="S27:T27"/>
    <mergeCell ref="U27:V27"/>
    <mergeCell ref="N33:U33"/>
    <mergeCell ref="K2:U2"/>
    <mergeCell ref="L8:Q8"/>
    <mergeCell ref="A1:G1"/>
    <mergeCell ref="O3:R3"/>
    <mergeCell ref="T8:U8"/>
    <mergeCell ref="A33:G33"/>
    <mergeCell ref="M4:T4"/>
    <mergeCell ref="P25:Q25"/>
    <mergeCell ref="S25:T25"/>
    <mergeCell ref="N5:O5"/>
    <mergeCell ref="K27:L27"/>
    <mergeCell ref="J25:N25"/>
    <mergeCell ref="S20:U20"/>
    <mergeCell ref="L15:U15"/>
    <mergeCell ref="L6:U6"/>
    <mergeCell ref="R5:U5"/>
    <mergeCell ref="U25:V25"/>
  </mergeCells>
  <phoneticPr fontId="12" type="noConversion"/>
  <pageMargins left="0.2" right="0.2" top="0.2" bottom="0.2" header="0.51" footer="0.51"/>
  <pageSetup scale="47" orientation="landscape"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V40"/>
  <sheetViews>
    <sheetView showGridLines="0" zoomScale="40" zoomScaleNormal="40" zoomScalePageLayoutView="92" workbookViewId="0">
      <selection activeCell="L8" sqref="L8:Q8"/>
    </sheetView>
  </sheetViews>
  <sheetFormatPr defaultColWidth="8.88671875" defaultRowHeight="13.2" x14ac:dyDescent="0.25"/>
  <cols>
    <col min="1" max="1" width="8.44140625" style="1" customWidth="1"/>
    <col min="2" max="2" width="11.44140625" customWidth="1"/>
    <col min="3" max="3" width="11.6640625" customWidth="1"/>
    <col min="4" max="4" width="18" customWidth="1"/>
    <col min="5" max="5" width="23.88671875" customWidth="1"/>
    <col min="6" max="6" width="42" customWidth="1"/>
    <col min="7" max="7" width="13.44140625" customWidth="1"/>
    <col min="8" max="8" width="8" style="36" customWidth="1"/>
    <col min="9" max="9" width="12" customWidth="1"/>
    <col min="18" max="19" width="8.88671875" customWidth="1"/>
  </cols>
  <sheetData>
    <row r="1" spans="1:22" ht="21" thickBot="1" x14ac:dyDescent="0.3">
      <c r="A1" s="128" t="s">
        <v>44</v>
      </c>
      <c r="B1" s="128"/>
      <c r="C1" s="128"/>
      <c r="D1" s="128"/>
      <c r="E1" s="128"/>
      <c r="F1" s="128"/>
      <c r="G1" s="128"/>
      <c r="H1" s="35" t="s">
        <v>29</v>
      </c>
    </row>
    <row r="2" spans="1:22" ht="33.75" customHeight="1" thickBot="1" x14ac:dyDescent="0.35">
      <c r="A2" s="94" t="s">
        <v>30</v>
      </c>
      <c r="B2" s="9" t="s">
        <v>3</v>
      </c>
      <c r="C2" s="9" t="s">
        <v>4</v>
      </c>
      <c r="D2" s="9" t="s">
        <v>25</v>
      </c>
      <c r="E2" s="9" t="s">
        <v>31</v>
      </c>
      <c r="F2" s="9" t="s">
        <v>60</v>
      </c>
      <c r="G2" s="94" t="s">
        <v>32</v>
      </c>
      <c r="H2" s="35" t="s">
        <v>29</v>
      </c>
      <c r="K2" s="126" t="s">
        <v>56</v>
      </c>
      <c r="L2" s="126"/>
      <c r="M2" s="126"/>
      <c r="N2" s="126"/>
      <c r="O2" s="126"/>
      <c r="P2" s="126"/>
      <c r="Q2" s="126"/>
      <c r="R2" s="126"/>
      <c r="S2" s="126"/>
      <c r="T2" s="126"/>
      <c r="U2" s="126"/>
    </row>
    <row r="3" spans="1:22" ht="36" customHeight="1" x14ac:dyDescent="0.7">
      <c r="A3" s="39"/>
      <c r="B3" s="40" t="str">
        <f>'Control Entry'!N23</f>
        <v/>
      </c>
      <c r="C3" s="40" t="str">
        <f>'Control Entry'!O23</f>
        <v/>
      </c>
      <c r="D3" s="41"/>
      <c r="E3" s="42" t="str">
        <f>IF(ISBLANK('Control Entry'!F23),"",'Control Entry'!F23)</f>
        <v/>
      </c>
      <c r="F3" s="42" t="str">
        <f>IF(ISBLANK('Control Entry'!I23),"",'Control Entry'!I23)</f>
        <v/>
      </c>
      <c r="G3" s="10"/>
      <c r="H3" s="35" t="s">
        <v>29</v>
      </c>
      <c r="K3" s="16"/>
      <c r="N3" s="129" t="s">
        <v>62</v>
      </c>
      <c r="O3" s="129"/>
      <c r="P3" s="129"/>
      <c r="Q3" s="129"/>
      <c r="R3" s="129"/>
      <c r="S3" s="129"/>
      <c r="T3" s="52"/>
      <c r="U3" s="52"/>
    </row>
    <row r="4" spans="1:22" ht="36" customHeight="1" x14ac:dyDescent="0.3">
      <c r="A4" s="48" t="str">
        <f>IF(ISBLANK('Control Entry'!D23),"",'Control Entry'!D23)</f>
        <v/>
      </c>
      <c r="B4" s="49" t="str">
        <f>'Control Entry'!N23</f>
        <v/>
      </c>
      <c r="C4" s="49" t="str">
        <f>'Control Entry'!O23</f>
        <v/>
      </c>
      <c r="D4" s="50" t="str">
        <f>IF(ISBLANK('Control Entry'!E23),"",'Control Entry'!E23)</f>
        <v/>
      </c>
      <c r="E4" s="42" t="str">
        <f>IF(ISBLANK('Control Entry'!G23),"",'Control Entry'!G23)</f>
        <v/>
      </c>
      <c r="F4" s="42" t="str">
        <f>IF(ISBLANK('Control Entry'!J23),"",'Control Entry'!J23)</f>
        <v/>
      </c>
      <c r="G4" s="10"/>
      <c r="H4" s="35" t="s">
        <v>29</v>
      </c>
      <c r="K4" s="16"/>
      <c r="M4" s="117" t="str">
        <f>IF(ISBLANK(brevet),"",brevet&amp;" km Randonnée")</f>
        <v>300 km Randonnée</v>
      </c>
      <c r="N4" s="117"/>
      <c r="O4" s="117"/>
      <c r="P4" s="117"/>
      <c r="Q4" s="117"/>
      <c r="R4" s="117"/>
      <c r="S4" s="117"/>
      <c r="T4" s="117"/>
      <c r="U4" s="53"/>
    </row>
    <row r="5" spans="1:22" ht="36" customHeight="1" thickBot="1" x14ac:dyDescent="0.4">
      <c r="A5" s="43"/>
      <c r="B5" s="44" t="str">
        <f>'Control Entry'!N23</f>
        <v/>
      </c>
      <c r="C5" s="44" t="str">
        <f>'Control Entry'!O23</f>
        <v/>
      </c>
      <c r="D5" s="45"/>
      <c r="E5" s="46" t="str">
        <f>IF(ISBLANK('Control Entry'!H23),"",'Control Entry'!H23)</f>
        <v/>
      </c>
      <c r="F5" s="46" t="str">
        <f>IF(ISBLANK('Control Entry'!K23),"",'Control Entry'!K23)</f>
        <v/>
      </c>
      <c r="G5" s="11"/>
      <c r="H5" s="35" t="s">
        <v>29</v>
      </c>
      <c r="K5" s="16"/>
      <c r="M5" s="17"/>
      <c r="N5" s="120" t="s">
        <v>48</v>
      </c>
      <c r="O5" s="120"/>
      <c r="P5" s="80" t="str">
        <f>IF(ISBLANK(Brevet_Number),"",Brevet_Number)</f>
        <v>LM300-1</v>
      </c>
      <c r="Q5" s="81"/>
      <c r="R5" s="125" t="str">
        <f>IF(ISBLANK('Control Entry'!$B5),"",'Control Entry'!$B5)</f>
        <v>07/03/2021</v>
      </c>
      <c r="S5" s="125"/>
      <c r="T5" s="125"/>
      <c r="U5" s="125"/>
      <c r="V5" s="54"/>
    </row>
    <row r="6" spans="1:22" ht="36" customHeight="1" x14ac:dyDescent="0.4">
      <c r="A6" s="39"/>
      <c r="B6" s="40" t="str">
        <f>'Control Entry'!N24</f>
        <v/>
      </c>
      <c r="C6" s="40" t="str">
        <f>'Control Entry'!O24</f>
        <v/>
      </c>
      <c r="D6" s="47"/>
      <c r="E6" s="42" t="str">
        <f>IF(ISBLANK('Control Entry'!F24),"",'Control Entry'!F24)</f>
        <v/>
      </c>
      <c r="F6" s="42" t="str">
        <f>IF(ISBLANK('Control Entry'!I24),"",'Control Entry'!I24)</f>
        <v/>
      </c>
      <c r="G6" s="10"/>
      <c r="H6" s="35" t="s">
        <v>29</v>
      </c>
      <c r="K6" s="16"/>
      <c r="L6" s="124" t="str">
        <f>IF(ISBLANK(Brevet_Description),"",Brevet_Description)</f>
        <v>Abbey Road 300</v>
      </c>
      <c r="M6" s="124"/>
      <c r="N6" s="124"/>
      <c r="O6" s="124"/>
      <c r="P6" s="124"/>
      <c r="Q6" s="124"/>
      <c r="R6" s="124"/>
      <c r="S6" s="124"/>
      <c r="T6" s="124"/>
      <c r="U6" s="124"/>
    </row>
    <row r="7" spans="1:22" ht="36" customHeight="1" x14ac:dyDescent="0.3">
      <c r="A7" s="48" t="str">
        <f>IF(ISBLANK('Control Entry'!D24),"",'Control Entry'!D24)</f>
        <v/>
      </c>
      <c r="B7" s="49" t="str">
        <f>'Control Entry'!N24</f>
        <v/>
      </c>
      <c r="C7" s="49" t="str">
        <f>'Control Entry'!O24</f>
        <v/>
      </c>
      <c r="D7" s="50" t="str">
        <f>IF(ISBLANK('Control Entry'!E24),"",'Control Entry'!E24)</f>
        <v/>
      </c>
      <c r="E7" s="42" t="str">
        <f>IF(ISBLANK('Control Entry'!G24),"",'Control Entry'!G24)</f>
        <v/>
      </c>
      <c r="F7" s="42" t="str">
        <f>IF(ISBLANK('Control Entry'!J24),"",'Control Entry'!J24)</f>
        <v/>
      </c>
      <c r="G7" s="10"/>
      <c r="H7" s="35" t="s">
        <v>29</v>
      </c>
    </row>
    <row r="8" spans="1:22" ht="36" customHeight="1" thickBot="1" x14ac:dyDescent="0.4">
      <c r="A8" s="43"/>
      <c r="B8" s="44" t="str">
        <f>'Control Entry'!N24</f>
        <v/>
      </c>
      <c r="C8" s="44" t="str">
        <f>'Control Entry'!O24</f>
        <v/>
      </c>
      <c r="D8" s="45"/>
      <c r="E8" s="46" t="str">
        <f>IF(ISBLANK('Control Entry'!H24),"",'Control Entry'!H24)</f>
        <v/>
      </c>
      <c r="F8" s="46" t="str">
        <f>IF(ISBLANK('Control Entry'!K24),"",'Control Entry'!K24)</f>
        <v/>
      </c>
      <c r="G8" s="11"/>
      <c r="H8" s="35" t="s">
        <v>29</v>
      </c>
      <c r="J8" s="17" t="s">
        <v>34</v>
      </c>
      <c r="L8" s="127" t="str">
        <f>IF(ISBLANK('Control Card #1'!L8:Q8),"",'Control Card #1'!L8:Q8)</f>
        <v/>
      </c>
      <c r="M8" s="127"/>
      <c r="N8" s="127"/>
      <c r="O8" s="127"/>
      <c r="P8" s="127"/>
      <c r="Q8" s="127"/>
      <c r="R8" s="36"/>
      <c r="S8" s="55" t="s">
        <v>47</v>
      </c>
      <c r="T8" s="134" t="str">
        <f>IF(ISBLANK('Control Card #1'!T8:U8),"",'Control Card #1'!T8:U8)</f>
        <v/>
      </c>
      <c r="U8" s="134"/>
    </row>
    <row r="9" spans="1:22" ht="36" customHeight="1" x14ac:dyDescent="0.35">
      <c r="A9" s="39"/>
      <c r="B9" s="40" t="str">
        <f>'Control Entry'!N25</f>
        <v/>
      </c>
      <c r="C9" s="40" t="str">
        <f>'Control Entry'!O25</f>
        <v/>
      </c>
      <c r="D9" s="47"/>
      <c r="E9" s="42" t="str">
        <f>IF(ISBLANK('Control Entry'!F25),"",'Control Entry'!F25)</f>
        <v/>
      </c>
      <c r="F9" s="42" t="str">
        <f>IF(ISBLANK('Control Entry'!I25),"",'Control Entry'!I25)</f>
        <v/>
      </c>
      <c r="G9" s="10"/>
      <c r="H9" s="35" t="s">
        <v>29</v>
      </c>
    </row>
    <row r="10" spans="1:22" ht="36" customHeight="1" x14ac:dyDescent="0.3">
      <c r="A10" s="48" t="str">
        <f>IF(ISBLANK('Control Entry'!D25),"",'Control Entry'!D25)</f>
        <v/>
      </c>
      <c r="B10" s="49" t="str">
        <f>'Control Entry'!N25</f>
        <v/>
      </c>
      <c r="C10" s="49" t="str">
        <f>'Control Entry'!O25</f>
        <v/>
      </c>
      <c r="D10" s="50" t="str">
        <f>IF(ISBLANK('Control Entry'!E25),"",'Control Entry'!E25)</f>
        <v/>
      </c>
      <c r="E10" s="42" t="str">
        <f>IF(ISBLANK('Control Entry'!G25),"",'Control Entry'!G25)</f>
        <v/>
      </c>
      <c r="F10" s="42" t="str">
        <f>IF(ISBLANK('Control Entry'!J25),"",'Control Entry'!J25)</f>
        <v/>
      </c>
      <c r="G10" s="10"/>
      <c r="H10" s="35" t="s">
        <v>29</v>
      </c>
    </row>
    <row r="11" spans="1:22" ht="36" customHeight="1" thickBot="1" x14ac:dyDescent="0.4">
      <c r="A11" s="43"/>
      <c r="B11" s="44" t="str">
        <f>'Control Entry'!N25</f>
        <v/>
      </c>
      <c r="C11" s="44" t="str">
        <f>'Control Entry'!O25</f>
        <v/>
      </c>
      <c r="D11" s="45"/>
      <c r="E11" s="46" t="str">
        <f>IF(ISBLANK('Control Entry'!H25),"",'Control Entry'!H25)</f>
        <v/>
      </c>
      <c r="F11" s="46" t="str">
        <f>IF(ISBLANK('Control Entry'!K25),"",'Control Entry'!K25)</f>
        <v/>
      </c>
      <c r="G11" s="11"/>
      <c r="H11" s="35" t="s">
        <v>29</v>
      </c>
    </row>
    <row r="12" spans="1:22" ht="36" customHeight="1" x14ac:dyDescent="0.35">
      <c r="A12" s="39"/>
      <c r="B12" s="40" t="str">
        <f>'Control Entry'!N26</f>
        <v/>
      </c>
      <c r="C12" s="40" t="str">
        <f>'Control Entry'!O26</f>
        <v/>
      </c>
      <c r="D12" s="47"/>
      <c r="E12" s="42" t="str">
        <f>IF(ISBLANK('Control Entry'!F26),"",'Control Entry'!F26)</f>
        <v/>
      </c>
      <c r="F12" s="42" t="str">
        <f>IF(ISBLANK('Control Entry'!I26),"",'Control Entry'!I26)</f>
        <v/>
      </c>
      <c r="G12" s="10"/>
      <c r="H12" s="35" t="s">
        <v>29</v>
      </c>
    </row>
    <row r="13" spans="1:22" ht="36" customHeight="1" x14ac:dyDescent="0.3">
      <c r="A13" s="48" t="str">
        <f>IF(ISBLANK('Control Entry'!D26),"",'Control Entry'!D26)</f>
        <v/>
      </c>
      <c r="B13" s="49" t="str">
        <f>'Control Entry'!N26</f>
        <v/>
      </c>
      <c r="C13" s="49" t="str">
        <f>'Control Entry'!O26</f>
        <v/>
      </c>
      <c r="D13" s="50" t="str">
        <f>IF(ISBLANK('Control Entry'!E26),"",'Control Entry'!E26)</f>
        <v/>
      </c>
      <c r="E13" s="42" t="str">
        <f>IF(ISBLANK('Control Entry'!G26),"",'Control Entry'!G26)</f>
        <v/>
      </c>
      <c r="F13" s="42" t="str">
        <f>IF(ISBLANK('Control Entry'!J26),"",'Control Entry'!J26)</f>
        <v/>
      </c>
      <c r="G13" s="10"/>
      <c r="H13" s="35" t="s">
        <v>29</v>
      </c>
    </row>
    <row r="14" spans="1:22" ht="36" customHeight="1" thickBot="1" x14ac:dyDescent="0.4">
      <c r="A14" s="43"/>
      <c r="B14" s="44" t="str">
        <f>'Control Entry'!N26</f>
        <v/>
      </c>
      <c r="C14" s="44" t="str">
        <f>'Control Entry'!O26</f>
        <v/>
      </c>
      <c r="D14" s="45"/>
      <c r="E14" s="46" t="str">
        <f>IF(ISBLANK('Control Entry'!H26),"",'Control Entry'!H26)</f>
        <v/>
      </c>
      <c r="F14" s="46" t="str">
        <f>IF(ISBLANK('Control Entry'!K26),"",'Control Entry'!K26)</f>
        <v/>
      </c>
      <c r="G14" s="11"/>
      <c r="H14" s="35" t="s">
        <v>29</v>
      </c>
    </row>
    <row r="15" spans="1:22" ht="36" customHeight="1" x14ac:dyDescent="0.35">
      <c r="A15" s="39"/>
      <c r="B15" s="40" t="str">
        <f>'Control Entry'!N27</f>
        <v/>
      </c>
      <c r="C15" s="40" t="str">
        <f>'Control Entry'!O27</f>
        <v/>
      </c>
      <c r="D15" s="47"/>
      <c r="E15" s="42" t="str">
        <f>IF(ISBLANK('Control Entry'!F27),"",'Control Entry'!F27)</f>
        <v/>
      </c>
      <c r="F15" s="42" t="str">
        <f>IF(ISBLANK('Control Entry'!I27),"",'Control Entry'!I27)</f>
        <v/>
      </c>
      <c r="G15" s="10"/>
      <c r="H15" s="35" t="s">
        <v>29</v>
      </c>
    </row>
    <row r="16" spans="1:22" ht="36" customHeight="1" x14ac:dyDescent="0.3">
      <c r="A16" s="48" t="str">
        <f>IF(ISBLANK('Control Entry'!D27),"",'Control Entry'!D27)</f>
        <v/>
      </c>
      <c r="B16" s="49" t="str">
        <f>'Control Entry'!N27</f>
        <v/>
      </c>
      <c r="C16" s="49" t="str">
        <f>'Control Entry'!O27</f>
        <v/>
      </c>
      <c r="D16" s="50" t="str">
        <f>IF(ISBLANK('Control Entry'!E27),"",'Control Entry'!E27)</f>
        <v/>
      </c>
      <c r="E16" s="42" t="str">
        <f>IF(ISBLANK('Control Entry'!G27),"",'Control Entry'!G27)</f>
        <v/>
      </c>
      <c r="F16" s="42" t="str">
        <f>IF(ISBLANK('Control Entry'!J27),"",'Control Entry'!J27)</f>
        <v/>
      </c>
      <c r="G16" s="10"/>
      <c r="H16" s="35" t="s">
        <v>29</v>
      </c>
    </row>
    <row r="17" spans="1:21" ht="36" customHeight="1" thickBot="1" x14ac:dyDescent="0.4">
      <c r="A17" s="43"/>
      <c r="B17" s="44" t="str">
        <f>'Control Entry'!N27</f>
        <v/>
      </c>
      <c r="C17" s="44" t="str">
        <f>'Control Entry'!O27</f>
        <v/>
      </c>
      <c r="D17" s="45"/>
      <c r="E17" s="46" t="str">
        <f>IF(ISBLANK('Control Entry'!H27),"",'Control Entry'!H27)</f>
        <v/>
      </c>
      <c r="F17" s="46" t="str">
        <f>IF(ISBLANK('Control Entry'!K27),"",'Control Entry'!K27)</f>
        <v/>
      </c>
      <c r="G17" s="11"/>
      <c r="H17" s="35" t="s">
        <v>29</v>
      </c>
    </row>
    <row r="18" spans="1:21" ht="36" customHeight="1" thickBot="1" x14ac:dyDescent="0.4">
      <c r="A18" s="39"/>
      <c r="B18" s="40" t="str">
        <f>'Control Entry'!N28</f>
        <v/>
      </c>
      <c r="C18" s="40" t="str">
        <f>'Control Entry'!O28</f>
        <v/>
      </c>
      <c r="D18" s="47"/>
      <c r="E18" s="42" t="str">
        <f>IF(ISBLANK('Control Entry'!F28),"",'Control Entry'!F28)</f>
        <v/>
      </c>
      <c r="F18" s="42" t="str">
        <f>IF(ISBLANK('Control Entry'!I28),"",'Control Entry'!I28)</f>
        <v/>
      </c>
      <c r="G18" s="10"/>
      <c r="H18" s="35" t="s">
        <v>29</v>
      </c>
      <c r="N18" s="135"/>
      <c r="O18" s="135"/>
      <c r="P18" s="135"/>
      <c r="Q18" s="135"/>
      <c r="R18" s="135"/>
      <c r="S18" s="135"/>
    </row>
    <row r="19" spans="1:21" ht="36" customHeight="1" x14ac:dyDescent="0.3">
      <c r="A19" s="48" t="str">
        <f>IF(ISBLANK('Control Entry'!D28),"",'Control Entry'!D28)</f>
        <v/>
      </c>
      <c r="B19" s="49" t="str">
        <f>'Control Entry'!N28</f>
        <v/>
      </c>
      <c r="C19" s="49" t="str">
        <f>'Control Entry'!O28</f>
        <v/>
      </c>
      <c r="D19" s="50" t="str">
        <f>IF(ISBLANK('Control Entry'!E28),"",'Control Entry'!E28)</f>
        <v/>
      </c>
      <c r="E19" s="42" t="str">
        <f>IF(ISBLANK('Control Entry'!G28),"",'Control Entry'!G28)</f>
        <v/>
      </c>
      <c r="F19" s="42" t="str">
        <f>IF(ISBLANK('Control Entry'!J28),"",'Control Entry'!J28)</f>
        <v/>
      </c>
      <c r="G19" s="10"/>
      <c r="H19" s="35" t="s">
        <v>29</v>
      </c>
      <c r="N19" s="121" t="s">
        <v>17</v>
      </c>
      <c r="O19" s="121"/>
      <c r="P19" s="121"/>
      <c r="Q19" s="121"/>
      <c r="R19" s="121"/>
      <c r="S19" s="121"/>
    </row>
    <row r="20" spans="1:21" ht="36" customHeight="1" thickBot="1" x14ac:dyDescent="0.4">
      <c r="A20" s="43"/>
      <c r="B20" s="44" t="str">
        <f>'Control Entry'!N28</f>
        <v/>
      </c>
      <c r="C20" s="44" t="str">
        <f>'Control Entry'!O28</f>
        <v/>
      </c>
      <c r="D20" s="45"/>
      <c r="E20" s="46" t="str">
        <f>IF(ISBLANK('Control Entry'!H28),"",'Control Entry'!H28)</f>
        <v/>
      </c>
      <c r="F20" s="46" t="str">
        <f>IF(ISBLANK('Control Entry'!K28),"",'Control Entry'!K28)</f>
        <v/>
      </c>
      <c r="G20" s="11"/>
      <c r="H20" s="35" t="s">
        <v>29</v>
      </c>
    </row>
    <row r="21" spans="1:21" ht="36" customHeight="1" x14ac:dyDescent="0.35">
      <c r="A21" s="39"/>
      <c r="B21" s="40" t="str">
        <f>'Control Entry'!N29</f>
        <v/>
      </c>
      <c r="C21" s="40" t="str">
        <f>'Control Entry'!O29</f>
        <v/>
      </c>
      <c r="D21" s="47"/>
      <c r="E21" s="42" t="str">
        <f>IF(ISBLANK('Control Entry'!F29),"",'Control Entry'!F29)</f>
        <v/>
      </c>
      <c r="F21" s="42" t="str">
        <f>IF(ISBLANK('Control Entry'!I29),"",'Control Entry'!I29)</f>
        <v/>
      </c>
      <c r="G21" s="10"/>
      <c r="H21" s="35" t="s">
        <v>29</v>
      </c>
      <c r="L21" s="133" t="s">
        <v>63</v>
      </c>
      <c r="M21" s="133"/>
      <c r="N21" s="133"/>
      <c r="O21" s="133"/>
      <c r="P21" s="133"/>
      <c r="Q21" s="133"/>
      <c r="R21" s="133"/>
      <c r="S21" s="133"/>
      <c r="T21" s="133"/>
      <c r="U21" s="133"/>
    </row>
    <row r="22" spans="1:21" ht="36" customHeight="1" x14ac:dyDescent="0.3">
      <c r="A22" s="48" t="str">
        <f>IF(ISBLANK('Control Entry'!D29),"",'Control Entry'!D29)</f>
        <v/>
      </c>
      <c r="B22" s="49" t="str">
        <f>'Control Entry'!N29</f>
        <v/>
      </c>
      <c r="C22" s="49" t="str">
        <f>'Control Entry'!O29</f>
        <v/>
      </c>
      <c r="D22" s="50" t="str">
        <f>IF(ISBLANK('Control Entry'!E29),"",'Control Entry'!E29)</f>
        <v/>
      </c>
      <c r="E22" s="42" t="str">
        <f>IF(ISBLANK('Control Entry'!G29),"",'Control Entry'!G29)</f>
        <v/>
      </c>
      <c r="F22" s="42" t="str">
        <f>IF(ISBLANK('Control Entry'!J29),"",'Control Entry'!J29)</f>
        <v/>
      </c>
      <c r="G22" s="10"/>
      <c r="H22" s="35" t="s">
        <v>29</v>
      </c>
    </row>
    <row r="23" spans="1:21" ht="36" customHeight="1" thickBot="1" x14ac:dyDescent="0.4">
      <c r="A23" s="43"/>
      <c r="B23" s="44" t="str">
        <f>'Control Entry'!N29</f>
        <v/>
      </c>
      <c r="C23" s="44" t="str">
        <f>'Control Entry'!O29</f>
        <v/>
      </c>
      <c r="D23" s="45"/>
      <c r="E23" s="46" t="str">
        <f>IF(ISBLANK('Control Entry'!H29),"",'Control Entry'!H29)</f>
        <v/>
      </c>
      <c r="F23" s="46" t="str">
        <f>IF(ISBLANK('Control Entry'!K29),"",'Control Entry'!K29)</f>
        <v/>
      </c>
      <c r="G23" s="11"/>
      <c r="H23" s="35" t="s">
        <v>29</v>
      </c>
    </row>
    <row r="24" spans="1:21" ht="36" customHeight="1" x14ac:dyDescent="0.35">
      <c r="A24" s="39"/>
      <c r="B24" s="40" t="str">
        <f>'Control Entry'!N30</f>
        <v/>
      </c>
      <c r="C24" s="40" t="str">
        <f>'Control Entry'!O30</f>
        <v/>
      </c>
      <c r="D24" s="47"/>
      <c r="E24" s="42" t="str">
        <f>IF(ISBLANK('Control Entry'!F30),"",'Control Entry'!F30)</f>
        <v/>
      </c>
      <c r="F24" s="42" t="str">
        <f>IF(ISBLANK('Control Entry'!I30),"",'Control Entry'!I30)</f>
        <v/>
      </c>
      <c r="G24" s="10"/>
      <c r="H24" s="35" t="s">
        <v>29</v>
      </c>
    </row>
    <row r="25" spans="1:21" ht="36" customHeight="1" x14ac:dyDescent="0.3">
      <c r="A25" s="48" t="str">
        <f>IF(ISBLANK('Control Entry'!D30),"",'Control Entry'!D30)</f>
        <v/>
      </c>
      <c r="B25" s="49" t="str">
        <f>'Control Entry'!N30</f>
        <v/>
      </c>
      <c r="C25" s="49" t="str">
        <f>'Control Entry'!O30</f>
        <v/>
      </c>
      <c r="D25" s="50" t="str">
        <f>IF(ISBLANK('Control Entry'!E30),"",'Control Entry'!E30)</f>
        <v/>
      </c>
      <c r="E25" s="42" t="str">
        <f>IF(ISBLANK('Control Entry'!G30),"",'Control Entry'!G30)</f>
        <v/>
      </c>
      <c r="F25" s="42" t="str">
        <f>IF(ISBLANK('Control Entry'!J30),"",'Control Entry'!J30)</f>
        <v/>
      </c>
      <c r="G25" s="10"/>
      <c r="H25" s="35" t="s">
        <v>29</v>
      </c>
    </row>
    <row r="26" spans="1:21" ht="36" customHeight="1" thickBot="1" x14ac:dyDescent="0.4">
      <c r="A26" s="43"/>
      <c r="B26" s="44" t="str">
        <f>'Control Entry'!N30</f>
        <v/>
      </c>
      <c r="C26" s="44" t="str">
        <f>'Control Entry'!O30</f>
        <v/>
      </c>
      <c r="D26" s="45"/>
      <c r="E26" s="46" t="str">
        <f>IF(ISBLANK('Control Entry'!H30),"",'Control Entry'!H30)</f>
        <v/>
      </c>
      <c r="F26" s="46" t="str">
        <f>IF(ISBLANK('Control Entry'!K30),"",'Control Entry'!K30)</f>
        <v/>
      </c>
      <c r="G26" s="11"/>
      <c r="H26" s="35" t="s">
        <v>29</v>
      </c>
    </row>
    <row r="27" spans="1:21" ht="36" customHeight="1" x14ac:dyDescent="0.35">
      <c r="A27" s="39"/>
      <c r="B27" s="40" t="str">
        <f>'Control Entry'!N31</f>
        <v/>
      </c>
      <c r="C27" s="40" t="str">
        <f>'Control Entry'!O31</f>
        <v/>
      </c>
      <c r="D27" s="47"/>
      <c r="E27" s="42" t="str">
        <f>IF(ISBLANK('Control Entry'!F31),"",'Control Entry'!F31)</f>
        <v/>
      </c>
      <c r="F27" s="42" t="str">
        <f>IF(ISBLANK('Control Entry'!I31),"",'Control Entry'!I31)</f>
        <v/>
      </c>
      <c r="G27" s="10"/>
      <c r="H27" s="35" t="s">
        <v>29</v>
      </c>
    </row>
    <row r="28" spans="1:21" ht="36" customHeight="1" x14ac:dyDescent="0.3">
      <c r="A28" s="48" t="str">
        <f>IF(ISBLANK('Control Entry'!D31),"",'Control Entry'!D31)</f>
        <v/>
      </c>
      <c r="B28" s="49" t="str">
        <f>'Control Entry'!N31</f>
        <v/>
      </c>
      <c r="C28" s="49" t="str">
        <f>'Control Entry'!O31</f>
        <v/>
      </c>
      <c r="D28" s="50" t="str">
        <f>IF(ISBLANK('Control Entry'!E31),"",'Control Entry'!E31)</f>
        <v/>
      </c>
      <c r="E28" s="42" t="str">
        <f>IF(ISBLANK('Control Entry'!G31),"",'Control Entry'!G31)</f>
        <v/>
      </c>
      <c r="F28" s="42" t="str">
        <f>IF(ISBLANK('Control Entry'!J31),"",'Control Entry'!J31)</f>
        <v/>
      </c>
      <c r="G28" s="10"/>
      <c r="H28" s="35" t="s">
        <v>29</v>
      </c>
    </row>
    <row r="29" spans="1:21" ht="36" customHeight="1" thickBot="1" x14ac:dyDescent="0.4">
      <c r="A29" s="43"/>
      <c r="B29" s="44" t="str">
        <f>'Control Entry'!N31</f>
        <v/>
      </c>
      <c r="C29" s="44" t="str">
        <f>'Control Entry'!O31</f>
        <v/>
      </c>
      <c r="D29" s="45"/>
      <c r="E29" s="46" t="str">
        <f>IF(ISBLANK('Control Entry'!H31),"",'Control Entry'!H31)</f>
        <v/>
      </c>
      <c r="F29" s="46" t="str">
        <f>IF(ISBLANK('Control Entry'!K31),"",'Control Entry'!K31)</f>
        <v/>
      </c>
      <c r="G29" s="11"/>
      <c r="H29" s="35" t="s">
        <v>29</v>
      </c>
      <c r="M29" s="131" t="s">
        <v>42</v>
      </c>
      <c r="N29" s="131"/>
      <c r="O29" s="131"/>
      <c r="P29" s="131"/>
      <c r="Q29" s="131"/>
      <c r="R29" s="131"/>
      <c r="S29" s="131"/>
      <c r="T29" s="131"/>
      <c r="U29" s="68"/>
    </row>
    <row r="30" spans="1:21" ht="36" customHeight="1" x14ac:dyDescent="0.35">
      <c r="A30" s="39"/>
      <c r="B30" s="40" t="str">
        <f>'Control Entry'!N32</f>
        <v/>
      </c>
      <c r="C30" s="40" t="str">
        <f>'Control Entry'!O32</f>
        <v/>
      </c>
      <c r="D30" s="47"/>
      <c r="E30" s="42" t="str">
        <f>IF(ISBLANK('Control Entry'!F32),"",'Control Entry'!F32)</f>
        <v/>
      </c>
      <c r="F30" s="42" t="str">
        <f>IF(ISBLANK('Control Entry'!I32),"",'Control Entry'!I32)</f>
        <v/>
      </c>
      <c r="G30" s="10"/>
      <c r="H30" s="35" t="s">
        <v>29</v>
      </c>
      <c r="M30" s="19"/>
      <c r="N30" s="27"/>
      <c r="O30" s="27"/>
      <c r="P30" s="28"/>
      <c r="Q30" s="27"/>
      <c r="R30" s="27"/>
      <c r="S30" s="27"/>
      <c r="T30" s="28"/>
      <c r="U30" s="29"/>
    </row>
    <row r="31" spans="1:21" ht="36" customHeight="1" x14ac:dyDescent="0.3">
      <c r="A31" s="48" t="str">
        <f>IF(ISBLANK('Control Entry'!D32),"",'Control Entry'!D32)</f>
        <v/>
      </c>
      <c r="B31" s="49" t="str">
        <f>'Control Entry'!N32</f>
        <v/>
      </c>
      <c r="C31" s="49" t="str">
        <f>'Control Entry'!O32</f>
        <v/>
      </c>
      <c r="D31" s="50" t="str">
        <f>IF(ISBLANK('Control Entry'!E32),"",'Control Entry'!E32)</f>
        <v/>
      </c>
      <c r="E31" s="42" t="str">
        <f>IF(ISBLANK('Control Entry'!G32),"",'Control Entry'!G32)</f>
        <v/>
      </c>
      <c r="F31" s="42" t="str">
        <f>IF(ISBLANK('Control Entry'!J32),"",'Control Entry'!J32)</f>
        <v/>
      </c>
      <c r="G31" s="10"/>
      <c r="H31" s="35" t="s">
        <v>29</v>
      </c>
      <c r="M31" s="20"/>
      <c r="N31" s="29"/>
      <c r="O31" s="29"/>
      <c r="P31" s="30"/>
      <c r="Q31" s="29"/>
      <c r="R31" s="29"/>
      <c r="S31" s="29"/>
      <c r="T31" s="30"/>
      <c r="U31" s="29"/>
    </row>
    <row r="32" spans="1:21" ht="36" customHeight="1" thickBot="1" x14ac:dyDescent="0.4">
      <c r="A32" s="43"/>
      <c r="B32" s="44" t="str">
        <f>'Control Entry'!N32</f>
        <v/>
      </c>
      <c r="C32" s="44" t="str">
        <f>'Control Entry'!O32</f>
        <v/>
      </c>
      <c r="D32" s="45"/>
      <c r="E32" s="46" t="str">
        <f>IF(ISBLANK('Control Entry'!H32),"",'Control Entry'!H32)</f>
        <v/>
      </c>
      <c r="F32" s="46" t="str">
        <f>IF(ISBLANK('Control Entry'!K32),"",'Control Entry'!K32)</f>
        <v/>
      </c>
      <c r="G32" s="11"/>
      <c r="H32" s="35" t="s">
        <v>29</v>
      </c>
      <c r="M32" s="66"/>
      <c r="N32" s="26"/>
      <c r="O32" s="26"/>
      <c r="P32" s="31"/>
      <c r="Q32" s="26"/>
      <c r="R32" s="26"/>
      <c r="S32" s="26"/>
      <c r="T32" s="31"/>
      <c r="U32" s="29"/>
    </row>
    <row r="33" spans="1:22" ht="36" customHeight="1" x14ac:dyDescent="0.35">
      <c r="A33" s="116" t="s">
        <v>43</v>
      </c>
      <c r="B33" s="116"/>
      <c r="C33" s="116"/>
      <c r="D33" s="116"/>
      <c r="E33" s="116"/>
      <c r="F33" s="116"/>
      <c r="G33" s="116"/>
      <c r="H33" s="51"/>
      <c r="I33" s="51"/>
      <c r="N33" s="132"/>
      <c r="O33" s="132"/>
      <c r="P33" s="132"/>
      <c r="Q33" s="132"/>
      <c r="R33" s="132"/>
      <c r="S33" s="132"/>
      <c r="T33" s="132"/>
      <c r="U33" s="132"/>
      <c r="V33" s="61"/>
    </row>
    <row r="34" spans="1:22" ht="36" customHeight="1" x14ac:dyDescent="0.35">
      <c r="A34"/>
      <c r="O34" s="59"/>
      <c r="P34" s="59"/>
      <c r="Q34" s="59"/>
      <c r="R34" s="58"/>
    </row>
    <row r="35" spans="1:22" ht="36" customHeight="1" x14ac:dyDescent="0.25">
      <c r="A35"/>
      <c r="N35" s="131"/>
      <c r="O35" s="131"/>
      <c r="P35" s="131"/>
      <c r="Q35" s="131"/>
      <c r="R35" s="131"/>
      <c r="S35" s="131"/>
      <c r="T35" s="131"/>
      <c r="U35" s="131"/>
    </row>
    <row r="36" spans="1:22" ht="36" customHeight="1" x14ac:dyDescent="0.25">
      <c r="A36"/>
      <c r="N36" s="36"/>
      <c r="O36" s="29"/>
      <c r="P36" s="29"/>
      <c r="Q36" s="29"/>
      <c r="R36" s="29"/>
      <c r="S36" s="29"/>
      <c r="T36" s="29"/>
      <c r="U36" s="29"/>
    </row>
    <row r="37" spans="1:22" ht="36" customHeight="1" x14ac:dyDescent="0.25">
      <c r="A37"/>
      <c r="N37" s="36"/>
      <c r="O37" s="29"/>
      <c r="P37" s="29"/>
      <c r="Q37" s="29"/>
      <c r="R37" s="29"/>
      <c r="S37" s="29"/>
      <c r="T37" s="29"/>
      <c r="U37" s="29"/>
    </row>
    <row r="38" spans="1:22" ht="36" customHeight="1" x14ac:dyDescent="0.35">
      <c r="A38"/>
      <c r="N38" s="69"/>
      <c r="O38" s="29"/>
      <c r="P38" s="29"/>
      <c r="Q38" s="29"/>
      <c r="R38" s="29"/>
      <c r="S38" s="29"/>
      <c r="T38" s="29"/>
      <c r="U38" s="29"/>
    </row>
    <row r="39" spans="1:22" ht="36" customHeight="1" x14ac:dyDescent="0.25">
      <c r="A39"/>
    </row>
    <row r="40" spans="1:22" ht="36" customHeight="1" x14ac:dyDescent="0.25">
      <c r="A40"/>
    </row>
  </sheetData>
  <mergeCells count="16">
    <mergeCell ref="A1:G1"/>
    <mergeCell ref="K2:U2"/>
    <mergeCell ref="N3:S3"/>
    <mergeCell ref="M4:T4"/>
    <mergeCell ref="N35:U35"/>
    <mergeCell ref="L21:U21"/>
    <mergeCell ref="L6:U6"/>
    <mergeCell ref="T8:U8"/>
    <mergeCell ref="A33:G33"/>
    <mergeCell ref="N33:U33"/>
    <mergeCell ref="N5:O5"/>
    <mergeCell ref="R5:U5"/>
    <mergeCell ref="L8:Q8"/>
    <mergeCell ref="M29:T29"/>
    <mergeCell ref="N18:S18"/>
    <mergeCell ref="N19:S19"/>
  </mergeCells>
  <phoneticPr fontId="12" type="noConversion"/>
  <printOptions horizontalCentered="1" verticalCentered="1"/>
  <pageMargins left="0.2" right="0.2" top="0.2" bottom="0.2" header="0.51" footer="0.51"/>
  <pageSetup scale="44" orientation="landscape" horizontalDpi="4294967292" verticalDpi="4294967292"/>
  <ignoredErrors>
    <ignoredError sqref="L8 T8" emptyCellReference="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28</vt:i4>
      </vt:variant>
    </vt:vector>
  </HeadingPairs>
  <TitlesOfParts>
    <vt:vector size="31" baseType="lpstr">
      <vt:lpstr>Control Entry</vt:lpstr>
      <vt:lpstr>Control Card #1</vt:lpstr>
      <vt:lpstr>Control Card #2</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'Control Card #1'!Print_Titles</vt:lpstr>
      <vt:lpstr>'Control Card #2'!Print_Titles</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Colin Fingler</cp:lastModifiedBy>
  <cp:lastPrinted>2021-07-01T03:48:11Z</cp:lastPrinted>
  <dcterms:created xsi:type="dcterms:W3CDTF">1997-11-12T04:43:39Z</dcterms:created>
  <dcterms:modified xsi:type="dcterms:W3CDTF">2021-07-01T04:15:47Z</dcterms:modified>
</cp:coreProperties>
</file>