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1/5096/"/>
    </mc:Choice>
  </mc:AlternateContent>
  <xr:revisionPtr revIDLastSave="0" documentId="13_ncr:1_{453276AD-FA5F-EB41-9DA6-ED7A68AAF55B}"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Mill Bay" sheetId="2" r:id="rId2"/>
    <sheet name="Control Card Lantzville" sheetId="3" r:id="rId3"/>
  </sheets>
  <definedNames>
    <definedName name="Address_1" localSheetId="2">#REF!</definedName>
    <definedName name="Address_1">#REF!</definedName>
    <definedName name="Address_2" localSheetId="2">#REF!</definedName>
    <definedName name="Address_2">#REF!</definedName>
    <definedName name="brevet">'Control Entry'!$C$1</definedName>
    <definedName name="Brevet_Description">'Control Entry'!$B$3</definedName>
    <definedName name="Brevet_Length">'Control Entry'!$B$1</definedName>
    <definedName name="Brevet_Number">'Control Entry'!$B$4</definedName>
    <definedName name="City" localSheetId="2">#REF!</definedName>
    <definedName name="City">#REF!</definedName>
    <definedName name="Close">'Control Entry'!$M$10:$M$19</definedName>
    <definedName name="Close_time">'Control Entry'!$O$10:$O$19</definedName>
    <definedName name="Control_1">'Control Entry'!$D$10:$O$10</definedName>
    <definedName name="Control_10">'Control Entry'!$D$19:$O$19</definedName>
    <definedName name="Control_11" localSheetId="2">'Control Entry'!#REF!</definedName>
    <definedName name="Control_11">'Control Entry'!#REF!</definedName>
    <definedName name="Control_12" localSheetId="2">'Control Entry'!#REF!</definedName>
    <definedName name="Control_12">'Control Entry'!#REF!</definedName>
    <definedName name="Control_13" localSheetId="2">'Control Entry'!#REF!</definedName>
    <definedName name="Control_13">'Control Entry'!#REF!</definedName>
    <definedName name="Control_14" localSheetId="2">'Control Entry'!#REF!</definedName>
    <definedName name="Control_14">'Control Entry'!#REF!</definedName>
    <definedName name="Control_15" localSheetId="2">'Control Entry'!#REF!</definedName>
    <definedName name="Control_15">'Control Entry'!#REF!</definedName>
    <definedName name="Control_16" localSheetId="2">'Control Entry'!#REF!</definedName>
    <definedName name="Control_16">'Control Entry'!#REF!</definedName>
    <definedName name="Control_17" localSheetId="2">'Control Entry'!#REF!</definedName>
    <definedName name="Control_17">'Control Entry'!#REF!</definedName>
    <definedName name="Control_18" localSheetId="2">'Control Entry'!#REF!</definedName>
    <definedName name="Control_18">'Control Entry'!#REF!</definedName>
    <definedName name="Control_19" localSheetId="2">'Control Entry'!#REF!</definedName>
    <definedName name="Control_19">'Control Entry'!#REF!</definedName>
    <definedName name="Control_2">'Control Entry'!$D$11:$O$11</definedName>
    <definedName name="Control_20" localSheetId="2">'Control Entry'!#REF!</definedName>
    <definedName name="Control_20">'Control Entry'!#REF!</definedName>
    <definedName name="Control_3">'Control Entry'!$D$12:$O$12</definedName>
    <definedName name="Control_4">'Control Entry'!$D$13:$O$13</definedName>
    <definedName name="Control_5">'Control Entry'!$D$14:$O$14</definedName>
    <definedName name="Control_6">'Control Entry'!$D$15:$O$15</definedName>
    <definedName name="Control_7">'Control Entry'!$D$16:$O$16</definedName>
    <definedName name="Control_8">'Control Entry'!$D$17:$O$17</definedName>
    <definedName name="Control_9">'Control Entry'!$D$18:$O$18</definedName>
    <definedName name="Country" localSheetId="2">#REF!</definedName>
    <definedName name="Country">#REF!</definedName>
    <definedName name="Distance">'Control Entry'!$D$10:$D$19</definedName>
    <definedName name="email" localSheetId="2">#REF!</definedName>
    <definedName name="email">#REF!</definedName>
    <definedName name="Establishment_1">'Control Entry'!$F$10:$F$19</definedName>
    <definedName name="Establishment_2">'Control Entry'!$G$10:$G$19</definedName>
    <definedName name="Establishment_3">'Control Entry'!$H$10:$H$19</definedName>
    <definedName name="Fax" localSheetId="2">#REF!</definedName>
    <definedName name="Fax">#REF!</definedName>
    <definedName name="First_Name" localSheetId="2">#REF!</definedName>
    <definedName name="First_Name">#REF!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#REF!</definedName>
    <definedName name="Locale">'Control Entry'!$E$10:$E$19</definedName>
    <definedName name="Max_time">'Control Entry'!$B$2</definedName>
    <definedName name="Open">'Control Entry'!$L$10:$L$19</definedName>
    <definedName name="Open_time">'Control Entry'!$N$10:$N$19</definedName>
    <definedName name="Postal_Code" localSheetId="2">#REF!</definedName>
    <definedName name="Postal_Code">#REF!</definedName>
    <definedName name="_xlnm.Print_Titles" localSheetId="2">'Control Card Lantzville'!$1:$2</definedName>
    <definedName name="_xlnm.Print_Titles" localSheetId="1">'Control Card Mill Bay'!$1:$2</definedName>
    <definedName name="Province_State" localSheetId="2">#REF!</definedName>
    <definedName name="Province_State">#REF!</definedName>
    <definedName name="Start_date">'Control Entry'!$B$7</definedName>
    <definedName name="Start_time">'Control Entry'!$B$8</definedName>
    <definedName name="surname" localSheetId="2">#REF!</definedName>
    <definedName name="surname">#REF!</definedName>
    <definedName name="Work_telephone" localSheetId="2">#REF!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B12" i="1" l="1"/>
  <c r="B13" i="1"/>
  <c r="B14" i="1"/>
  <c r="B16" i="1"/>
  <c r="B17" i="1"/>
  <c r="B18" i="1"/>
  <c r="B19" i="1"/>
  <c r="B15" i="1"/>
  <c r="E8" i="3" l="1"/>
  <c r="E7" i="3"/>
  <c r="E5" i="3"/>
  <c r="S20" i="3" l="1"/>
  <c r="F5" i="2"/>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0" i="1"/>
  <c r="N10" i="1"/>
  <c r="L32" i="1"/>
  <c r="L31" i="1"/>
  <c r="L30" i="1"/>
  <c r="L29" i="1"/>
  <c r="L28" i="1"/>
  <c r="L27" i="1"/>
  <c r="L26" i="1"/>
  <c r="L25" i="1"/>
  <c r="L24" i="1"/>
  <c r="L23"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1" i="1"/>
  <c r="M25" i="1" s="1"/>
  <c r="E4" i="3"/>
  <c r="E3" i="3"/>
  <c r="D31" i="3"/>
  <c r="D28" i="3"/>
  <c r="D25" i="3"/>
  <c r="D22" i="3"/>
  <c r="D19" i="3"/>
  <c r="D16" i="3"/>
  <c r="D13" i="3"/>
  <c r="D10" i="3"/>
  <c r="D7" i="3"/>
  <c r="D4" i="3"/>
  <c r="A31" i="3"/>
  <c r="A28" i="3"/>
  <c r="A25" i="3"/>
  <c r="A22" i="3"/>
  <c r="A19" i="3"/>
  <c r="A16" i="3"/>
  <c r="A13" i="3"/>
  <c r="A10" i="3"/>
  <c r="A7" i="3"/>
  <c r="A4" i="3"/>
  <c r="L19" i="1"/>
  <c r="M18" i="1"/>
  <c r="L18" i="1"/>
  <c r="L17" i="1"/>
  <c r="M16" i="1"/>
  <c r="L16" i="1"/>
  <c r="L15" i="1"/>
  <c r="M14" i="1"/>
  <c r="L14" i="1"/>
  <c r="L13" i="1"/>
  <c r="M12" i="1"/>
  <c r="L12" i="1"/>
  <c r="L11" i="1"/>
  <c r="L6" i="3"/>
  <c r="R5" i="3"/>
  <c r="P5" i="3"/>
  <c r="M10" i="1"/>
  <c r="O10" i="1" s="1"/>
  <c r="M4" i="3"/>
  <c r="L6" i="2"/>
  <c r="S20" i="2"/>
  <c r="R5" i="2"/>
  <c r="P5" i="2"/>
  <c r="A7"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2" i="1"/>
  <c r="M19" i="1" s="1"/>
  <c r="N26" i="1" l="1"/>
  <c r="B14" i="3" s="1"/>
  <c r="B4" i="2"/>
  <c r="O14" i="1"/>
  <c r="C17" i="2" s="1"/>
  <c r="N13" i="1"/>
  <c r="B14" i="2" s="1"/>
  <c r="O18" i="1"/>
  <c r="C27" i="2" s="1"/>
  <c r="N23" i="1"/>
  <c r="B5" i="3" s="1"/>
  <c r="N29" i="1"/>
  <c r="B21" i="3" s="1"/>
  <c r="M32" i="1"/>
  <c r="M11" i="1"/>
  <c r="M13" i="1"/>
  <c r="O13" i="1" s="1"/>
  <c r="N17" i="1"/>
  <c r="B25" i="2" s="1"/>
  <c r="M29" i="1"/>
  <c r="B3" i="2"/>
  <c r="M15" i="1"/>
  <c r="O15" i="1" s="1"/>
  <c r="M17" i="1"/>
  <c r="M28" i="1"/>
  <c r="B5" i="2"/>
  <c r="N12" i="1"/>
  <c r="B11" i="2" s="1"/>
  <c r="N16" i="1"/>
  <c r="B22" i="2" s="1"/>
  <c r="O17" i="1"/>
  <c r="C26" i="2" s="1"/>
  <c r="N19" i="1"/>
  <c r="B31" i="2" s="1"/>
  <c r="N30" i="1"/>
  <c r="B26" i="3" s="1"/>
  <c r="O32" i="1"/>
  <c r="C31" i="3" s="1"/>
  <c r="N32" i="1"/>
  <c r="B32" i="3" s="1"/>
  <c r="O19" i="1"/>
  <c r="C31" i="2" s="1"/>
  <c r="N11" i="1"/>
  <c r="B6" i="2" s="1"/>
  <c r="O12" i="1"/>
  <c r="N15" i="1"/>
  <c r="B19" i="2" s="1"/>
  <c r="O16" i="1"/>
  <c r="C23" i="2" s="1"/>
  <c r="N24" i="1"/>
  <c r="B6" i="3" s="1"/>
  <c r="N27" i="1"/>
  <c r="B16" i="3" s="1"/>
  <c r="O29" i="1"/>
  <c r="C23" i="3" s="1"/>
  <c r="O11" i="1"/>
  <c r="N14" i="1"/>
  <c r="B17" i="2" s="1"/>
  <c r="N18" i="1"/>
  <c r="B27" i="2" s="1"/>
  <c r="N25" i="1"/>
  <c r="B11" i="3" s="1"/>
  <c r="N28" i="1"/>
  <c r="B19" i="3" s="1"/>
  <c r="N31" i="1"/>
  <c r="B29" i="3" s="1"/>
  <c r="O28" i="1"/>
  <c r="C19" i="3" s="1"/>
  <c r="C30" i="3"/>
  <c r="B26" i="2"/>
  <c r="B21" i="2"/>
  <c r="B8" i="2"/>
  <c r="B12" i="2"/>
  <c r="B13" i="2"/>
  <c r="C4" i="2"/>
  <c r="C3" i="2"/>
  <c r="C5" i="2"/>
  <c r="O25" i="1"/>
  <c r="M24" i="1"/>
  <c r="O24" i="1" s="1"/>
  <c r="C15" i="2"/>
  <c r="M4" i="2"/>
  <c r="B3" i="3"/>
  <c r="B12" i="3"/>
  <c r="M31" i="1"/>
  <c r="O31" i="1" s="1"/>
  <c r="M27" i="1"/>
  <c r="O27" i="1" s="1"/>
  <c r="M23" i="1"/>
  <c r="O23" i="1" s="1"/>
  <c r="B13" i="3"/>
  <c r="B25" i="3"/>
  <c r="M30" i="1"/>
  <c r="O30" i="1" s="1"/>
  <c r="M26" i="1"/>
  <c r="O26" i="1" s="1"/>
  <c r="B11" i="1"/>
  <c r="C16" i="2"/>
  <c r="C25" i="2"/>
  <c r="B22" i="3" l="1"/>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1"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2" authorId="1" shapeId="0" xr:uid="{00000000-0006-0000-0000-000002000000}">
      <text>
        <r>
          <rPr>
            <sz val="8"/>
            <color rgb="FF000000"/>
            <rFont val="Tahoma"/>
            <family val="2"/>
          </rPr>
          <t>Partial result of closing time calculation to avoid limitation of only 7 nested functions</t>
        </r>
      </text>
    </comment>
    <comment ref="B4"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5"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7" authorId="0" shapeId="0" xr:uid="{00000000-0006-0000-0000-000005000000}">
      <text>
        <r>
          <rPr>
            <b/>
            <sz val="10"/>
            <color rgb="FF000000"/>
            <rFont val="Tahoma"/>
            <family val="2"/>
          </rPr>
          <t>Stephen Hinde:</t>
        </r>
        <r>
          <rPr>
            <sz val="10"/>
            <color rgb="FF000000"/>
            <rFont val="Tahoma"/>
            <family val="2"/>
          </rPr>
          <t xml:space="preserve">
</t>
        </r>
        <r>
          <rPr>
            <sz val="10"/>
            <color rgb="FF000000"/>
            <rFont val="Tahoma"/>
            <family val="2"/>
          </rPr>
          <t xml:space="preserve">Actual date
</t>
        </r>
        <r>
          <rPr>
            <sz val="10"/>
            <color rgb="FF000000"/>
            <rFont val="Tahoma"/>
            <family val="2"/>
          </rPr>
          <t xml:space="preserve">
</t>
        </r>
        <r>
          <rPr>
            <sz val="10"/>
            <color rgb="FF000000"/>
            <rFont val="Tahoma"/>
            <family val="2"/>
          </rPr>
          <t>Recommend using Schedule date</t>
        </r>
      </text>
    </comment>
  </commentList>
</comments>
</file>

<file path=xl/sharedStrings.xml><?xml version="1.0" encoding="utf-8"?>
<sst xmlns="http://schemas.openxmlformats.org/spreadsheetml/2006/main" count="324" uniqueCount="129">
  <si>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</si>
  <si>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</si>
  <si>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</si>
  <si>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</si>
  <si>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</si>
  <si>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</si>
  <si>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</si>
  <si>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</si>
  <si>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</si>
  <si>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</si>
  <si>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</si>
  <si>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</si>
  <si>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</si>
  <si>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</si>
  <si>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</si>
  <si>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</si>
  <si>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</si>
  <si>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</si>
  <si>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</si>
  <si>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</si>
  <si>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</si>
  <si>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</si>
  <si>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</si>
  <si>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</si>
  <si>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</si>
  <si>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</si>
  <si>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</si>
  <si>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</si>
  <si>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</si>
  <si>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</si>
  <si>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</si>
  <si>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</si>
  <si>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</si>
  <si>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</si>
  <si>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</si>
  <si>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</si>
  <si>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</si>
  <si>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</si>
  <si>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</si>
  <si>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</si>
  <si>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</si>
  <si>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</si>
  <si>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</si>
  <si>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</si>
  <si>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r>
      <t xml:space="preserve">Please </t>
    </r>
    <r>
      <rPr>
        <b/>
        <i/>
        <sz val="16"/>
        <rFont val="Arial"/>
        <family val="2"/>
      </rPr>
      <t>answer questions</t>
    </r>
    <r>
      <rPr>
        <i/>
        <sz val="16"/>
        <rFont val="Arial"/>
        <family val="2"/>
      </rPr>
      <t xml:space="preserve"> and</t>
    </r>
    <r>
      <rPr>
        <b/>
        <i/>
        <sz val="16"/>
        <rFont val="Arial"/>
        <family val="2"/>
      </rPr>
      <t xml:space="preserve"> note time of day</t>
    </r>
  </si>
  <si>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</si>
  <si>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</si>
  <si>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</si>
  <si>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</si>
  <si>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</si>
  <si>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</si>
  <si>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</si>
  <si>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</si>
  <si>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</si>
  <si>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</si>
  <si>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</si>
  <si>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</si>
  <si>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</si>
  <si>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</si>
  <si>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</si>
  <si>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</si>
  <si>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</si>
  <si>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</si>
  <si>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</si>
  <si>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</si>
  <si>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</si>
  <si>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</si>
  <si>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</si>
  <si>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</si>
  <si>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</si>
  <si>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Enter the start date.  This will always be the same as the schedule date, unless a ride window has been enabled.</t>
  </si>
  <si>
    <t>Enter the start time.  This will always be the official ACP listed start time found on the event page, unless a ride window has been enabled.</t>
  </si>
  <si>
    <t>Fill in the control distance.  The opening and closing times will be automatically calculated based on the start time and the brevet distance.  If you need more than 10 controls, use card #2, otherwise leave that section blank.</t>
  </si>
  <si>
    <t>Fill in the Locale (city) for each control.  Establishment 1, 2, and 3 can be used to describe the control itself eg Locale Hope  Est.1 Dairy Queen Est.2 817 Water Ave Est. 3 (leaft blank)</t>
  </si>
  <si>
    <t>When using information controls, you can put your question in the Signature/Answer section eg Sig/Ans.1 Sign on main door  Sig/Ans. 2  This week's special is?  Sig/Ans. 3 ________________</t>
  </si>
  <si>
    <t>Control Card #1 Information Control Question (optional)</t>
  </si>
  <si>
    <t>Note:  Control Card #1 will only show '#1' if a distance is entered into the first distance box for Control Card #2</t>
  </si>
  <si>
    <t>Control Card #2 Information Control Question (optional)</t>
  </si>
  <si>
    <t>Information Control</t>
  </si>
  <si>
    <t>Tim Hortons</t>
  </si>
  <si>
    <t>Stop sign</t>
  </si>
  <si>
    <t>_______________________</t>
  </si>
  <si>
    <t>Self Sign</t>
  </si>
  <si>
    <t>Self sign</t>
  </si>
  <si>
    <t xml:space="preserve">Control Card </t>
  </si>
  <si>
    <t>Tour of the Bays</t>
  </si>
  <si>
    <t>MILL BAY</t>
  </si>
  <si>
    <t>825 Deloume Rd</t>
  </si>
  <si>
    <t>COWICHAN STATION</t>
  </si>
  <si>
    <t>Mountain @Howie</t>
  </si>
  <si>
    <t>GENOA BAY</t>
  </si>
  <si>
    <t>Genoa Bay Café</t>
  </si>
  <si>
    <t>YELLOW POINT</t>
  </si>
  <si>
    <t>Robert's Memorial Park</t>
  </si>
  <si>
    <t>LANTZVILLE</t>
  </si>
  <si>
    <t>Lantzville Gravel Mart</t>
  </si>
  <si>
    <t>Industrial Rd.</t>
  </si>
  <si>
    <t>NANAIMO LAKES</t>
  </si>
  <si>
    <t>Logging Gate</t>
  </si>
  <si>
    <t>Nanaimo River Rd.</t>
  </si>
  <si>
    <t>CASSIDY</t>
  </si>
  <si>
    <t>Mailboxes</t>
  </si>
  <si>
    <t>Takala Rd.</t>
  </si>
  <si>
    <t>HONEYMOON BAY</t>
  </si>
  <si>
    <t>Gordon Bay Park Gate</t>
  </si>
  <si>
    <t>Walton Rd</t>
  </si>
  <si>
    <t>YOUBOU</t>
  </si>
  <si>
    <t>Arbutus Community Park</t>
  </si>
  <si>
    <t>Alder Cr.</t>
  </si>
  <si>
    <t>Bottom Line quote</t>
  </si>
  <si>
    <t>Tran Sign Ltd sticker on back of Stop sign</t>
  </si>
  <si>
    <t>Sign beside Dock D sign</t>
  </si>
  <si>
    <t>Control Card Lantzville</t>
  </si>
  <si>
    <t>Control Card Mill Bay</t>
  </si>
  <si>
    <t>Park sign</t>
  </si>
  <si>
    <t>$______________________</t>
  </si>
  <si>
    <t>Large sign to left of Gravel Mart</t>
  </si>
  <si>
    <t>West ________________Motor Sport?</t>
  </si>
  <si>
    <t>Sign on gate</t>
  </si>
  <si>
    <t>Public Access Weekends and ???</t>
  </si>
  <si>
    <t>Fine for not cleaning after pets?</t>
  </si>
  <si>
    <t>Year of manufacture(large dot marks it)?</t>
  </si>
  <si>
    <t>What beverage is advertised ?</t>
  </si>
  <si>
    <t>How many individual boxes?</t>
  </si>
  <si>
    <t>Gordon R Martin Memorial bench by door</t>
  </si>
  <si>
    <t>Sign near gate</t>
  </si>
  <si>
    <t>Name ONE park nearby</t>
  </si>
  <si>
    <t>On park sign</t>
  </si>
  <si>
    <t>Level of Fire Hazard?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</si>
</sst>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2"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20"/>
      <color theme="0" tint="-0.14999847407452621"/>
      <name val="Impact"/>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s>
  <fills count="3">
    <fill>
      <patternFill patternType="none"/>
    </fill>
    <fill>
      <patternFill patternType="gray125"/>
    </fill>
    <fill>
      <patternFill patternType="solid">
        <fgColor indexed="22"/>
        <bgColor indexed="64"/>
      </patternFill>
    </fill>
  </fills>
  <borders count="28">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5"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0">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7" fillId="0" borderId="16" xfId="0" applyFont="1" applyBorder="1" applyAlignment="1">
      <alignment horizontal="center" wrapText="1"/>
    </xf>
    <xf numFmtId="0" fontId="7" fillId="0" borderId="7" xfId="0" applyFont="1" applyBorder="1"/>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8" xfId="0" applyBorder="1"/>
    <xf numFmtId="0" fontId="0" fillId="0" borderId="19" xfId="0" applyBorder="1"/>
    <xf numFmtId="0" fontId="0" fillId="0" borderId="6" xfId="0" applyBorder="1"/>
    <xf numFmtId="0" fontId="10" fillId="0" borderId="18" xfId="0" applyFont="1" applyBorder="1" applyProtection="1">
      <protection locked="0"/>
    </xf>
    <xf numFmtId="0" fontId="0" fillId="0" borderId="18" xfId="0" applyBorder="1" applyProtection="1">
      <protection locked="0"/>
    </xf>
    <xf numFmtId="0" fontId="10" fillId="0" borderId="18" xfId="0" applyFont="1" applyBorder="1" applyProtection="1"/>
    <xf numFmtId="0" fontId="10" fillId="0" borderId="0" xfId="0" applyFont="1" applyProtection="1"/>
    <xf numFmtId="0" fontId="0" fillId="0" borderId="0" xfId="0" applyProtection="1"/>
    <xf numFmtId="0" fontId="0" fillId="0" borderId="18" xfId="0" applyBorder="1"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8"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8" fillId="0" borderId="18" xfId="0" applyFont="1" applyBorder="1" applyProtection="1"/>
    <xf numFmtId="0" fontId="12" fillId="0" borderId="18" xfId="0" applyFont="1" applyBorder="1" applyProtection="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0" fillId="2" borderId="25" xfId="0" applyFill="1" applyBorder="1" applyAlignment="1">
      <alignment horizontal="right"/>
    </xf>
    <xf numFmtId="0" fontId="10" fillId="0" borderId="5" xfId="0" applyFont="1" applyBorder="1" applyProtection="1"/>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6" xfId="0" applyNumberFormat="1" applyBorder="1" applyProtection="1">
      <protection locked="0"/>
    </xf>
    <xf numFmtId="0" fontId="24" fillId="0" borderId="18" xfId="0" applyFont="1" applyBorder="1" applyProtection="1"/>
    <xf numFmtId="0" fontId="10" fillId="0" borderId="22" xfId="0" applyFont="1" applyBorder="1"/>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0" fontId="7" fillId="0" borderId="18" xfId="0" applyFont="1" applyFill="1" applyBorder="1" applyAlignment="1">
      <alignment horizontal="center" wrapText="1"/>
    </xf>
    <xf numFmtId="169" fontId="7" fillId="0" borderId="18" xfId="0" applyNumberFormat="1" applyFont="1" applyFill="1" applyBorder="1" applyAlignment="1">
      <alignment horizontal="left" wrapText="1"/>
    </xf>
    <xf numFmtId="168" fontId="10" fillId="0" borderId="18" xfId="0" applyNumberFormat="1" applyFont="1" applyBorder="1" applyAlignment="1">
      <alignment horizontal="center"/>
    </xf>
    <xf numFmtId="18" fontId="23" fillId="0" borderId="0" xfId="0" applyNumberFormat="1" applyFont="1" applyBorder="1" applyAlignment="1">
      <alignment horizontal="center" wrapText="1"/>
    </xf>
    <xf numFmtId="0" fontId="0" fillId="0" borderId="18" xfId="0" applyBorder="1" applyAlignment="1" applyProtection="1">
      <alignment horizontal="left"/>
    </xf>
    <xf numFmtId="169" fontId="12" fillId="0" borderId="18" xfId="0" applyNumberFormat="1" applyFont="1" applyBorder="1" applyAlignment="1" applyProtection="1">
      <alignment horizontal="center"/>
    </xf>
    <xf numFmtId="169" fontId="10" fillId="0" borderId="18" xfId="0" applyNumberFormat="1" applyFont="1" applyBorder="1" applyAlignment="1" applyProtection="1">
      <alignment horizontal="center"/>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9" fillId="0" borderId="0" xfId="0" applyFont="1" applyBorder="1" applyAlignment="1">
      <alignment horizontal="center" wrapText="1"/>
    </xf>
    <xf numFmtId="0" fontId="28" fillId="2" borderId="12" xfId="0" applyFont="1" applyFill="1" applyBorder="1"/>
    <xf numFmtId="0" fontId="28"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0" fontId="13" fillId="0" borderId="9" xfId="0" applyFont="1" applyBorder="1" applyAlignment="1"/>
    <xf numFmtId="0" fontId="13" fillId="0" borderId="5" xfId="0" applyFont="1" applyBorder="1" applyAlignment="1"/>
    <xf numFmtId="0" fontId="13" fillId="0" borderId="10" xfId="0" applyFont="1" applyBorder="1" applyAlignment="1"/>
    <xf numFmtId="1" fontId="13" fillId="0" borderId="4" xfId="0" applyNumberFormat="1" applyFont="1" applyBorder="1" applyProtection="1">
      <protection locked="0"/>
    </xf>
    <xf numFmtId="15" fontId="13" fillId="0" borderId="4" xfId="0" applyNumberFormat="1" applyFont="1" applyBorder="1" applyProtection="1">
      <protection locked="0"/>
    </xf>
    <xf numFmtId="15" fontId="13" fillId="0" borderId="23" xfId="0" applyNumberFormat="1" applyFont="1" applyBorder="1" applyProtection="1">
      <protection locked="0"/>
    </xf>
    <xf numFmtId="20" fontId="13" fillId="0" borderId="8" xfId="0" applyNumberFormat="1" applyFont="1" applyBorder="1" applyProtection="1">
      <protection locked="0"/>
    </xf>
    <xf numFmtId="0" fontId="29" fillId="0" borderId="0" xfId="0" applyFont="1"/>
    <xf numFmtId="0" fontId="0"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7" xfId="0" applyFont="1" applyBorder="1" applyProtection="1">
      <protection locked="0"/>
    </xf>
    <xf numFmtId="49" fontId="5" fillId="0" borderId="27" xfId="0" applyNumberFormat="1" applyFont="1" applyBorder="1" applyAlignment="1" applyProtection="1">
      <alignment horizontal="center"/>
      <protection locked="0"/>
    </xf>
    <xf numFmtId="49" fontId="5" fillId="0" borderId="24" xfId="0" applyNumberFormat="1" applyFont="1" applyBorder="1" applyAlignment="1" applyProtection="1">
      <alignment horizontal="center"/>
      <protection locked="0"/>
    </xf>
    <xf numFmtId="0" fontId="14" fillId="0" borderId="7" xfId="0" applyFont="1" applyBorder="1" applyAlignment="1">
      <alignment horizontal="center" wrapText="1"/>
    </xf>
    <xf numFmtId="49" fontId="0" fillId="0" borderId="4" xfId="0" applyNumberFormat="1" applyFont="1" applyBorder="1" applyAlignment="1" applyProtection="1">
      <alignment horizontal="center"/>
      <protection locked="0"/>
    </xf>
    <xf numFmtId="49" fontId="30" fillId="0" borderId="14" xfId="0" applyNumberFormat="1" applyFont="1" applyBorder="1" applyAlignment="1" applyProtection="1">
      <alignment horizontal="center"/>
      <protection locked="0"/>
    </xf>
    <xf numFmtId="49" fontId="31" fillId="0" borderId="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30" fillId="0" borderId="27" xfId="0" applyNumberFormat="1" applyFont="1" applyBorder="1" applyAlignment="1" applyProtection="1">
      <alignment horizontal="center"/>
      <protection locked="0"/>
    </xf>
    <xf numFmtId="49" fontId="30" fillId="0" borderId="24" xfId="0" applyNumberFormat="1" applyFont="1" applyBorder="1" applyAlignment="1" applyProtection="1">
      <alignment horizontal="center"/>
      <protection locked="0"/>
    </xf>
    <xf numFmtId="0" fontId="0" fillId="0" borderId="14" xfId="0" applyFont="1" applyBorder="1" applyProtection="1">
      <protection locked="0"/>
    </xf>
    <xf numFmtId="49" fontId="0" fillId="0" borderId="14"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29" fillId="0" borderId="0" xfId="0" applyFont="1" applyAlignment="1">
      <alignment horizontal="right"/>
    </xf>
    <xf numFmtId="0" fontId="0" fillId="2" borderId="9" xfId="0"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xf numFmtId="0" fontId="6" fillId="0" borderId="0" xfId="0" applyFont="1" applyBorder="1" applyAlignment="1" applyProtection="1">
      <alignment horizontal="center" wrapText="1"/>
    </xf>
    <xf numFmtId="0" fontId="6" fillId="0" borderId="0" xfId="0" applyFont="1" applyBorder="1" applyAlignment="1" applyProtection="1">
      <alignment horizontal="center" vertical="top" wrapText="1"/>
    </xf>
    <xf numFmtId="0" fontId="5" fillId="2" borderId="9" xfId="0" applyFont="1" applyFill="1" applyBorder="1" applyAlignment="1">
      <alignment horizont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Columbine@Interurba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showGridLines="0" tabSelected="1" zoomScale="135" zoomScaleNormal="135" zoomScalePageLayoutView="135" workbookViewId="0">
      <selection activeCell="B1" sqref="B1"/>
    </sheetView>
  </sheetViews>
  <sheetFormatPr baseColWidth="10" defaultColWidth="8.83203125" defaultRowHeight="13" x14ac:dyDescent="0.15"/>
  <cols>
    <col min="1" max="1" width="16.5" style="2" customWidth="1"/>
    <col min="2" max="2" width="9.83203125" bestFit="1" customWidth="1"/>
    <col min="3" max="3" width="0" style="3" hidden="1" customWidth="1"/>
    <col min="4" max="4" width="8.33203125" customWidth="1"/>
    <col min="5" max="5" width="17" bestFit="1" customWidth="1"/>
    <col min="6" max="6" width="18" bestFit="1" customWidth="1"/>
    <col min="7" max="7" width="22.1640625" bestFit="1" customWidth="1"/>
    <col min="8" max="8" width="25.1640625" bestFit="1" customWidth="1"/>
    <col min="9" max="11" width="31.1640625" customWidth="1"/>
    <col min="12" max="15" width="17.83203125" hidden="1" customWidth="1"/>
  </cols>
  <sheetData>
    <row r="1" spans="1:23" ht="18" x14ac:dyDescent="0.2">
      <c r="A1" s="13" t="s">
        <v>18</v>
      </c>
      <c r="B1" s="90">
        <v>400</v>
      </c>
      <c r="C1">
        <f>IF(Brevet_Length&gt;=1200,Brevet_Length,IF(Brevet_Length&gt;=1000,1000,IF(Brevet_Length&gt;=600,600,IF(Brevet_Length&gt;=400,400,IF(Brevet_Length&gt;=300,300,IF(Brevet_Length&gt;=200,200,100))))))</f>
        <v>400</v>
      </c>
      <c r="J1" s="118" t="s">
        <v>64</v>
      </c>
      <c r="K1" s="118"/>
      <c r="Q1" s="98" t="s">
        <v>65</v>
      </c>
      <c r="R1" s="98"/>
      <c r="S1" s="98"/>
      <c r="T1" s="98"/>
      <c r="U1" s="98"/>
      <c r="V1" s="98"/>
      <c r="W1" s="98"/>
    </row>
    <row r="2" spans="1:23" ht="14" thickBot="1" x14ac:dyDescent="0.2">
      <c r="A2" s="14" t="s">
        <v>19</v>
      </c>
      <c r="B2" s="15">
        <f>IF(brevet=1200,90,IF(brevet=1000,75,IF(brevet=600,40,IF(brevet=400,27,IF(brevet=300,20,IF(brevet=200,13.5,IF(brevet=100,7,0)))))))</f>
        <v>27</v>
      </c>
      <c r="Q2" t="s">
        <v>66</v>
      </c>
    </row>
    <row r="3" spans="1:23" ht="19" thickBot="1" x14ac:dyDescent="0.25">
      <c r="A3" s="14" t="s">
        <v>20</v>
      </c>
      <c r="B3" s="91" t="s">
        <v>85</v>
      </c>
      <c r="C3" s="92"/>
      <c r="D3" s="92"/>
      <c r="E3" s="92"/>
      <c r="F3" s="92"/>
      <c r="G3" s="92"/>
      <c r="H3" s="93"/>
      <c r="I3" s="35"/>
      <c r="J3" s="35"/>
      <c r="K3" s="35"/>
      <c r="O3" s="36"/>
      <c r="P3" s="36"/>
      <c r="Q3" s="98" t="s">
        <v>67</v>
      </c>
    </row>
    <row r="4" spans="1:23" ht="18" x14ac:dyDescent="0.2">
      <c r="A4" s="14" t="s">
        <v>21</v>
      </c>
      <c r="B4" s="94">
        <v>5096</v>
      </c>
      <c r="C4" s="32"/>
      <c r="F4" s="33"/>
      <c r="G4" s="33"/>
      <c r="H4" s="33"/>
      <c r="I4" s="33"/>
      <c r="J4" s="33"/>
      <c r="K4" s="33"/>
      <c r="Q4" s="98" t="s">
        <v>68</v>
      </c>
    </row>
    <row r="5" spans="1:23" ht="18" x14ac:dyDescent="0.2">
      <c r="A5" s="60" t="s">
        <v>49</v>
      </c>
      <c r="B5" s="95">
        <v>44387</v>
      </c>
      <c r="Q5" s="98" t="s">
        <v>69</v>
      </c>
    </row>
    <row r="6" spans="1:23" ht="6" customHeight="1" x14ac:dyDescent="0.15"/>
    <row r="7" spans="1:23" ht="19" thickBot="1" x14ac:dyDescent="0.25">
      <c r="A7" s="56" t="s">
        <v>22</v>
      </c>
      <c r="B7" s="96">
        <v>44387</v>
      </c>
      <c r="Q7" s="98" t="s">
        <v>70</v>
      </c>
    </row>
    <row r="8" spans="1:23" ht="19" thickBot="1" x14ac:dyDescent="0.25">
      <c r="A8" s="12" t="s">
        <v>23</v>
      </c>
      <c r="B8" s="97">
        <v>0.25</v>
      </c>
      <c r="D8" s="139" t="s">
        <v>113</v>
      </c>
      <c r="E8" s="120"/>
      <c r="F8" s="120"/>
      <c r="G8" s="120"/>
      <c r="H8" s="120"/>
      <c r="I8" s="119" t="s">
        <v>75</v>
      </c>
      <c r="J8" s="120"/>
      <c r="K8" s="121"/>
      <c r="Q8" s="98" t="s">
        <v>71</v>
      </c>
    </row>
    <row r="9" spans="1:23" ht="14" thickBot="1" x14ac:dyDescent="0.2">
      <c r="D9" s="6" t="s">
        <v>24</v>
      </c>
      <c r="E9" s="7" t="s">
        <v>25</v>
      </c>
      <c r="F9" s="84" t="s">
        <v>26</v>
      </c>
      <c r="G9" s="84" t="s">
        <v>27</v>
      </c>
      <c r="H9" s="85" t="s">
        <v>28</v>
      </c>
      <c r="I9" s="7" t="s">
        <v>61</v>
      </c>
      <c r="J9" s="7" t="s">
        <v>62</v>
      </c>
      <c r="K9" s="8" t="s">
        <v>63</v>
      </c>
      <c r="L9" t="s">
        <v>3</v>
      </c>
      <c r="M9" t="s">
        <v>4</v>
      </c>
      <c r="N9" t="s">
        <v>5</v>
      </c>
      <c r="O9" t="s">
        <v>6</v>
      </c>
      <c r="Q9" s="98" t="s">
        <v>72</v>
      </c>
    </row>
    <row r="10" spans="1:23" ht="17" customHeight="1" x14ac:dyDescent="0.2">
      <c r="C10" s="3" t="s">
        <v>7</v>
      </c>
      <c r="D10" s="34">
        <v>0</v>
      </c>
      <c r="E10" s="101" t="s">
        <v>86</v>
      </c>
      <c r="F10" s="102" t="s">
        <v>78</v>
      </c>
      <c r="G10" s="102" t="s">
        <v>79</v>
      </c>
      <c r="H10" s="103" t="s">
        <v>87</v>
      </c>
      <c r="I10" s="109" t="s">
        <v>124</v>
      </c>
      <c r="J10" s="109" t="s">
        <v>109</v>
      </c>
      <c r="K10" s="110" t="s">
        <v>81</v>
      </c>
      <c r="L10" s="4">
        <f>Start_date+Start_time</f>
        <v>44387.25</v>
      </c>
      <c r="M10" s="4">
        <f>L10+"1:00"</f>
        <v>44387.291666666664</v>
      </c>
      <c r="N10" s="5">
        <f>IF(ISBLANK(Distance),"",Open Control_1)</f>
        <v>44387.25</v>
      </c>
      <c r="O10" s="5">
        <f>IF(ISBLANK(Distance),"",Close Control_1)</f>
        <v>44387.291666666664</v>
      </c>
      <c r="Q10" s="98" t="s">
        <v>73</v>
      </c>
    </row>
    <row r="11" spans="1:23" ht="17" customHeight="1" x14ac:dyDescent="0.2">
      <c r="B11" s="117">
        <f>B$19+D11</f>
        <v>274.79999999999995</v>
      </c>
      <c r="C11" s="3" t="s">
        <v>8</v>
      </c>
      <c r="D11" s="34">
        <v>24</v>
      </c>
      <c r="E11" s="101" t="s">
        <v>88</v>
      </c>
      <c r="F11" s="102" t="s">
        <v>78</v>
      </c>
      <c r="G11" s="102" t="s">
        <v>80</v>
      </c>
      <c r="H11" s="103" t="s">
        <v>89</v>
      </c>
      <c r="I11" s="109" t="s">
        <v>110</v>
      </c>
      <c r="J11" s="109" t="s">
        <v>121</v>
      </c>
      <c r="K11" s="110" t="s">
        <v>81</v>
      </c>
      <c r="L11">
        <f>IF(ISBLANK(Distance),"",IF(Distance&gt;1000,(Distance-1000)/26+33.0847,(IF(Distance&gt;600,(Distance-600)/28+18.799,(IF(Distance&gt;400,(Distance-400)/30+12.1324,(IF(Distance&gt;200,(Distance-200)/32+5.8824,Distance/34))))))))</f>
        <v>0.70588235294117652</v>
      </c>
      <c r="M11">
        <f>IF(ISBLANK(Distance),"",IF(Distance&gt;=brevet,IF(brevet&gt;1200,(brevet-1200)*75/1000+90,Max_time),IF(Distance&gt;1200,(Distance-1200)*75/1000+90,IF(Distance&gt;1000,(Distance-1000)/(1000/75)+75,IF(Distance&gt;600,(Distance-600)/(400/35)+40,Distance/15)))))</f>
        <v>1.6</v>
      </c>
      <c r="N11" s="5">
        <f>IF(ISBLANK(Distance),"",Open_time Control_1+(INT(Open)&amp;":"&amp;IF(ROUND(((Open-INT(Open))*60),0)&lt;10,0,"")&amp;ROUND(((Open-INT(Open))*60),0)))</f>
        <v>44387.279166666667</v>
      </c>
      <c r="O11" s="5">
        <f>IF(ISBLANK(Distance),"",Open_time Control_1+(INT(Close)&amp;":"&amp;IF(ROUND(((Close-INT(Close))*60),0)&lt;10,0,"")&amp;ROUND(((Close-INT(Close))*60),0)))</f>
        <v>44387.316666666666</v>
      </c>
      <c r="Q11" s="98" t="s">
        <v>74</v>
      </c>
    </row>
    <row r="12" spans="1:23" ht="17" customHeight="1" x14ac:dyDescent="0.2">
      <c r="B12" s="117">
        <f t="shared" ref="B12:B14" si="0">B$19+D12</f>
        <v>303.89999999999998</v>
      </c>
      <c r="C12" s="3" t="s">
        <v>9</v>
      </c>
      <c r="D12" s="34">
        <v>53.1</v>
      </c>
      <c r="E12" s="101" t="s">
        <v>90</v>
      </c>
      <c r="F12" s="102" t="s">
        <v>78</v>
      </c>
      <c r="G12" s="102" t="s">
        <v>91</v>
      </c>
      <c r="H12" s="103"/>
      <c r="I12" s="109" t="s">
        <v>111</v>
      </c>
      <c r="J12" s="109" t="s">
        <v>122</v>
      </c>
      <c r="K12" s="110" t="s">
        <v>81</v>
      </c>
      <c r="L12">
        <f>IF(ISBLANK(Distance),"",IF(Distance&gt;1000,(Distance-1000)/26+33.0847,(IF(Distance&gt;600,(Distance-600)/28+18.799,(IF(Distance&gt;400,(Distance-400)/30+12.1324,(IF(Distance&gt;200,(Distance-200)/32+5.8824,Distance/34))))))))</f>
        <v>1.5617647058823529</v>
      </c>
      <c r="M12">
        <f t="shared" ref="M12:M19" si="1">IF(ISBLANK(Distance),"",IF(Distance&gt;=brevet,IF(brevet&gt;1200,(brevet-1200)*75/1000+90,Max_time),IF(Distance&gt;1200,(Distance-1200)*75/1000+90,IF(Distance&gt;1000,(Distance-1000)/(1000/75)+75,IF(Distance&gt;600,(Distance-600)/(400/35)+40,Distance/15)))))</f>
        <v>3.54</v>
      </c>
      <c r="N12" s="5">
        <f>IF(ISBLANK(Distance),"",Open_time Control_1+(INT(Open)&amp;":"&amp;IF(ROUND(((Open-INT(Open))*60),0)&lt;10,0,"")&amp;ROUND(((Open-INT(Open))*60),0)))</f>
        <v>44387.31527777778</v>
      </c>
      <c r="O12" s="5">
        <f>IF(ISBLANK(Distance),"",Open_time Control_1+(INT(Close)&amp;":"&amp;IF(ROUND(((Close-INT(Close))*60),0)&lt;10,0,"")&amp;ROUND(((Close-INT(Close))*60),0)))</f>
        <v>44387.397222222222</v>
      </c>
    </row>
    <row r="13" spans="1:23" ht="17" customHeight="1" x14ac:dyDescent="0.2">
      <c r="B13" s="117">
        <f t="shared" si="0"/>
        <v>358.7</v>
      </c>
      <c r="C13" s="3" t="s">
        <v>10</v>
      </c>
      <c r="D13" s="34">
        <v>107.9</v>
      </c>
      <c r="E13" s="101" t="s">
        <v>92</v>
      </c>
      <c r="F13" s="102" t="s">
        <v>78</v>
      </c>
      <c r="G13" s="102" t="s">
        <v>93</v>
      </c>
      <c r="H13" s="103"/>
      <c r="I13" s="109" t="s">
        <v>114</v>
      </c>
      <c r="J13" s="109" t="s">
        <v>120</v>
      </c>
      <c r="K13" s="110" t="s">
        <v>115</v>
      </c>
      <c r="L13">
        <f t="shared" ref="L13:L19" si="2">IF(ISBLANK(Distance),"",IF(Distance&gt;1000,(Distance-1000)/26+33.0847,(IF(Distance&gt;600,(Distance-600)/28+18.799,(IF(Distance&gt;400,(Distance-400)/30+12.1324,(IF(Distance&gt;200,(Distance-200)/32+5.8824,Distance/34))))))))</f>
        <v>3.1735294117647062</v>
      </c>
      <c r="M13">
        <f t="shared" si="1"/>
        <v>7.1933333333333334</v>
      </c>
      <c r="N13" s="5">
        <f>IF(ISBLANK(Distance),"",Open_time Control_1+(INT(Open)&amp;":"&amp;IF(ROUND(((Open-INT(Open))*60),0)&lt;10,0,"")&amp;ROUND(((Open-INT(Open))*60),0)))</f>
        <v>44387.381944444445</v>
      </c>
      <c r="O13" s="5">
        <f>IF(ISBLANK(Distance),"",Open_time Control_1+(INT(Close)&amp;":"&amp;IF(ROUND(((Close-INT(Close))*60),0)&lt;10,0,"")&amp;ROUND(((Close-INT(Close))*60),0)))</f>
        <v>44387.55</v>
      </c>
    </row>
    <row r="14" spans="1:23" ht="17" customHeight="1" x14ac:dyDescent="0.2">
      <c r="B14" s="117">
        <f t="shared" si="0"/>
        <v>401.2</v>
      </c>
      <c r="C14" s="3" t="s">
        <v>11</v>
      </c>
      <c r="D14" s="34">
        <v>150.4</v>
      </c>
      <c r="E14" s="101" t="s">
        <v>94</v>
      </c>
      <c r="F14" s="102" t="s">
        <v>78</v>
      </c>
      <c r="G14" s="102" t="s">
        <v>95</v>
      </c>
      <c r="H14" s="103" t="s">
        <v>96</v>
      </c>
      <c r="I14" s="109" t="s">
        <v>116</v>
      </c>
      <c r="J14" s="109"/>
      <c r="K14" s="111" t="s">
        <v>117</v>
      </c>
      <c r="L14">
        <f t="shared" si="2"/>
        <v>4.4235294117647062</v>
      </c>
      <c r="M14">
        <f t="shared" si="1"/>
        <v>10.026666666666667</v>
      </c>
      <c r="N14" s="5">
        <f>IF(ISBLANK(Distance),"",Open_time Control_1+(INT(Open)&amp;":"&amp;IF(ROUND(((Open-INT(Open))*60),0)&lt;10,0,"")&amp;ROUND(((Open-INT(Open))*60),0)))</f>
        <v>44387.434027777781</v>
      </c>
      <c r="O14" s="5">
        <f>IF(ISBLANK(Distance),"",Open_time Control_1+(INT(Close)&amp;":"&amp;IF(ROUND(((Close-INT(Close))*60),0)&lt;10,0,"")&amp;ROUND(((Close-INT(Close))*60),0)))</f>
        <v>44387.668055555558</v>
      </c>
      <c r="Q14" s="99" t="s">
        <v>76</v>
      </c>
    </row>
    <row r="15" spans="1:23" ht="17" customHeight="1" x14ac:dyDescent="0.2">
      <c r="B15" s="117">
        <f>D15-D$14</f>
        <v>45</v>
      </c>
      <c r="C15" s="3" t="s">
        <v>12</v>
      </c>
      <c r="D15" s="34">
        <v>195.4</v>
      </c>
      <c r="E15" s="101" t="s">
        <v>97</v>
      </c>
      <c r="F15" s="102" t="s">
        <v>78</v>
      </c>
      <c r="G15" s="102" t="s">
        <v>98</v>
      </c>
      <c r="H15" s="103" t="s">
        <v>99</v>
      </c>
      <c r="I15" s="109" t="s">
        <v>118</v>
      </c>
      <c r="J15" s="109" t="s">
        <v>119</v>
      </c>
      <c r="K15" s="110" t="s">
        <v>81</v>
      </c>
      <c r="L15">
        <f t="shared" si="2"/>
        <v>5.7470588235294118</v>
      </c>
      <c r="M15">
        <f t="shared" si="1"/>
        <v>13.026666666666667</v>
      </c>
      <c r="N15" s="5">
        <f>IF(ISBLANK(Distance),"",Open_time Control_1+(INT(Open)&amp;":"&amp;IF(ROUND(((Open-INT(Open))*60),0)&lt;10,0,"")&amp;ROUND(((Open-INT(Open))*60),0)))</f>
        <v>44387.489583333336</v>
      </c>
      <c r="O15" s="5">
        <f>IF(ISBLANK(Distance),"",Open_time Control_1+(INT(Close)&amp;":"&amp;IF(ROUND(((Close-INT(Close))*60),0)&lt;10,0,"")&amp;ROUND(((Close-INT(Close))*60),0)))</f>
        <v>44387.793055555558</v>
      </c>
    </row>
    <row r="16" spans="1:23" ht="17" customHeight="1" x14ac:dyDescent="0.2">
      <c r="B16" s="117">
        <f t="shared" ref="B16:B19" si="3">D16-D$14</f>
        <v>72.400000000000006</v>
      </c>
      <c r="C16" s="3" t="s">
        <v>13</v>
      </c>
      <c r="D16" s="34">
        <v>222.8</v>
      </c>
      <c r="E16" s="101" t="s">
        <v>100</v>
      </c>
      <c r="F16" s="102" t="s">
        <v>78</v>
      </c>
      <c r="G16" s="102" t="s">
        <v>101</v>
      </c>
      <c r="H16" s="103" t="s">
        <v>102</v>
      </c>
      <c r="I16" s="109" t="s">
        <v>123</v>
      </c>
      <c r="J16" s="109"/>
      <c r="K16" s="110" t="s">
        <v>81</v>
      </c>
      <c r="L16">
        <f t="shared" si="2"/>
        <v>6.5949</v>
      </c>
      <c r="M16">
        <f t="shared" si="1"/>
        <v>14.853333333333333</v>
      </c>
      <c r="N16" s="5">
        <f>IF(ISBLANK(Distance),"",Open_time Control_1+(INT(Open)&amp;":"&amp;IF(ROUND(((Open-INT(Open))*60),0)&lt;10,0,"")&amp;ROUND(((Open-INT(Open))*60),0)))</f>
        <v>44387.525000000001</v>
      </c>
      <c r="O16" s="5">
        <f>IF(ISBLANK(Distance),"",Open_time Control_1+(INT(Close)&amp;":"&amp;IF(ROUND(((Close-INT(Close))*60),0)&lt;10,0,"")&amp;ROUND(((Close-INT(Close))*60),0)))</f>
        <v>44387.868750000001</v>
      </c>
    </row>
    <row r="17" spans="2:15" ht="17" customHeight="1" x14ac:dyDescent="0.2">
      <c r="B17" s="117">
        <f t="shared" si="3"/>
        <v>156.6</v>
      </c>
      <c r="C17" s="3" t="s">
        <v>14</v>
      </c>
      <c r="D17" s="34">
        <v>307</v>
      </c>
      <c r="E17" s="101" t="s">
        <v>103</v>
      </c>
      <c r="F17" s="102" t="s">
        <v>78</v>
      </c>
      <c r="G17" s="102" t="s">
        <v>104</v>
      </c>
      <c r="H17" s="103" t="s">
        <v>105</v>
      </c>
      <c r="I17" s="109" t="s">
        <v>125</v>
      </c>
      <c r="J17" s="109" t="s">
        <v>126</v>
      </c>
      <c r="K17" s="110" t="s">
        <v>81</v>
      </c>
      <c r="L17">
        <f t="shared" si="2"/>
        <v>9.2261500000000005</v>
      </c>
      <c r="M17">
        <f t="shared" si="1"/>
        <v>20.466666666666665</v>
      </c>
      <c r="N17" s="5">
        <f>IF(ISBLANK(Distance),"",Open_time Control_1+(INT(Open)&amp;":"&amp;IF(ROUND(((Open-INT(Open))*60),0)&lt;10,0,"")&amp;ROUND(((Open-INT(Open))*60),0)))</f>
        <v>44387.634722222225</v>
      </c>
      <c r="O17" s="5">
        <f>IF(ISBLANK(Distance),"",Open_time Control_1+(INT(Close)&amp;":"&amp;IF(ROUND(((Close-INT(Close))*60),0)&lt;10,0,"")&amp;ROUND(((Close-INT(Close))*60),0)))</f>
        <v>44388.102777777778</v>
      </c>
    </row>
    <row r="18" spans="2:15" ht="17" customHeight="1" x14ac:dyDescent="0.2">
      <c r="B18" s="117">
        <f t="shared" si="3"/>
        <v>185.1</v>
      </c>
      <c r="C18" s="3" t="s">
        <v>15</v>
      </c>
      <c r="D18" s="34">
        <v>335.5</v>
      </c>
      <c r="E18" s="101" t="s">
        <v>106</v>
      </c>
      <c r="F18" s="102" t="s">
        <v>78</v>
      </c>
      <c r="G18" s="102" t="s">
        <v>107</v>
      </c>
      <c r="H18" s="103" t="s">
        <v>108</v>
      </c>
      <c r="I18" s="109" t="s">
        <v>127</v>
      </c>
      <c r="J18" s="109" t="s">
        <v>128</v>
      </c>
      <c r="K18" s="111" t="s">
        <v>81</v>
      </c>
      <c r="L18">
        <f t="shared" si="2"/>
        <v>10.116775000000001</v>
      </c>
      <c r="M18">
        <f t="shared" si="1"/>
        <v>22.366666666666667</v>
      </c>
      <c r="N18" s="5">
        <f>IF(ISBLANK(Distance),"",Open_time Control_1+(INT(Open)&amp;":"&amp;IF(ROUND(((Open-INT(Open))*60),0)&lt;10,0,"")&amp;ROUND(((Open-INT(Open))*60),0)))</f>
        <v>44387.671527777777</v>
      </c>
      <c r="O18" s="5">
        <f>IF(ISBLANK(Distance),"",Open_time Control_1+(INT(Close)&amp;":"&amp;IF(ROUND(((Close-INT(Close))*60),0)&lt;10,0,"")&amp;ROUND(((Close-INT(Close))*60),0)))</f>
        <v>44388.181944444441</v>
      </c>
    </row>
    <row r="19" spans="2:15" ht="17" customHeight="1" thickBot="1" x14ac:dyDescent="0.25">
      <c r="B19" s="117">
        <f t="shared" si="3"/>
        <v>250.79999999999998</v>
      </c>
      <c r="C19" s="3" t="s">
        <v>16</v>
      </c>
      <c r="D19" s="64">
        <v>401.2</v>
      </c>
      <c r="E19" s="104" t="s">
        <v>86</v>
      </c>
      <c r="F19" s="105" t="s">
        <v>78</v>
      </c>
      <c r="G19" s="105" t="s">
        <v>79</v>
      </c>
      <c r="H19" s="106" t="s">
        <v>87</v>
      </c>
      <c r="I19" s="112" t="s">
        <v>82</v>
      </c>
      <c r="J19" s="112"/>
      <c r="K19" s="113"/>
      <c r="L19">
        <f t="shared" si="2"/>
        <v>12.1724</v>
      </c>
      <c r="M19">
        <f t="shared" si="1"/>
        <v>27</v>
      </c>
      <c r="N19" s="5">
        <f>IF(ISBLANK(Distance),"",Open_time Control_1+(INT(Open)&amp;":"&amp;IF(ROUND(((Open-INT(Open))*60),0)&lt;10,0,"")&amp;ROUND(((Open-INT(Open))*60),0)))</f>
        <v>44387.756944444445</v>
      </c>
      <c r="O19" s="5">
        <f>IF(ISBLANK(Distance),"",Open_time Control_1+(INT(Close)&amp;":"&amp;IF(ROUND(((Close-INT(Close))*60),0)&lt;10,0,"")&amp;ROUND(((Close-INT(Close))*60),0)))</f>
        <v>44388.375</v>
      </c>
    </row>
    <row r="20" spans="2:15" ht="7" customHeight="1" thickBot="1" x14ac:dyDescent="0.25">
      <c r="D20" s="86"/>
      <c r="E20" s="87"/>
      <c r="F20" s="88"/>
      <c r="G20" s="88"/>
      <c r="H20" s="88"/>
      <c r="I20" s="88"/>
      <c r="J20" s="88"/>
      <c r="K20" s="89"/>
      <c r="N20" s="5"/>
      <c r="O20" s="5"/>
    </row>
    <row r="21" spans="2:15" ht="14" thickBot="1" x14ac:dyDescent="0.2">
      <c r="D21" s="139" t="s">
        <v>112</v>
      </c>
      <c r="E21" s="120"/>
      <c r="F21" s="120"/>
      <c r="G21" s="120"/>
      <c r="H21" s="120"/>
      <c r="I21" s="119" t="s">
        <v>77</v>
      </c>
      <c r="J21" s="120"/>
      <c r="K21" s="121"/>
    </row>
    <row r="22" spans="2:15" ht="14" thickBot="1" x14ac:dyDescent="0.2">
      <c r="D22" s="6" t="s">
        <v>24</v>
      </c>
      <c r="E22" s="7" t="s">
        <v>25</v>
      </c>
      <c r="F22" s="84" t="s">
        <v>26</v>
      </c>
      <c r="G22" s="84" t="s">
        <v>27</v>
      </c>
      <c r="H22" s="85" t="s">
        <v>28</v>
      </c>
      <c r="I22" s="7" t="s">
        <v>61</v>
      </c>
      <c r="J22" s="7" t="s">
        <v>62</v>
      </c>
      <c r="K22" s="8" t="s">
        <v>63</v>
      </c>
      <c r="L22" t="s">
        <v>3</v>
      </c>
      <c r="M22" t="s">
        <v>4</v>
      </c>
      <c r="N22" t="s">
        <v>5</v>
      </c>
      <c r="O22" t="s">
        <v>6</v>
      </c>
    </row>
    <row r="23" spans="2:15" ht="16" x14ac:dyDescent="0.2">
      <c r="D23" s="34">
        <v>0</v>
      </c>
      <c r="E23" s="114" t="s">
        <v>94</v>
      </c>
      <c r="F23" s="102" t="s">
        <v>78</v>
      </c>
      <c r="G23" s="115" t="s">
        <v>95</v>
      </c>
      <c r="H23" s="108" t="s">
        <v>96</v>
      </c>
      <c r="I23" s="109" t="s">
        <v>116</v>
      </c>
      <c r="J23" s="109"/>
      <c r="K23" s="110" t="s">
        <v>117</v>
      </c>
      <c r="L23">
        <f>IF(ISBLANK(D23),"",IF(D23&gt;1000,(D23-1000)/26+33.0847,(IF(D23&gt;600,(D23-600)/28+18.799,(IF(D23&gt;400,(D23-400)/30+12.1324,(IF(D23&gt;200,(D23-200)/32+5.8824,D23/34))))))))</f>
        <v>0</v>
      </c>
      <c r="M23">
        <f t="shared" ref="M23:M32" si="4">IF(ISBLANK(D23),"",IF(D23&gt;=brevet,IF(brevet&gt;1200,(brevet-1200)*75/1000+90,Max_time),IF(D23&gt;1200,(D23-1200)*75/1000+90,IF(D23&gt;1000,(D23-1000)/(1000/75)+75,IF(D23&gt;600,(D23-600)/(400/35)+40,D23/15)))))</f>
        <v>0</v>
      </c>
      <c r="N23" s="5">
        <f>IF(ISBLANK(D23),"",Open_time Control_1+(INT(L23)&amp;":"&amp;IF(ROUND(((L23-INT(L23))*60),0)&lt;10,0,"")&amp;ROUND(((L23-INT(L23))*60),0)))</f>
        <v>44387.25</v>
      </c>
      <c r="O23" s="5">
        <f>IF(ISBLANK(D23),"",Open_time Control_1+(INT(M23)&amp;":"&amp;IF(ROUND(((M23-INT(M23))*60),0)&lt;10,0,"")&amp;ROUND(((M23-INT(M23))*60),0)))</f>
        <v>44387.25</v>
      </c>
    </row>
    <row r="24" spans="2:15" ht="17" customHeight="1" x14ac:dyDescent="0.2">
      <c r="D24" s="34">
        <v>45</v>
      </c>
      <c r="E24" s="101" t="s">
        <v>97</v>
      </c>
      <c r="F24" s="102" t="s">
        <v>78</v>
      </c>
      <c r="G24" s="102" t="s">
        <v>98</v>
      </c>
      <c r="H24" s="103" t="s">
        <v>99</v>
      </c>
      <c r="I24" s="109" t="s">
        <v>118</v>
      </c>
      <c r="J24" s="109" t="s">
        <v>119</v>
      </c>
      <c r="K24" s="111" t="s">
        <v>81</v>
      </c>
      <c r="L24">
        <f t="shared" ref="L24:L32" si="5">IF(ISBLANK(D24),"",IF(D24&gt;1000,(D24-1000)/26+33.0847,(IF(D24&gt;600,(D24-600)/28+18.799,(IF(D24&gt;400,(D24-400)/30+12.1324,(IF(D24&gt;200,(D24-200)/32+5.8824,D24/34))))))))</f>
        <v>1.3235294117647058</v>
      </c>
      <c r="M24">
        <f t="shared" si="4"/>
        <v>3</v>
      </c>
      <c r="N24" s="5">
        <f>IF(ISBLANK(D24),"",Open_time Control_1+(INT(L24)&amp;":"&amp;IF(ROUND(((L24-INT(L24))*60),0)&lt;10,0,"")&amp;ROUND(((L24-INT(L24))*60),0)))</f>
        <v>44387.304861111108</v>
      </c>
      <c r="O24" s="5">
        <f>IF(ISBLANK(D24),"",Open_time Control_1+(INT(M24)&amp;":"&amp;IF(ROUND(((M24-INT(M24))*60),0)&lt;10,0,"")&amp;ROUND(((M24-INT(M24))*60),0)))</f>
        <v>44387.375</v>
      </c>
    </row>
    <row r="25" spans="2:15" ht="17" customHeight="1" x14ac:dyDescent="0.2">
      <c r="D25" s="34">
        <v>72.400000000000006</v>
      </c>
      <c r="E25" s="114" t="s">
        <v>100</v>
      </c>
      <c r="F25" s="102" t="s">
        <v>78</v>
      </c>
      <c r="G25" s="102" t="s">
        <v>101</v>
      </c>
      <c r="H25" s="103" t="s">
        <v>102</v>
      </c>
      <c r="I25" s="109" t="s">
        <v>123</v>
      </c>
      <c r="J25" s="109"/>
      <c r="K25" s="111" t="s">
        <v>81</v>
      </c>
      <c r="L25">
        <f t="shared" si="5"/>
        <v>2.1294117647058823</v>
      </c>
      <c r="M25">
        <f t="shared" si="4"/>
        <v>4.8266666666666671</v>
      </c>
      <c r="N25" s="5">
        <f>IF(ISBLANK(D25),"",Open_time Control_1+(INT(L25)&amp;":"&amp;IF(ROUND(((L25-INT(L25))*60),0)&lt;10,0,"")&amp;ROUND(((L25-INT(L25))*60),0)))</f>
        <v>44387.338888888888</v>
      </c>
      <c r="O25" s="5">
        <f>IF(ISBLANK(D25),"",Open_time Control_1+(INT(M25)&amp;":"&amp;IF(ROUND(((M25-INT(M25))*60),0)&lt;10,0,"")&amp;ROUND(((M25-INT(M25))*60),0)))</f>
        <v>44387.451388888891</v>
      </c>
    </row>
    <row r="26" spans="2:15" ht="17" customHeight="1" x14ac:dyDescent="0.2">
      <c r="D26" s="34">
        <v>156.6</v>
      </c>
      <c r="E26" s="101" t="s">
        <v>103</v>
      </c>
      <c r="F26" s="102" t="s">
        <v>78</v>
      </c>
      <c r="G26" s="102" t="s">
        <v>104</v>
      </c>
      <c r="H26" s="103" t="s">
        <v>105</v>
      </c>
      <c r="I26" s="109" t="s">
        <v>125</v>
      </c>
      <c r="J26" s="109" t="s">
        <v>126</v>
      </c>
      <c r="K26" s="110" t="s">
        <v>81</v>
      </c>
      <c r="L26">
        <f t="shared" si="5"/>
        <v>4.6058823529411761</v>
      </c>
      <c r="M26">
        <f t="shared" si="4"/>
        <v>10.44</v>
      </c>
      <c r="N26" s="5">
        <f>IF(ISBLANK(D26),"",Open_time Control_1+(INT(L26)&amp;":"&amp;IF(ROUND(((L26-INT(L26))*60),0)&lt;10,0,"")&amp;ROUND(((L26-INT(L26))*60),0)))</f>
        <v>44387.441666666666</v>
      </c>
      <c r="O26" s="5">
        <f>IF(ISBLANK(D26),"",Open_time Control_1+(INT(M26)&amp;":"&amp;IF(ROUND(((M26-INT(M26))*60),0)&lt;10,0,"")&amp;ROUND(((M26-INT(M26))*60),0)))</f>
        <v>44387.68472222222</v>
      </c>
    </row>
    <row r="27" spans="2:15" ht="17" customHeight="1" x14ac:dyDescent="0.2">
      <c r="D27" s="34">
        <v>185.1</v>
      </c>
      <c r="E27" s="101" t="s">
        <v>106</v>
      </c>
      <c r="F27" s="102" t="s">
        <v>78</v>
      </c>
      <c r="G27" s="102" t="s">
        <v>107</v>
      </c>
      <c r="H27" s="103" t="s">
        <v>108</v>
      </c>
      <c r="I27" s="109" t="s">
        <v>127</v>
      </c>
      <c r="J27" s="109" t="s">
        <v>128</v>
      </c>
      <c r="K27" s="110" t="s">
        <v>81</v>
      </c>
      <c r="L27">
        <f t="shared" si="5"/>
        <v>5.4441176470588237</v>
      </c>
      <c r="M27">
        <f t="shared" si="4"/>
        <v>12.34</v>
      </c>
      <c r="N27" s="5">
        <f>IF(ISBLANK(D27),"",Open_time Control_1+(INT(L27)&amp;":"&amp;IF(ROUND(((L27-INT(L27))*60),0)&lt;10,0,"")&amp;ROUND(((L27-INT(L27))*60),0)))</f>
        <v>44387.477083333331</v>
      </c>
      <c r="O27" s="5">
        <f>IF(ISBLANK(D27),"",Open_time Control_1+(INT(M27)&amp;":"&amp;IF(ROUND(((M27-INT(M27))*60),0)&lt;10,0,"")&amp;ROUND(((M27-INT(M27))*60),0)))</f>
        <v>44387.763888888891</v>
      </c>
    </row>
    <row r="28" spans="2:15" ht="17" customHeight="1" x14ac:dyDescent="0.2">
      <c r="D28" s="34">
        <v>250.79999999999998</v>
      </c>
      <c r="E28" s="101" t="s">
        <v>86</v>
      </c>
      <c r="F28" s="102" t="s">
        <v>78</v>
      </c>
      <c r="G28" s="102" t="s">
        <v>79</v>
      </c>
      <c r="H28" s="103" t="s">
        <v>87</v>
      </c>
      <c r="I28" s="109" t="s">
        <v>124</v>
      </c>
      <c r="J28" s="109" t="s">
        <v>109</v>
      </c>
      <c r="K28" s="110" t="s">
        <v>81</v>
      </c>
      <c r="L28">
        <f t="shared" si="5"/>
        <v>7.4698999999999991</v>
      </c>
      <c r="M28">
        <f t="shared" si="4"/>
        <v>16.72</v>
      </c>
      <c r="N28" s="5">
        <f>IF(ISBLANK(D28),"",Open_time Control_1+(INT(L28)&amp;":"&amp;IF(ROUND(((L28-INT(L28))*60),0)&lt;10,0,"")&amp;ROUND(((L28-INT(L28))*60),0)))</f>
        <v>44387.561111111114</v>
      </c>
      <c r="O28" s="5">
        <f>IF(ISBLANK(D28),"",Open_time Control_1+(INT(M28)&amp;":"&amp;IF(ROUND(((M28-INT(M28))*60),0)&lt;10,0,"")&amp;ROUND(((M28-INT(M28))*60),0)))</f>
        <v>44387.946527777778</v>
      </c>
    </row>
    <row r="29" spans="2:15" ht="17" customHeight="1" x14ac:dyDescent="0.2">
      <c r="D29" s="34">
        <v>274.79999999999995</v>
      </c>
      <c r="E29" s="101" t="s">
        <v>88</v>
      </c>
      <c r="F29" s="102" t="s">
        <v>78</v>
      </c>
      <c r="G29" s="102" t="s">
        <v>80</v>
      </c>
      <c r="H29" s="103" t="s">
        <v>89</v>
      </c>
      <c r="I29" s="109" t="s">
        <v>110</v>
      </c>
      <c r="J29" s="109" t="s">
        <v>121</v>
      </c>
      <c r="K29" s="111" t="s">
        <v>81</v>
      </c>
      <c r="L29">
        <f t="shared" si="5"/>
        <v>8.2198999999999991</v>
      </c>
      <c r="M29">
        <f t="shared" si="4"/>
        <v>18.319999999999997</v>
      </c>
      <c r="N29" s="5">
        <f>IF(ISBLANK(D29),"",Open_time Control_1+(INT(L29)&amp;":"&amp;IF(ROUND(((L29-INT(L29))*60),0)&lt;10,0,"")&amp;ROUND(((L29-INT(L29))*60),0)))</f>
        <v>44387.592361111114</v>
      </c>
      <c r="O29" s="5">
        <f>IF(ISBLANK(D29),"",Open_time Control_1+(INT(M29)&amp;":"&amp;IF(ROUND(((M29-INT(M29))*60),0)&lt;10,0,"")&amp;ROUND(((M29-INT(M29))*60),0)))</f>
        <v>44388.013194444444</v>
      </c>
    </row>
    <row r="30" spans="2:15" ht="17" customHeight="1" x14ac:dyDescent="0.2">
      <c r="D30" s="34">
        <v>303.89999999999998</v>
      </c>
      <c r="E30" s="101" t="s">
        <v>90</v>
      </c>
      <c r="F30" s="102" t="s">
        <v>78</v>
      </c>
      <c r="G30" s="102" t="s">
        <v>91</v>
      </c>
      <c r="H30" s="103"/>
      <c r="I30" s="109" t="s">
        <v>111</v>
      </c>
      <c r="J30" s="109" t="s">
        <v>122</v>
      </c>
      <c r="K30" s="110" t="s">
        <v>81</v>
      </c>
      <c r="L30">
        <f t="shared" si="5"/>
        <v>9.1292749999999998</v>
      </c>
      <c r="M30">
        <f t="shared" si="4"/>
        <v>20.259999999999998</v>
      </c>
      <c r="N30" s="5">
        <f>IF(ISBLANK(D30),"",Open_time Control_1+(INT(L30)&amp;":"&amp;IF(ROUND(((L30-INT(L30))*60),0)&lt;10,0,"")&amp;ROUND(((L30-INT(L30))*60),0)))</f>
        <v>44387.630555555559</v>
      </c>
      <c r="O30" s="5">
        <f>IF(ISBLANK(D30),"",Open_time Control_1+(INT(M30)&amp;":"&amp;IF(ROUND(((M30-INT(M30))*60),0)&lt;10,0,"")&amp;ROUND(((M30-INT(M30))*60),0)))</f>
        <v>44388.094444444447</v>
      </c>
    </row>
    <row r="31" spans="2:15" ht="17" customHeight="1" x14ac:dyDescent="0.2">
      <c r="D31" s="34">
        <v>358.7</v>
      </c>
      <c r="E31" s="101" t="s">
        <v>92</v>
      </c>
      <c r="F31" s="102" t="s">
        <v>78</v>
      </c>
      <c r="G31" s="102" t="s">
        <v>93</v>
      </c>
      <c r="H31" s="103"/>
      <c r="I31" s="109" t="s">
        <v>114</v>
      </c>
      <c r="J31" s="109" t="s">
        <v>120</v>
      </c>
      <c r="K31" s="110" t="s">
        <v>115</v>
      </c>
      <c r="L31">
        <f t="shared" si="5"/>
        <v>10.841774999999998</v>
      </c>
      <c r="M31">
        <f t="shared" si="4"/>
        <v>23.913333333333334</v>
      </c>
      <c r="N31" s="5">
        <f>IF(ISBLANK(D31),"",Open_time Control_1+(INT(L31)&amp;":"&amp;IF(ROUND(((L31-INT(L31))*60),0)&lt;10,0,"")&amp;ROUND(((L31-INT(L31))*60),0)))</f>
        <v>44387.70208333333</v>
      </c>
      <c r="O31" s="5">
        <f>IF(ISBLANK(D31),"",Open_time Control_1+(INT(M31)&amp;":"&amp;IF(ROUND(((M31-INT(M31))*60),0)&lt;10,0,"")&amp;ROUND(((M31-INT(M31))*60),0)))</f>
        <v>44388.246527777781</v>
      </c>
    </row>
    <row r="32" spans="2:15" ht="17" customHeight="1" thickBot="1" x14ac:dyDescent="0.25">
      <c r="D32" s="64">
        <v>401.2</v>
      </c>
      <c r="E32" s="104" t="s">
        <v>94</v>
      </c>
      <c r="F32" s="105" t="s">
        <v>78</v>
      </c>
      <c r="G32" s="105" t="s">
        <v>95</v>
      </c>
      <c r="H32" s="106" t="s">
        <v>96</v>
      </c>
      <c r="I32" s="112" t="s">
        <v>83</v>
      </c>
      <c r="J32" s="112"/>
      <c r="K32" s="113"/>
      <c r="L32">
        <f t="shared" si="5"/>
        <v>12.1724</v>
      </c>
      <c r="M32">
        <f t="shared" si="4"/>
        <v>27</v>
      </c>
      <c r="N32" s="5">
        <f>IF(ISBLANK(D32),"",Open_time Control_1+(INT(L32)&amp;":"&amp;IF(ROUND(((L32-INT(L32))*60),0)&lt;10,0,"")&amp;ROUND(((L32-INT(L32))*60),0)))</f>
        <v>44387.756944444445</v>
      </c>
      <c r="O32" s="5">
        <f>IF(ISBLANK(D32),"",Open_time Control_1+(INT(M32)&amp;":"&amp;IF(ROUND(((M32-INT(M32))*60),0)&lt;10,0,"")&amp;ROUND(((M32-INT(M32))*60),0)))</f>
        <v>44388.375</v>
      </c>
    </row>
  </sheetData>
  <mergeCells count="5">
    <mergeCell ref="J1:K1"/>
    <mergeCell ref="D8:H8"/>
    <mergeCell ref="D21:H21"/>
    <mergeCell ref="I8:K8"/>
    <mergeCell ref="I21:K21"/>
  </mergeCells>
  <phoneticPr fontId="16" type="noConversion"/>
  <hyperlinks>
    <hyperlink ref="H11" r:id="rId1" display="Columbine@Interurban" xr:uid="{602DC989-9FE1-4044-9276-0E317DE33C2F}"/>
  </hyperlinks>
  <pageMargins left="0.75" right="0.75" top="1" bottom="1" header="0.5" footer="0.5"/>
  <pageSetup orientation="portrait" horizontalDpi="4294967292" verticalDpi="4294967292"/>
  <headerFooter>
    <oddHeader>&amp;A</oddHeader>
    <oddFooter>Page &amp;P</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opLeftCell="A18" zoomScale="92" zoomScaleNormal="92" zoomScalePageLayoutView="92" workbookViewId="0">
      <selection activeCell="F18" sqref="F1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5" t="s">
        <v>44</v>
      </c>
      <c r="B1" s="125"/>
      <c r="C1" s="125"/>
      <c r="D1" s="125"/>
      <c r="E1" s="125"/>
      <c r="F1" s="125"/>
      <c r="G1" s="125"/>
      <c r="H1" s="35" t="s">
        <v>29</v>
      </c>
    </row>
    <row r="2" spans="1:22" ht="33.75" customHeight="1" thickBot="1" x14ac:dyDescent="0.25">
      <c r="A2" s="100" t="s">
        <v>30</v>
      </c>
      <c r="B2" s="9" t="s">
        <v>3</v>
      </c>
      <c r="C2" s="9" t="s">
        <v>4</v>
      </c>
      <c r="D2" s="9" t="s">
        <v>25</v>
      </c>
      <c r="E2" s="9" t="s">
        <v>31</v>
      </c>
      <c r="F2" s="9" t="s">
        <v>60</v>
      </c>
      <c r="G2" s="100" t="s">
        <v>32</v>
      </c>
      <c r="H2" s="35" t="s">
        <v>29</v>
      </c>
      <c r="K2" s="123" t="s">
        <v>56</v>
      </c>
      <c r="L2" s="123"/>
      <c r="M2" s="123"/>
      <c r="N2" s="123"/>
      <c r="O2" s="123"/>
      <c r="P2" s="123"/>
      <c r="Q2" s="123"/>
      <c r="R2" s="123"/>
      <c r="S2" s="123"/>
      <c r="T2" s="123"/>
      <c r="U2" s="123"/>
    </row>
    <row r="3" spans="1:22" ht="36" customHeight="1" x14ac:dyDescent="0.45">
      <c r="A3" s="39"/>
      <c r="B3" s="40">
        <f>Control_1 Open_time</f>
        <v>44387.25</v>
      </c>
      <c r="C3" s="40">
        <f>Control_1 Close_time</f>
        <v>44387.291666666664</v>
      </c>
      <c r="D3" s="41"/>
      <c r="E3" s="42" t="str">
        <f>IF(ISBLANK(Control_1 Establishment_1),"",Control_1 Establishment_1)</f>
        <v>Information Control</v>
      </c>
      <c r="F3" s="42" t="str">
        <f>IF(ISBLANK('Control Entry'!I10),"",'Control Entry'!I10)</f>
        <v>Gordon R Martin Memorial bench by door</v>
      </c>
      <c r="G3" s="10"/>
      <c r="H3" s="35" t="s">
        <v>29</v>
      </c>
      <c r="K3" s="16"/>
      <c r="O3" s="132" t="s">
        <v>33</v>
      </c>
      <c r="P3" s="132"/>
      <c r="Q3" s="132"/>
      <c r="R3" s="132"/>
      <c r="S3" s="83"/>
      <c r="U3" s="52"/>
    </row>
    <row r="4" spans="1:22" ht="36" customHeight="1" x14ac:dyDescent="0.2">
      <c r="A4" s="48">
        <f>IF(ISBLANK(Distance Control_1),"",Control_1 Distance)</f>
        <v>0</v>
      </c>
      <c r="B4" s="49">
        <f>Control_1 Open_time</f>
        <v>44387.25</v>
      </c>
      <c r="C4" s="49">
        <f>Control_1 Close_time</f>
        <v>44387.291666666664</v>
      </c>
      <c r="D4" s="50" t="str">
        <f>IF(ISBLANK(Locale Control_1),"",Locale Control_1)</f>
        <v>MILL BAY</v>
      </c>
      <c r="E4" s="42" t="str">
        <f>IF(ISBLANK(Control_1 Establishment_2),"",Control_1 Establishment_2)</f>
        <v>Tim Hortons</v>
      </c>
      <c r="F4" s="67" t="str">
        <f>IF(ISBLANK('Control Entry'!J10),"",'Control Entry'!J10)</f>
        <v>Bottom Line quote</v>
      </c>
      <c r="G4" s="10"/>
      <c r="H4" s="35" t="s">
        <v>29</v>
      </c>
      <c r="K4" s="16"/>
      <c r="M4" s="127" t="str">
        <f>IF(ISBLANK(brevet),"",brevet&amp;" km Randonnée")</f>
        <v>400 km Randonnée</v>
      </c>
      <c r="N4" s="127"/>
      <c r="O4" s="127"/>
      <c r="P4" s="127"/>
      <c r="Q4" s="127"/>
      <c r="R4" s="127"/>
      <c r="S4" s="127"/>
      <c r="T4" s="127"/>
      <c r="U4" s="53"/>
    </row>
    <row r="5" spans="1:22" ht="36" customHeight="1" thickBot="1" x14ac:dyDescent="0.25">
      <c r="A5" s="43"/>
      <c r="B5" s="44">
        <f>Control_1 Open_time</f>
        <v>44387.25</v>
      </c>
      <c r="C5" s="44">
        <f>Control_1 Close_time</f>
        <v>44387.291666666664</v>
      </c>
      <c r="D5" s="45"/>
      <c r="E5" s="46" t="str">
        <f>IF(ISBLANK(Control_1 Establishment_3),"",Control_1 Establishment_3)</f>
        <v>825 Deloume Rd</v>
      </c>
      <c r="F5" s="107" t="str">
        <f>IF(ISBLANK('Control Entry'!K10),"",'Control Entry'!K10)</f>
        <v>_______________________</v>
      </c>
      <c r="G5" s="11"/>
      <c r="H5" s="35" t="s">
        <v>29</v>
      </c>
      <c r="K5" s="16"/>
      <c r="M5" s="17"/>
      <c r="N5" s="130" t="s">
        <v>48</v>
      </c>
      <c r="O5" s="130"/>
      <c r="P5" s="81">
        <f>IF(ISBLANK(Brevet_Number),"",Brevet_Number)</f>
        <v>5096</v>
      </c>
      <c r="Q5" s="82"/>
      <c r="R5" s="122">
        <f>IF(ISBLANK('Control Entry'!$B5),"",'Control Entry'!$B5)</f>
        <v>44387</v>
      </c>
      <c r="S5" s="122"/>
      <c r="T5" s="122"/>
      <c r="U5" s="122"/>
      <c r="V5" s="54"/>
    </row>
    <row r="6" spans="1:22" ht="36" customHeight="1" x14ac:dyDescent="0.2">
      <c r="A6" s="39"/>
      <c r="B6" s="40">
        <f>Control_2 Open_time</f>
        <v>44387.279166666667</v>
      </c>
      <c r="C6" s="40">
        <f>Control_2 Close_time</f>
        <v>44387.316666666666</v>
      </c>
      <c r="D6" s="47"/>
      <c r="E6" s="42" t="str">
        <f>IF(ISBLANK(Control_2 Establishment_1),"",Control_2 Establishment_1)</f>
        <v>Information Control</v>
      </c>
      <c r="F6" s="42" t="str">
        <f>IF(ISBLANK('Control Entry'!I11),"",'Control Entry'!I11)</f>
        <v>Tran Sign Ltd sticker on back of Stop sign</v>
      </c>
      <c r="G6" s="10"/>
      <c r="H6" s="35" t="s">
        <v>29</v>
      </c>
      <c r="K6" s="16"/>
      <c r="L6" s="135" t="str">
        <f>IF(ISBLANK(Brevet_Description),"",Brevet_Description)</f>
        <v>Tour of the Bays</v>
      </c>
      <c r="M6" s="135"/>
      <c r="N6" s="135"/>
      <c r="O6" s="135"/>
      <c r="P6" s="135"/>
      <c r="Q6" s="135"/>
      <c r="R6" s="135"/>
      <c r="S6" s="135"/>
      <c r="T6" s="135"/>
      <c r="U6" s="135"/>
    </row>
    <row r="7" spans="1:22" ht="36" customHeight="1" x14ac:dyDescent="0.2">
      <c r="A7" s="48">
        <f>IF(ISBLANK(Distance Control_2),"",Control_2 Distance)</f>
        <v>24</v>
      </c>
      <c r="B7" s="49">
        <f>Control_2 Open_time</f>
        <v>44387.279166666667</v>
      </c>
      <c r="C7" s="49">
        <f>Control_2 Close_time</f>
        <v>44387.316666666666</v>
      </c>
      <c r="D7" s="50" t="str">
        <f>IF(ISBLANK(Locale Control_2),"",Locale Control_2)</f>
        <v>COWICHAN STATION</v>
      </c>
      <c r="E7" s="67" t="str">
        <f>IF(ISBLANK(Control_2 Establishment_2),"",Control_2 Establishment_2)</f>
        <v>Stop sign</v>
      </c>
      <c r="F7" s="67" t="str">
        <f>IF(ISBLANK('Control Entry'!J11),"",'Control Entry'!J11)</f>
        <v>Year of manufacture(large dot marks it)?</v>
      </c>
      <c r="G7" s="10"/>
      <c r="H7" s="35" t="s">
        <v>29</v>
      </c>
    </row>
    <row r="8" spans="1:22" ht="36" customHeight="1" thickBot="1" x14ac:dyDescent="0.25">
      <c r="A8" s="43"/>
      <c r="B8" s="44">
        <f>Control_2 Open_time</f>
        <v>44387.279166666667</v>
      </c>
      <c r="C8" s="44">
        <f>Control_2 Close_time</f>
        <v>44387.316666666666</v>
      </c>
      <c r="D8" s="45"/>
      <c r="E8" s="46" t="str">
        <f>IF(ISBLANK(Control_2 Establishment_3),"",Control_2 Establishment_3)</f>
        <v>Mountain @Howie</v>
      </c>
      <c r="F8" s="107" t="str">
        <f>IF(ISBLANK('Control Entry'!K11),"",'Control Entry'!K11)</f>
        <v>_______________________</v>
      </c>
      <c r="G8" s="11"/>
      <c r="H8" s="35" t="s">
        <v>29</v>
      </c>
      <c r="J8" s="17" t="s">
        <v>34</v>
      </c>
      <c r="L8" s="124"/>
      <c r="M8" s="124"/>
      <c r="N8" s="124"/>
      <c r="O8" s="124"/>
      <c r="P8" s="124"/>
      <c r="Q8" s="124"/>
      <c r="R8" s="36"/>
      <c r="S8" s="55" t="s">
        <v>47</v>
      </c>
      <c r="T8" s="136"/>
      <c r="U8" s="136"/>
    </row>
    <row r="9" spans="1:22" ht="36" customHeight="1" thickBot="1" x14ac:dyDescent="0.3">
      <c r="A9" s="39"/>
      <c r="B9" s="40">
        <f>Control_3 Open_time</f>
        <v>44387.31527777778</v>
      </c>
      <c r="C9" s="40">
        <f>Control_3 Close_time</f>
        <v>44387.397222222222</v>
      </c>
      <c r="D9" s="47"/>
      <c r="E9" s="42" t="str">
        <f>IF(ISBLANK(Control_3 Establishment_1),"",Control_3 Establishment_1)</f>
        <v>Information Control</v>
      </c>
      <c r="F9" s="42" t="str">
        <f>IF(ISBLANK('Control Entry'!I12),"",'Control Entry'!I12)</f>
        <v>Sign beside Dock D sign</v>
      </c>
      <c r="G9" s="10"/>
      <c r="H9" s="35" t="s">
        <v>29</v>
      </c>
      <c r="J9" s="17" t="s">
        <v>35</v>
      </c>
      <c r="K9" s="17"/>
      <c r="L9" s="65" t="s">
        <v>55</v>
      </c>
      <c r="M9" s="23"/>
      <c r="N9" s="23"/>
      <c r="O9" s="23"/>
      <c r="P9" s="23"/>
      <c r="Q9" s="23"/>
      <c r="R9" s="23"/>
      <c r="S9" s="23"/>
      <c r="T9" s="23"/>
      <c r="U9" s="21"/>
    </row>
    <row r="10" spans="1:22" ht="36" customHeight="1" thickBot="1" x14ac:dyDescent="0.3">
      <c r="A10" s="48">
        <f>IF(ISBLANK(Distance Control_3),"",Control_3 Distance)</f>
        <v>53.1</v>
      </c>
      <c r="B10" s="49">
        <f>Control_3 Open_time</f>
        <v>44387.31527777778</v>
      </c>
      <c r="C10" s="49">
        <f>Control_3 Close_time</f>
        <v>44387.397222222222</v>
      </c>
      <c r="D10" s="50" t="str">
        <f>IF(ISBLANK(Locale Control_3),"",Locale Control_3)</f>
        <v>GENOA BAY</v>
      </c>
      <c r="E10" s="67" t="str">
        <f>IF(ISBLANK(Control_3 Establishment_2),"",Control_3 Establishment_2)</f>
        <v>Genoa Bay Café</v>
      </c>
      <c r="F10" s="67" t="str">
        <f>IF(ISBLANK('Control Entry'!J12),"",'Control Entry'!J12)</f>
        <v>What beverage is advertised ?</v>
      </c>
      <c r="G10" s="10"/>
      <c r="H10" s="35" t="s">
        <v>29</v>
      </c>
      <c r="J10" s="17"/>
      <c r="K10" s="17"/>
      <c r="L10" s="37"/>
      <c r="M10" s="23"/>
      <c r="N10" s="23"/>
      <c r="O10" s="23"/>
      <c r="P10" s="23"/>
      <c r="Q10" s="23"/>
      <c r="R10" s="23"/>
      <c r="S10" s="23"/>
      <c r="T10" s="23"/>
      <c r="U10" s="21"/>
    </row>
    <row r="11" spans="1:22" ht="36" customHeight="1" thickBot="1" x14ac:dyDescent="0.3">
      <c r="A11" s="43"/>
      <c r="B11" s="44">
        <f>Control_3 Open_time</f>
        <v>44387.31527777778</v>
      </c>
      <c r="C11" s="44">
        <f>Control_3 Close_time</f>
        <v>44387.397222222222</v>
      </c>
      <c r="D11" s="45"/>
      <c r="E11" s="46" t="str">
        <f>IF(ISBLANK(Control_3 Establishment_3),"",Control_3 Establishment_3)</f>
        <v/>
      </c>
      <c r="F11" s="107" t="str">
        <f>IF(ISBLANK('Control Entry'!K12),"",'Control Entry'!K12)</f>
        <v>_______________________</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Control_4 Open_time</f>
        <v>44387.381944444445</v>
      </c>
      <c r="C12" s="40">
        <f>Control_4 Close_time</f>
        <v>44387.55</v>
      </c>
      <c r="D12" s="47"/>
      <c r="E12" s="42" t="str">
        <f>IF(ISBLANK(Control_4 Establishment_1),"",Control_4 Establishment_1)</f>
        <v>Information Control</v>
      </c>
      <c r="F12" s="42" t="str">
        <f>IF(ISBLANK('Control Entry'!I13),"",'Control Entry'!I13)</f>
        <v>Park sign</v>
      </c>
      <c r="G12" s="10"/>
      <c r="H12" s="35" t="s">
        <v>29</v>
      </c>
      <c r="J12" s="17" t="s">
        <v>38</v>
      </c>
      <c r="K12" s="17"/>
      <c r="L12" s="37"/>
      <c r="M12" s="23"/>
      <c r="N12" s="23"/>
      <c r="O12" s="24"/>
      <c r="P12" s="24" t="s">
        <v>39</v>
      </c>
      <c r="Q12" s="24"/>
      <c r="R12" s="24"/>
      <c r="S12" s="57"/>
      <c r="T12" s="37"/>
      <c r="U12" s="21"/>
    </row>
    <row r="13" spans="1:22" ht="36" customHeight="1" thickBot="1" x14ac:dyDescent="0.3">
      <c r="A13" s="48">
        <f>IF(ISBLANK(Distance Control_4),"",Control_4 Distance)</f>
        <v>107.9</v>
      </c>
      <c r="B13" s="49">
        <f>Control_4 Open_time</f>
        <v>44387.381944444445</v>
      </c>
      <c r="C13" s="49">
        <f>Control_4 Close_time</f>
        <v>44387.55</v>
      </c>
      <c r="D13" s="50" t="str">
        <f>IF(ISBLANK(Locale Control_4),"",Locale Control_4)</f>
        <v>YELLOW POINT</v>
      </c>
      <c r="E13" s="42" t="str">
        <f>IF(ISBLANK(Control_4 Establishment_2),"",Control_4 Establishment_2)</f>
        <v>Robert's Memorial Park</v>
      </c>
      <c r="F13" s="42" t="str">
        <f>IF(ISBLANK('Control Entry'!J13),"",'Control Entry'!J13)</f>
        <v>Fine for not cleaning after pets?</v>
      </c>
      <c r="G13" s="10"/>
      <c r="H13" s="35" t="s">
        <v>29</v>
      </c>
      <c r="J13" s="17" t="s">
        <v>40</v>
      </c>
      <c r="L13" s="79"/>
      <c r="M13" s="80"/>
      <c r="N13" s="80"/>
      <c r="O13" s="25"/>
      <c r="P13" s="24" t="s">
        <v>41</v>
      </c>
      <c r="Q13" s="24"/>
      <c r="R13" s="38"/>
      <c r="S13" s="26"/>
      <c r="T13" s="26"/>
      <c r="U13" s="22"/>
    </row>
    <row r="14" spans="1:22" ht="36" customHeight="1" thickBot="1" x14ac:dyDescent="0.25">
      <c r="A14" s="43"/>
      <c r="B14" s="44">
        <f>Control_4 Open_time</f>
        <v>44387.381944444445</v>
      </c>
      <c r="C14" s="44">
        <f>Control_4 Close_time</f>
        <v>44387.55</v>
      </c>
      <c r="D14" s="45"/>
      <c r="E14" s="46" t="str">
        <f>IF(ISBLANK(Control_4 Establishment_3),"",Control_4 Establishment_3)</f>
        <v/>
      </c>
      <c r="F14" s="107" t="str">
        <f>IF(ISBLANK('Control Entry'!K13),"",'Control Entry'!K13)</f>
        <v>$______________________</v>
      </c>
      <c r="G14" s="11"/>
      <c r="H14" s="35" t="s">
        <v>29</v>
      </c>
    </row>
    <row r="15" spans="1:22" ht="36" customHeight="1" x14ac:dyDescent="0.2">
      <c r="A15" s="39"/>
      <c r="B15" s="40">
        <f>Control_5 Open_time</f>
        <v>44387.434027777781</v>
      </c>
      <c r="C15" s="40">
        <f>Control_5 Close_time</f>
        <v>44387.668055555558</v>
      </c>
      <c r="D15" s="47"/>
      <c r="E15" s="42" t="str">
        <f>IF(ISBLANK(Control_5 Establishment_1),"",Control_5 Establishment_1)</f>
        <v>Information Control</v>
      </c>
      <c r="F15" s="42" t="str">
        <f>IF(ISBLANK('Control Entry'!I14),"",'Control Entry'!I14)</f>
        <v>Large sign to left of Gravel Mart</v>
      </c>
      <c r="G15" s="10"/>
      <c r="H15" s="35" t="s">
        <v>29</v>
      </c>
      <c r="J15" s="17"/>
      <c r="L15" s="134" t="s">
        <v>59</v>
      </c>
      <c r="M15" s="134"/>
      <c r="N15" s="134"/>
      <c r="O15" s="134"/>
      <c r="P15" s="134"/>
      <c r="Q15" s="134"/>
      <c r="R15" s="134"/>
      <c r="S15" s="134"/>
      <c r="T15" s="134"/>
      <c r="U15" s="134"/>
    </row>
    <row r="16" spans="1:22" ht="36" customHeight="1" thickBot="1" x14ac:dyDescent="0.25">
      <c r="A16" s="48">
        <f>IF(ISBLANK(Distance Control_5),"",Control_5 Distance)</f>
        <v>150.4</v>
      </c>
      <c r="B16" s="49">
        <f>Control_5 Open_time</f>
        <v>44387.434027777781</v>
      </c>
      <c r="C16" s="49">
        <f>Control_5 Close_time</f>
        <v>44387.668055555558</v>
      </c>
      <c r="D16" s="50" t="str">
        <f>IF(ISBLANK(Locale Control_5),"",Locale Control_5)</f>
        <v>LANTZVILLE</v>
      </c>
      <c r="E16" s="42" t="str">
        <f>IF(ISBLANK(Control_5 Establishment_2),"",Control_5 Establishment_2)</f>
        <v>Lantzville Gravel Mart</v>
      </c>
      <c r="F16" s="42" t="str">
        <f>IF(ISBLANK('Control Entry'!J14),"",'Control Entry'!J14)</f>
        <v/>
      </c>
      <c r="G16" s="10"/>
      <c r="H16" s="35" t="s">
        <v>29</v>
      </c>
      <c r="L16" s="74"/>
      <c r="M16" s="74"/>
      <c r="N16" s="74"/>
      <c r="O16" s="74"/>
      <c r="P16" s="74"/>
      <c r="Q16" s="75"/>
      <c r="R16" s="75"/>
      <c r="S16" s="75"/>
      <c r="T16" s="75"/>
      <c r="U16" s="75"/>
    </row>
    <row r="17" spans="1:22" ht="36" customHeight="1" thickBot="1" x14ac:dyDescent="0.25">
      <c r="A17" s="43"/>
      <c r="B17" s="44">
        <f>Control_5 Open_time</f>
        <v>44387.434027777781</v>
      </c>
      <c r="C17" s="44">
        <f>Control_5 Close_time</f>
        <v>44387.668055555558</v>
      </c>
      <c r="D17" s="45"/>
      <c r="E17" s="46" t="str">
        <f>IF(ISBLANK(Control_5 Establishment_3),"",Control_5 Establishment_3)</f>
        <v>Industrial Rd.</v>
      </c>
      <c r="F17" s="46" t="str">
        <f>IF(ISBLANK('Control Entry'!K14),"",'Control Entry'!K14)</f>
        <v>West ________________Motor Sport?</v>
      </c>
      <c r="G17" s="11"/>
      <c r="H17" s="35" t="s">
        <v>29</v>
      </c>
    </row>
    <row r="18" spans="1:22" ht="36" customHeight="1" x14ac:dyDescent="0.2">
      <c r="A18" s="39"/>
      <c r="B18" s="40">
        <f>Control_6 Open_time</f>
        <v>44387.489583333336</v>
      </c>
      <c r="C18" s="40">
        <f>Control_6 Close_time</f>
        <v>44387.793055555558</v>
      </c>
      <c r="D18" s="47"/>
      <c r="E18" s="42" t="str">
        <f>IF(ISBLANK(Control_6 Establishment_1),"",Control_6 Establishment_1)</f>
        <v>Information Control</v>
      </c>
      <c r="F18" s="42" t="str">
        <f>IF(ISBLANK('Control Entry'!I15),"",'Control Entry'!I15)</f>
        <v>Sign on gate</v>
      </c>
      <c r="G18" s="10"/>
      <c r="H18" s="35" t="s">
        <v>29</v>
      </c>
    </row>
    <row r="19" spans="1:22" ht="36" customHeight="1" x14ac:dyDescent="0.2">
      <c r="A19" s="48">
        <f>IF(ISBLANK(Distance Control_6),"",Control_6 Distance)</f>
        <v>195.4</v>
      </c>
      <c r="B19" s="49">
        <f>Control_6 Open_time</f>
        <v>44387.489583333336</v>
      </c>
      <c r="C19" s="49">
        <f>Control_6 Close_time</f>
        <v>44387.793055555558</v>
      </c>
      <c r="D19" s="50" t="str">
        <f>IF(ISBLANK(Locale Control_6),"",Locale Control_6)</f>
        <v>NANAIMO LAKES</v>
      </c>
      <c r="E19" s="42" t="str">
        <f>IF(ISBLANK(Control_6 Establishment_2),"",Control_6 Establishment_2)</f>
        <v>Logging Gate</v>
      </c>
      <c r="F19" s="42" t="str">
        <f>IF(ISBLANK('Control Entry'!J15),"",'Control Entry'!J15)</f>
        <v>Public Access Weekends and ???</v>
      </c>
      <c r="G19" s="10"/>
      <c r="H19" s="35" t="s">
        <v>29</v>
      </c>
    </row>
    <row r="20" spans="1:22" ht="36" customHeight="1" thickBot="1" x14ac:dyDescent="0.25">
      <c r="A20" s="43"/>
      <c r="B20" s="44">
        <f>Control_6 Open_time</f>
        <v>44387.489583333336</v>
      </c>
      <c r="C20" s="44">
        <f>Control_6 Close_time</f>
        <v>44387.793055555558</v>
      </c>
      <c r="D20" s="45"/>
      <c r="E20" s="46" t="str">
        <f>IF(ISBLANK(Control_6 Establishment_3),"",Control_6 Establishment_3)</f>
        <v>Nanaimo River Rd.</v>
      </c>
      <c r="F20" s="46" t="str">
        <f>IF(ISBLANK('Control Entry'!K15),"",'Control Entry'!K15)</f>
        <v>_______________________</v>
      </c>
      <c r="G20" s="11"/>
      <c r="H20" s="35" t="s">
        <v>29</v>
      </c>
      <c r="J20" s="73" t="s">
        <v>45</v>
      </c>
      <c r="K20" s="73"/>
      <c r="L20" s="76"/>
      <c r="M20" s="76"/>
      <c r="N20" s="76"/>
      <c r="P20" s="24" t="s">
        <v>0</v>
      </c>
      <c r="Q20" s="24"/>
      <c r="S20" s="133">
        <f>'Control Entry'!B8</f>
        <v>0.25</v>
      </c>
      <c r="T20" s="133"/>
      <c r="U20" s="133"/>
    </row>
    <row r="21" spans="1:22" ht="36" customHeight="1" x14ac:dyDescent="0.2">
      <c r="A21" s="39"/>
      <c r="B21" s="40">
        <f>Control_7 Open_time</f>
        <v>44387.525000000001</v>
      </c>
      <c r="C21" s="40">
        <f>Control_7 Close_time</f>
        <v>44387.868750000001</v>
      </c>
      <c r="D21" s="47"/>
      <c r="E21" s="42" t="str">
        <f>IF(ISBLANK(Control_7 Establishment_1),"",Control_7 Establishment_1)</f>
        <v>Information Control</v>
      </c>
      <c r="F21" s="42" t="str">
        <f>IF(ISBLANK('Control Entry'!I16),"",'Control Entry'!I16)</f>
        <v>How many individual boxes?</v>
      </c>
      <c r="G21" s="10"/>
      <c r="H21" s="35" t="s">
        <v>29</v>
      </c>
      <c r="J21" s="73"/>
      <c r="K21" s="73"/>
      <c r="L21" s="71"/>
      <c r="M21" s="71"/>
      <c r="N21" s="71"/>
      <c r="P21" s="24"/>
      <c r="Q21" s="24"/>
      <c r="R21" s="29"/>
      <c r="S21" s="77"/>
      <c r="T21" s="77"/>
      <c r="U21" s="77"/>
      <c r="V21" s="36"/>
    </row>
    <row r="22" spans="1:22" ht="36" customHeight="1" thickBot="1" x14ac:dyDescent="0.25">
      <c r="A22" s="48">
        <f>IF(ISBLANK(Distance Control_7),"",Control_7 Distance)</f>
        <v>222.8</v>
      </c>
      <c r="B22" s="49">
        <f>Control_7 Open_time</f>
        <v>44387.525000000001</v>
      </c>
      <c r="C22" s="49">
        <f>Control_7 Close_time</f>
        <v>44387.868750000001</v>
      </c>
      <c r="D22" s="50" t="str">
        <f>IF(ISBLANK(Locale Control_7),"",Locale Control_7)</f>
        <v>CASSIDY</v>
      </c>
      <c r="E22" s="42" t="str">
        <f>IF(ISBLANK(Control_7 Establishment_2),"",Control_7 Establishment_2)</f>
        <v>Mailboxes</v>
      </c>
      <c r="F22" s="42" t="str">
        <f>IF(ISBLANK('Control Entry'!J16),"",'Control Entry'!J16)</f>
        <v/>
      </c>
      <c r="G22" s="10"/>
      <c r="H22" s="35" t="s">
        <v>29</v>
      </c>
      <c r="J22" s="72" t="s">
        <v>46</v>
      </c>
      <c r="K22" s="72"/>
      <c r="L22" s="76"/>
      <c r="M22" s="76"/>
      <c r="N22" s="76"/>
      <c r="O22" s="25"/>
      <c r="P22" s="24" t="s">
        <v>1</v>
      </c>
      <c r="Q22" s="24"/>
      <c r="R22" s="25"/>
      <c r="S22" s="78"/>
      <c r="T22" s="78"/>
      <c r="U22" s="78"/>
    </row>
    <row r="23" spans="1:22" ht="36" customHeight="1" thickBot="1" x14ac:dyDescent="0.25">
      <c r="A23" s="43"/>
      <c r="B23" s="44">
        <f>Control_7 Open_time</f>
        <v>44387.525000000001</v>
      </c>
      <c r="C23" s="44">
        <f>Control_7 Close_time</f>
        <v>44387.868750000001</v>
      </c>
      <c r="D23" s="45"/>
      <c r="E23" s="46" t="str">
        <f>IF(ISBLANK(Control_7 Establishment_3),"",Control_7 Establishment_3)</f>
        <v>Takala Rd.</v>
      </c>
      <c r="F23" s="46" t="str">
        <f>IF(ISBLANK('Control Entry'!K16),"",'Control Entry'!K16)</f>
        <v>_______________________</v>
      </c>
      <c r="G23" s="11"/>
      <c r="H23" s="35" t="s">
        <v>29</v>
      </c>
      <c r="J23" s="72"/>
      <c r="K23" s="72"/>
      <c r="L23" s="71"/>
      <c r="M23" s="71"/>
      <c r="N23" s="71"/>
      <c r="O23" s="29"/>
      <c r="P23" s="70"/>
      <c r="Q23" s="70"/>
      <c r="R23" s="29"/>
      <c r="S23" s="29"/>
      <c r="T23" s="29"/>
      <c r="U23" s="29"/>
      <c r="V23" s="36"/>
    </row>
    <row r="24" spans="1:22" ht="36" customHeight="1" thickBot="1" x14ac:dyDescent="0.25">
      <c r="A24" s="39"/>
      <c r="B24" s="40">
        <f>Control_8 Open_time</f>
        <v>44387.634722222225</v>
      </c>
      <c r="C24" s="40">
        <f>Control_8 Close_time</f>
        <v>44388.102777777778</v>
      </c>
      <c r="D24" s="47"/>
      <c r="E24" s="42" t="str">
        <f>IF(ISBLANK(Control_8 Establishment_1),"",Control_8 Establishment_1)</f>
        <v>Information Control</v>
      </c>
      <c r="F24" s="42" t="str">
        <f>IF(ISBLANK('Control Entry'!I17),"",'Control Entry'!I17)</f>
        <v>Sign near gate</v>
      </c>
      <c r="G24" s="10"/>
      <c r="H24" s="35" t="s">
        <v>29</v>
      </c>
      <c r="J24" s="18"/>
      <c r="K24" s="18"/>
      <c r="L24" s="18"/>
      <c r="M24" s="26"/>
      <c r="N24" s="26"/>
      <c r="O24" s="25"/>
      <c r="P24" s="24" t="s">
        <v>2</v>
      </c>
      <c r="Q24" s="24"/>
      <c r="R24" s="25"/>
      <c r="S24" s="26"/>
      <c r="T24" s="26"/>
      <c r="U24" s="26"/>
    </row>
    <row r="25" spans="1:22" ht="36" customHeight="1" x14ac:dyDescent="0.2">
      <c r="A25" s="48">
        <f>IF(ISBLANK(Distance Control_8),"",Control_8 Distance)</f>
        <v>307</v>
      </c>
      <c r="B25" s="49">
        <f>Control_8 Open_time</f>
        <v>44387.634722222225</v>
      </c>
      <c r="C25" s="49">
        <f>Control_8 Close_time</f>
        <v>44388.102777777778</v>
      </c>
      <c r="D25" s="50" t="str">
        <f>IF(ISBLANK(Locale Control_8),"",Locale Control_8)</f>
        <v>HONEYMOON BAY</v>
      </c>
      <c r="E25" s="67" t="str">
        <f>IF(ISBLANK(Control_8 Establishment_2),"",Control_8 Establishment_2)</f>
        <v>Gordon Bay Park Gate</v>
      </c>
      <c r="F25" s="42" t="str">
        <f>IF(ISBLANK('Control Entry'!J17),"",'Control Entry'!J17)</f>
        <v>Name ONE park nearby</v>
      </c>
      <c r="G25" s="10"/>
      <c r="H25" s="35" t="s">
        <v>29</v>
      </c>
      <c r="J25" s="131" t="s">
        <v>17</v>
      </c>
      <c r="K25" s="131"/>
      <c r="L25" s="131"/>
      <c r="M25" s="131"/>
      <c r="N25" s="131"/>
      <c r="O25" s="63"/>
      <c r="P25" s="128"/>
      <c r="Q25" s="128"/>
      <c r="R25" s="63"/>
      <c r="S25" s="129"/>
      <c r="T25" s="129"/>
      <c r="U25" s="129"/>
      <c r="V25" s="129"/>
    </row>
    <row r="26" spans="1:22" ht="36" customHeight="1" thickBot="1" x14ac:dyDescent="0.25">
      <c r="A26" s="43"/>
      <c r="B26" s="44">
        <f>Control_8 Open_time</f>
        <v>44387.634722222225</v>
      </c>
      <c r="C26" s="44">
        <f>Control_8 Close_time</f>
        <v>44388.102777777778</v>
      </c>
      <c r="D26" s="45"/>
      <c r="E26" s="46" t="str">
        <f>IF(ISBLANK(Control_8 Establishment_3),"",Control_8 Establishment_3)</f>
        <v>Walton Rd</v>
      </c>
      <c r="F26" s="46" t="str">
        <f>IF(ISBLANK('Control Entry'!K17),"",'Control Entry'!K17)</f>
        <v>_______________________</v>
      </c>
      <c r="G26" s="11"/>
      <c r="H26" s="35" t="s">
        <v>29</v>
      </c>
    </row>
    <row r="27" spans="1:22" ht="36" customHeight="1" x14ac:dyDescent="0.2">
      <c r="A27" s="39"/>
      <c r="B27" s="40">
        <f>Control_9 Open_time</f>
        <v>44387.671527777777</v>
      </c>
      <c r="C27" s="40">
        <f>Control_9 Close_time</f>
        <v>44388.181944444441</v>
      </c>
      <c r="D27" s="47"/>
      <c r="E27" s="42" t="str">
        <f>IF(ISBLANK(Control_9 Establishment_1),"",Control_9 Establishment_1)</f>
        <v>Information Control</v>
      </c>
      <c r="F27" s="42" t="str">
        <f>IF(ISBLANK('Control Entry'!I18),"",'Control Entry'!I18)</f>
        <v>On park sign</v>
      </c>
      <c r="G27" s="10"/>
      <c r="H27" s="35" t="s">
        <v>29</v>
      </c>
      <c r="K27" s="127" t="s">
        <v>57</v>
      </c>
      <c r="L27" s="128"/>
      <c r="M27" s="62" t="s">
        <v>58</v>
      </c>
      <c r="N27" s="128" t="s">
        <v>50</v>
      </c>
      <c r="O27" s="128"/>
      <c r="P27" s="128" t="s">
        <v>51</v>
      </c>
      <c r="Q27" s="128"/>
      <c r="R27" s="63" t="s">
        <v>52</v>
      </c>
      <c r="S27" s="129" t="s">
        <v>53</v>
      </c>
      <c r="T27" s="129"/>
      <c r="U27" s="129" t="s">
        <v>54</v>
      </c>
      <c r="V27" s="129"/>
    </row>
    <row r="28" spans="1:22" ht="36" customHeight="1" x14ac:dyDescent="0.2">
      <c r="A28" s="48">
        <f>IF(ISBLANK(Distance Control_9),"",Control_9 Distance)</f>
        <v>335.5</v>
      </c>
      <c r="B28" s="49">
        <f>Control_9 Open_time</f>
        <v>44387.671527777777</v>
      </c>
      <c r="C28" s="49">
        <f>Control_9 Close_time</f>
        <v>44388.181944444441</v>
      </c>
      <c r="D28" s="50" t="str">
        <f>IF(ISBLANK(Locale Control_9),"",Locale Control_9)</f>
        <v>YOUBOU</v>
      </c>
      <c r="E28" s="42" t="str">
        <f>IF(ISBLANK(Control_9 Establishment_2),"",Control_9 Establishment_2)</f>
        <v>Arbutus Community Park</v>
      </c>
      <c r="F28" s="42" t="str">
        <f>IF(ISBLANK('Control Entry'!J18),"",'Control Entry'!J18)</f>
        <v>Level of Fire Hazard?</v>
      </c>
      <c r="G28" s="10"/>
      <c r="H28" s="35" t="s">
        <v>29</v>
      </c>
    </row>
    <row r="29" spans="1:22" ht="36" customHeight="1" thickBot="1" x14ac:dyDescent="0.25">
      <c r="A29" s="43"/>
      <c r="B29" s="44">
        <f>Control_9 Open_time</f>
        <v>44387.671527777777</v>
      </c>
      <c r="C29" s="44">
        <f>Control_9 Close_time</f>
        <v>44388.181944444441</v>
      </c>
      <c r="D29" s="45"/>
      <c r="E29" s="46" t="str">
        <f>IF(ISBLANK(Control_9 Establishment_3),"",Control_9 Establishment_3)</f>
        <v>Alder Cr.</v>
      </c>
      <c r="F29" s="46" t="str">
        <f>IF(ISBLANK('Control Entry'!K18),"",'Control Entry'!K18)</f>
        <v>_______________________</v>
      </c>
      <c r="G29" s="11"/>
      <c r="H29" s="35" t="s">
        <v>29</v>
      </c>
      <c r="M29" s="137" t="s">
        <v>42</v>
      </c>
      <c r="N29" s="137"/>
      <c r="O29" s="137"/>
      <c r="P29" s="137"/>
      <c r="Q29" s="137"/>
      <c r="R29" s="137"/>
      <c r="S29" s="137"/>
      <c r="T29" s="137"/>
      <c r="U29" s="68"/>
    </row>
    <row r="30" spans="1:22" ht="36" customHeight="1" x14ac:dyDescent="0.2">
      <c r="A30" s="39"/>
      <c r="B30" s="40">
        <f>Control_10 Open_time</f>
        <v>44387.756944444445</v>
      </c>
      <c r="C30" s="40">
        <f>Control_10 Close_time</f>
        <v>44388.375</v>
      </c>
      <c r="D30" s="47"/>
      <c r="E30" s="42" t="str">
        <f>IF(ISBLANK(Control_10 Establishment_1),"",Control_10 Establishment_1)</f>
        <v>Information Control</v>
      </c>
      <c r="F30" s="42" t="str">
        <f>IF(ISBLANK('Control Entry'!I19),"",'Control Entry'!I19)</f>
        <v>Self Sign</v>
      </c>
      <c r="G30" s="10"/>
      <c r="H30" s="35" t="s">
        <v>29</v>
      </c>
      <c r="M30" s="19"/>
      <c r="N30" s="27"/>
      <c r="O30" s="27"/>
      <c r="P30" s="28"/>
      <c r="Q30" s="27"/>
      <c r="R30" s="27"/>
      <c r="S30" s="27"/>
      <c r="T30" s="28"/>
      <c r="U30" s="29"/>
    </row>
    <row r="31" spans="1:22" ht="36" customHeight="1" x14ac:dyDescent="0.2">
      <c r="A31" s="48">
        <f>IF(ISBLANK(Distance Control_10),"",Control_10 Distance)</f>
        <v>401.2</v>
      </c>
      <c r="B31" s="49">
        <f>Control_10 Open_time</f>
        <v>44387.756944444445</v>
      </c>
      <c r="C31" s="49">
        <f>Control_10 Close_time</f>
        <v>44388.375</v>
      </c>
      <c r="D31" s="50" t="str">
        <f>IF(ISBLANK(Locale Control_10),"",Locale Control_10)</f>
        <v>MILL BAY</v>
      </c>
      <c r="E31" s="42" t="str">
        <f>IF(ISBLANK(Control_10 Establishment_2),"",Control_10 Establishment_2)</f>
        <v>Tim Hortons</v>
      </c>
      <c r="F31" s="42" t="str">
        <f>IF(ISBLANK('Control Entry'!J19),"",'Control Entry'!J19)</f>
        <v/>
      </c>
      <c r="G31" s="10"/>
      <c r="H31" s="35" t="s">
        <v>29</v>
      </c>
      <c r="M31" s="20"/>
      <c r="N31" s="29"/>
      <c r="O31" s="29"/>
      <c r="P31" s="30"/>
      <c r="Q31" s="29"/>
      <c r="R31" s="29"/>
      <c r="S31" s="29"/>
      <c r="T31" s="30"/>
      <c r="U31" s="29"/>
    </row>
    <row r="32" spans="1:22" ht="36" customHeight="1" thickBot="1" x14ac:dyDescent="0.25">
      <c r="A32" s="43"/>
      <c r="B32" s="44">
        <f>Control_10 Open_time</f>
        <v>44387.756944444445</v>
      </c>
      <c r="C32" s="44">
        <f>Control_10 Close_time</f>
        <v>44388.375</v>
      </c>
      <c r="D32" s="45"/>
      <c r="E32" s="46" t="str">
        <f>IF(ISBLANK(Control_10 Establishment_3),"",Control_10 Establishment_3)</f>
        <v>825 Deloume Rd</v>
      </c>
      <c r="F32" s="46" t="str">
        <f>IF(ISBLANK('Control Entry'!K19),"",'Control Entry'!K19)</f>
        <v/>
      </c>
      <c r="G32" s="11"/>
      <c r="H32" s="35" t="s">
        <v>29</v>
      </c>
      <c r="M32" s="66"/>
      <c r="N32" s="26"/>
      <c r="O32" s="26"/>
      <c r="P32" s="31"/>
      <c r="Q32" s="26"/>
      <c r="R32" s="26"/>
      <c r="S32" s="26"/>
      <c r="T32" s="31"/>
      <c r="U32" s="29"/>
    </row>
    <row r="33" spans="1:22" ht="36" customHeight="1" x14ac:dyDescent="0.2">
      <c r="A33" s="126" t="s">
        <v>43</v>
      </c>
      <c r="B33" s="126"/>
      <c r="C33" s="126"/>
      <c r="D33" s="126"/>
      <c r="E33" s="126"/>
      <c r="F33" s="126"/>
      <c r="G33" s="126"/>
      <c r="H33" s="51"/>
      <c r="I33" s="51"/>
      <c r="N33" s="138"/>
      <c r="O33" s="138"/>
      <c r="P33" s="138"/>
      <c r="Q33" s="138"/>
      <c r="R33" s="138"/>
      <c r="S33" s="138"/>
      <c r="T33" s="138"/>
      <c r="U33" s="138"/>
      <c r="V33" s="61"/>
    </row>
    <row r="34" spans="1:22" ht="36" customHeight="1" x14ac:dyDescent="0.2">
      <c r="A34"/>
      <c r="O34" s="59"/>
      <c r="P34" s="59"/>
      <c r="Q34" s="59"/>
      <c r="R34" s="58"/>
    </row>
    <row r="35" spans="1:22" ht="36" customHeight="1" x14ac:dyDescent="0.2">
      <c r="A35"/>
      <c r="N35" s="137"/>
      <c r="O35" s="137"/>
      <c r="P35" s="137"/>
      <c r="Q35" s="137"/>
      <c r="R35" s="137"/>
      <c r="S35" s="137"/>
      <c r="T35" s="137"/>
      <c r="U35" s="137"/>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T8:U8"/>
    <mergeCell ref="N35:U35"/>
    <mergeCell ref="M29:T29"/>
    <mergeCell ref="N27:O27"/>
    <mergeCell ref="P27:Q27"/>
    <mergeCell ref="S27:T27"/>
    <mergeCell ref="U27:V27"/>
    <mergeCell ref="N33:U3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s>
  <phoneticPr fontId="16" type="noConversion"/>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36" customWidth="1"/>
    <col min="9" max="9" width="12" customWidth="1"/>
    <col min="18" max="19" width="8.83203125" customWidth="1"/>
  </cols>
  <sheetData>
    <row r="1" spans="1:22" ht="21" thickBot="1" x14ac:dyDescent="0.2">
      <c r="A1" s="125" t="s">
        <v>44</v>
      </c>
      <c r="B1" s="125"/>
      <c r="C1" s="125"/>
      <c r="D1" s="125"/>
      <c r="E1" s="125"/>
      <c r="F1" s="125"/>
      <c r="G1" s="125"/>
      <c r="H1" s="35" t="s">
        <v>29</v>
      </c>
    </row>
    <row r="2" spans="1:22" ht="33.75" customHeight="1" thickBot="1" x14ac:dyDescent="0.25">
      <c r="A2" s="100" t="s">
        <v>30</v>
      </c>
      <c r="B2" s="9" t="s">
        <v>3</v>
      </c>
      <c r="C2" s="9" t="s">
        <v>4</v>
      </c>
      <c r="D2" s="9" t="s">
        <v>25</v>
      </c>
      <c r="E2" s="9" t="s">
        <v>31</v>
      </c>
      <c r="F2" s="9" t="s">
        <v>60</v>
      </c>
      <c r="G2" s="100" t="s">
        <v>32</v>
      </c>
      <c r="H2" s="35" t="s">
        <v>29</v>
      </c>
      <c r="K2" s="123" t="s">
        <v>56</v>
      </c>
      <c r="L2" s="123"/>
      <c r="M2" s="123"/>
      <c r="N2" s="123"/>
      <c r="O2" s="123"/>
      <c r="P2" s="123"/>
      <c r="Q2" s="123"/>
      <c r="R2" s="123"/>
      <c r="S2" s="123"/>
      <c r="T2" s="123"/>
      <c r="U2" s="123"/>
    </row>
    <row r="3" spans="1:22" ht="36" customHeight="1" x14ac:dyDescent="0.45">
      <c r="A3" s="39"/>
      <c r="B3" s="40">
        <f>'Control Entry'!N23</f>
        <v>44387.25</v>
      </c>
      <c r="C3" s="40">
        <f>'Control Entry'!O23</f>
        <v>44387.25</v>
      </c>
      <c r="D3" s="41"/>
      <c r="E3" s="42" t="str">
        <f>IF(ISBLANK('Control Entry'!F23),"",'Control Entry'!F23)</f>
        <v>Information Control</v>
      </c>
      <c r="F3" s="42" t="str">
        <f>IF(ISBLANK('Control Entry'!I23),"",'Control Entry'!I23)</f>
        <v>Large sign to left of Gravel Mart</v>
      </c>
      <c r="G3" s="10"/>
      <c r="H3" s="35" t="s">
        <v>29</v>
      </c>
      <c r="K3" s="16"/>
      <c r="N3" s="132" t="s">
        <v>84</v>
      </c>
      <c r="O3" s="132"/>
      <c r="P3" s="132"/>
      <c r="Q3" s="132"/>
      <c r="R3" s="132"/>
      <c r="S3" s="132"/>
      <c r="T3" s="52"/>
      <c r="U3" s="52"/>
    </row>
    <row r="4" spans="1:22" ht="36" customHeight="1" x14ac:dyDescent="0.2">
      <c r="A4" s="48">
        <f>IF(ISBLANK('Control Entry'!D23),"",'Control Entry'!D23)</f>
        <v>0</v>
      </c>
      <c r="B4" s="49">
        <f>'Control Entry'!N23</f>
        <v>44387.25</v>
      </c>
      <c r="C4" s="49">
        <f>'Control Entry'!O23</f>
        <v>44387.25</v>
      </c>
      <c r="D4" s="50" t="str">
        <f>IF(ISBLANK('Control Entry'!E23),"",'Control Entry'!E23)</f>
        <v>LANTZVILLE</v>
      </c>
      <c r="E4" s="42" t="str">
        <f>IF(ISBLANK('Control Entry'!G23),"",'Control Entry'!G23)</f>
        <v>Lantzville Gravel Mart</v>
      </c>
      <c r="F4" s="42" t="str">
        <f>IF(ISBLANK('Control Entry'!J23),"",'Control Entry'!J23)</f>
        <v/>
      </c>
      <c r="G4" s="10"/>
      <c r="H4" s="35" t="s">
        <v>29</v>
      </c>
      <c r="K4" s="16"/>
      <c r="M4" s="127" t="str">
        <f>IF(ISBLANK(brevet),"",brevet&amp;" km Randonnée")</f>
        <v>400 km Randonnée</v>
      </c>
      <c r="N4" s="127"/>
      <c r="O4" s="127"/>
      <c r="P4" s="127"/>
      <c r="Q4" s="127"/>
      <c r="R4" s="127"/>
      <c r="S4" s="127"/>
      <c r="T4" s="127"/>
      <c r="U4" s="53"/>
    </row>
    <row r="5" spans="1:22" ht="36" customHeight="1" thickBot="1" x14ac:dyDescent="0.25">
      <c r="A5" s="43"/>
      <c r="B5" s="44">
        <f>'Control Entry'!N23</f>
        <v>44387.25</v>
      </c>
      <c r="C5" s="44">
        <f>'Control Entry'!O23</f>
        <v>44387.25</v>
      </c>
      <c r="D5" s="45"/>
      <c r="E5" s="46" t="str">
        <f>IF(ISBLANK('Control Entry'!H23),"",'Control Entry'!H23)</f>
        <v>Industrial Rd.</v>
      </c>
      <c r="F5" s="46" t="str">
        <f>IF(ISBLANK('Control Entry'!K23),"",'Control Entry'!K23)</f>
        <v>West ________________Motor Sport?</v>
      </c>
      <c r="G5" s="11"/>
      <c r="H5" s="35" t="s">
        <v>29</v>
      </c>
      <c r="K5" s="16"/>
      <c r="M5" s="17"/>
      <c r="N5" s="130" t="s">
        <v>48</v>
      </c>
      <c r="O5" s="130"/>
      <c r="P5" s="81">
        <f>IF(ISBLANK(Brevet_Number),"",Brevet_Number)</f>
        <v>5096</v>
      </c>
      <c r="Q5" s="82"/>
      <c r="R5" s="122">
        <f>IF(ISBLANK('Control Entry'!$B5),"",'Control Entry'!$B5)</f>
        <v>44387</v>
      </c>
      <c r="S5" s="122"/>
      <c r="T5" s="122"/>
      <c r="U5" s="122"/>
      <c r="V5" s="54"/>
    </row>
    <row r="6" spans="1:22" ht="36" customHeight="1" x14ac:dyDescent="0.2">
      <c r="A6" s="39"/>
      <c r="B6" s="40">
        <f>'Control Entry'!N24</f>
        <v>44387.304861111108</v>
      </c>
      <c r="C6" s="40">
        <f>'Control Entry'!O24</f>
        <v>44387.375</v>
      </c>
      <c r="D6" s="47"/>
      <c r="E6" s="42" t="str">
        <f>IF(ISBLANK('Control Entry'!F24),"",'Control Entry'!F24)</f>
        <v>Information Control</v>
      </c>
      <c r="F6" s="42" t="str">
        <f>IF(ISBLANK('Control Entry'!I24),"",'Control Entry'!I24)</f>
        <v>Sign on gate</v>
      </c>
      <c r="G6" s="10"/>
      <c r="H6" s="35" t="s">
        <v>29</v>
      </c>
      <c r="K6" s="16"/>
      <c r="L6" s="135" t="str">
        <f>IF(ISBLANK(Brevet_Description),"",Brevet_Description)</f>
        <v>Tour of the Bays</v>
      </c>
      <c r="M6" s="135"/>
      <c r="N6" s="135"/>
      <c r="O6" s="135"/>
      <c r="P6" s="135"/>
      <c r="Q6" s="135"/>
      <c r="R6" s="135"/>
      <c r="S6" s="135"/>
      <c r="T6" s="135"/>
      <c r="U6" s="135"/>
    </row>
    <row r="7" spans="1:22" ht="36" customHeight="1" x14ac:dyDescent="0.2">
      <c r="A7" s="48">
        <f>IF(ISBLANK('Control Entry'!D24),"",'Control Entry'!D24)</f>
        <v>45</v>
      </c>
      <c r="B7" s="49">
        <f>'Control Entry'!N24</f>
        <v>44387.304861111108</v>
      </c>
      <c r="C7" s="49">
        <f>'Control Entry'!O24</f>
        <v>44387.375</v>
      </c>
      <c r="D7" s="50" t="str">
        <f>IF(ISBLANK('Control Entry'!E24),"",'Control Entry'!E24)</f>
        <v>NANAIMO LAKES</v>
      </c>
      <c r="E7" s="42" t="str">
        <f>IF(ISBLANK('Control Entry'!G24),"",'Control Entry'!G24)</f>
        <v>Logging Gate</v>
      </c>
      <c r="F7" s="42" t="str">
        <f>IF(ISBLANK('Control Entry'!J24),"",'Control Entry'!J24)</f>
        <v>Public Access Weekends and ???</v>
      </c>
      <c r="G7" s="10"/>
      <c r="H7" s="35" t="s">
        <v>29</v>
      </c>
    </row>
    <row r="8" spans="1:22" ht="36" customHeight="1" thickBot="1" x14ac:dyDescent="0.25">
      <c r="A8" s="43"/>
      <c r="B8" s="44">
        <f>'Control Entry'!N24</f>
        <v>44387.304861111108</v>
      </c>
      <c r="C8" s="44">
        <f>'Control Entry'!O24</f>
        <v>44387.375</v>
      </c>
      <c r="D8" s="45"/>
      <c r="E8" s="46" t="str">
        <f>IF(ISBLANK('Control Entry'!H24),"",'Control Entry'!H24)</f>
        <v>Nanaimo River Rd.</v>
      </c>
      <c r="F8" s="46" t="str">
        <f>IF(ISBLANK('Control Entry'!K24),"",'Control Entry'!K24)</f>
        <v>_______________________</v>
      </c>
      <c r="G8" s="11"/>
      <c r="H8" s="35" t="s">
        <v>29</v>
      </c>
      <c r="J8" s="17" t="s">
        <v>34</v>
      </c>
      <c r="L8" s="124"/>
      <c r="M8" s="124"/>
      <c r="N8" s="124"/>
      <c r="O8" s="124"/>
      <c r="P8" s="124"/>
      <c r="Q8" s="124"/>
      <c r="R8" s="36"/>
      <c r="S8" s="55" t="s">
        <v>47</v>
      </c>
      <c r="T8" s="136"/>
      <c r="U8" s="136"/>
    </row>
    <row r="9" spans="1:22" ht="36" customHeight="1" thickBot="1" x14ac:dyDescent="0.3">
      <c r="A9" s="39"/>
      <c r="B9" s="40">
        <f>'Control Entry'!N25</f>
        <v>44387.338888888888</v>
      </c>
      <c r="C9" s="40">
        <f>'Control Entry'!O25</f>
        <v>44387.451388888891</v>
      </c>
      <c r="D9" s="47"/>
      <c r="E9" s="42" t="str">
        <f>IF(ISBLANK('Control Entry'!F25),"",'Control Entry'!F25)</f>
        <v>Information Control</v>
      </c>
      <c r="F9" s="42" t="str">
        <f>IF(ISBLANK('Control Entry'!I25),"",'Control Entry'!I25)</f>
        <v>How many individual boxes?</v>
      </c>
      <c r="G9" s="10"/>
      <c r="H9" s="35" t="s">
        <v>29</v>
      </c>
      <c r="J9" s="17" t="s">
        <v>35</v>
      </c>
      <c r="K9" s="17"/>
      <c r="L9" s="65" t="s">
        <v>55</v>
      </c>
      <c r="M9" s="23"/>
      <c r="N9" s="23"/>
      <c r="O9" s="23"/>
      <c r="P9" s="23"/>
      <c r="Q9" s="23"/>
      <c r="R9" s="23"/>
      <c r="S9" s="23"/>
      <c r="T9" s="23"/>
      <c r="U9" s="21"/>
    </row>
    <row r="10" spans="1:22" ht="36" customHeight="1" thickBot="1" x14ac:dyDescent="0.3">
      <c r="A10" s="48">
        <f>IF(ISBLANK('Control Entry'!D25),"",'Control Entry'!D25)</f>
        <v>72.400000000000006</v>
      </c>
      <c r="B10" s="49">
        <f>'Control Entry'!N25</f>
        <v>44387.338888888888</v>
      </c>
      <c r="C10" s="49">
        <f>'Control Entry'!O25</f>
        <v>44387.451388888891</v>
      </c>
      <c r="D10" s="50" t="str">
        <f>IF(ISBLANK('Control Entry'!E25),"",'Control Entry'!E25)</f>
        <v>CASSIDY</v>
      </c>
      <c r="E10" s="42" t="str">
        <f>IF(ISBLANK('Control Entry'!G25),"",'Control Entry'!G25)</f>
        <v>Mailboxes</v>
      </c>
      <c r="F10" s="42" t="str">
        <f>IF(ISBLANK('Control Entry'!J25),"",'Control Entry'!J25)</f>
        <v/>
      </c>
      <c r="G10" s="10"/>
      <c r="H10" s="35" t="s">
        <v>29</v>
      </c>
      <c r="J10" s="17"/>
      <c r="K10" s="17"/>
      <c r="L10" s="37"/>
      <c r="M10" s="23"/>
      <c r="N10" s="23"/>
      <c r="O10" s="23"/>
      <c r="P10" s="23"/>
      <c r="Q10" s="23"/>
      <c r="R10" s="23"/>
      <c r="S10" s="23"/>
      <c r="T10" s="23"/>
      <c r="U10" s="21"/>
    </row>
    <row r="11" spans="1:22" ht="36" customHeight="1" thickBot="1" x14ac:dyDescent="0.3">
      <c r="A11" s="43"/>
      <c r="B11" s="44">
        <f>'Control Entry'!N25</f>
        <v>44387.338888888888</v>
      </c>
      <c r="C11" s="44">
        <f>'Control Entry'!O25</f>
        <v>44387.451388888891</v>
      </c>
      <c r="D11" s="45"/>
      <c r="E11" s="46" t="str">
        <f>IF(ISBLANK('Control Entry'!H25),"",'Control Entry'!H25)</f>
        <v>Takala Rd.</v>
      </c>
      <c r="F11" s="46" t="str">
        <f>IF(ISBLANK('Control Entry'!K25),"",'Control Entry'!K25)</f>
        <v>_______________________</v>
      </c>
      <c r="G11" s="11"/>
      <c r="H11" s="35" t="s">
        <v>29</v>
      </c>
      <c r="J11" s="17" t="s">
        <v>36</v>
      </c>
      <c r="K11" s="17"/>
      <c r="L11" s="37"/>
      <c r="M11" s="23"/>
      <c r="N11" s="23"/>
      <c r="O11" s="24"/>
      <c r="P11" s="24" t="s">
        <v>37</v>
      </c>
      <c r="Q11" s="24"/>
      <c r="R11" s="24"/>
      <c r="S11" s="57"/>
      <c r="T11" s="37"/>
      <c r="U11" s="21"/>
    </row>
    <row r="12" spans="1:22" ht="36" customHeight="1" thickBot="1" x14ac:dyDescent="0.3">
      <c r="A12" s="39"/>
      <c r="B12" s="40">
        <f>'Control Entry'!N26</f>
        <v>44387.441666666666</v>
      </c>
      <c r="C12" s="40">
        <f>'Control Entry'!O26</f>
        <v>44387.68472222222</v>
      </c>
      <c r="D12" s="47"/>
      <c r="E12" s="42" t="str">
        <f>IF(ISBLANK('Control Entry'!F26),"",'Control Entry'!F26)</f>
        <v>Information Control</v>
      </c>
      <c r="F12" s="42" t="str">
        <f>IF(ISBLANK('Control Entry'!I26),"",'Control Entry'!I26)</f>
        <v>Sign near gate</v>
      </c>
      <c r="G12" s="10"/>
      <c r="H12" s="35" t="s">
        <v>29</v>
      </c>
      <c r="J12" s="17" t="s">
        <v>38</v>
      </c>
      <c r="K12" s="17"/>
      <c r="L12" s="37"/>
      <c r="M12" s="23"/>
      <c r="N12" s="23"/>
      <c r="O12" s="24"/>
      <c r="P12" s="24" t="s">
        <v>39</v>
      </c>
      <c r="Q12" s="24"/>
      <c r="R12" s="24"/>
      <c r="S12" s="57"/>
      <c r="T12" s="37"/>
      <c r="U12" s="21"/>
    </row>
    <row r="13" spans="1:22" ht="36" customHeight="1" thickBot="1" x14ac:dyDescent="0.3">
      <c r="A13" s="48">
        <f>IF(ISBLANK('Control Entry'!D26),"",'Control Entry'!D26)</f>
        <v>156.6</v>
      </c>
      <c r="B13" s="49">
        <f>'Control Entry'!N26</f>
        <v>44387.441666666666</v>
      </c>
      <c r="C13" s="49">
        <f>'Control Entry'!O26</f>
        <v>44387.68472222222</v>
      </c>
      <c r="D13" s="50" t="str">
        <f>IF(ISBLANK('Control Entry'!E26),"",'Control Entry'!E26)</f>
        <v>HONEYMOON BAY</v>
      </c>
      <c r="E13" s="42" t="str">
        <f>IF(ISBLANK('Control Entry'!G26),"",'Control Entry'!G26)</f>
        <v>Gordon Bay Park Gate</v>
      </c>
      <c r="F13" s="42" t="str">
        <f>IF(ISBLANK('Control Entry'!J26),"",'Control Entry'!J26)</f>
        <v>Name ONE park nearby</v>
      </c>
      <c r="G13" s="10"/>
      <c r="H13" s="35" t="s">
        <v>29</v>
      </c>
      <c r="J13" s="17" t="s">
        <v>40</v>
      </c>
      <c r="L13" s="79"/>
      <c r="M13" s="80"/>
      <c r="N13" s="80"/>
      <c r="O13" s="25"/>
      <c r="P13" s="24" t="s">
        <v>41</v>
      </c>
      <c r="Q13" s="24"/>
      <c r="R13" s="38"/>
      <c r="S13" s="26"/>
      <c r="T13" s="26"/>
      <c r="U13" s="22"/>
    </row>
    <row r="14" spans="1:22" ht="36" customHeight="1" thickBot="1" x14ac:dyDescent="0.25">
      <c r="A14" s="43"/>
      <c r="B14" s="44">
        <f>'Control Entry'!N26</f>
        <v>44387.441666666666</v>
      </c>
      <c r="C14" s="44">
        <f>'Control Entry'!O26</f>
        <v>44387.68472222222</v>
      </c>
      <c r="D14" s="45"/>
      <c r="E14" s="46" t="str">
        <f>IF(ISBLANK('Control Entry'!H26),"",'Control Entry'!H26)</f>
        <v>Walton Rd</v>
      </c>
      <c r="F14" s="46" t="str">
        <f>IF(ISBLANK('Control Entry'!K26),"",'Control Entry'!K26)</f>
        <v>_______________________</v>
      </c>
      <c r="G14" s="11"/>
      <c r="H14" s="35" t="s">
        <v>29</v>
      </c>
    </row>
    <row r="15" spans="1:22" ht="36" customHeight="1" x14ac:dyDescent="0.2">
      <c r="A15" s="39"/>
      <c r="B15" s="40">
        <f>'Control Entry'!N27</f>
        <v>44387.477083333331</v>
      </c>
      <c r="C15" s="40">
        <f>'Control Entry'!O27</f>
        <v>44387.763888888891</v>
      </c>
      <c r="D15" s="47"/>
      <c r="E15" s="42" t="str">
        <f>IF(ISBLANK('Control Entry'!F27),"",'Control Entry'!F27)</f>
        <v>Information Control</v>
      </c>
      <c r="F15" s="42" t="str">
        <f>IF(ISBLANK('Control Entry'!I27),"",'Control Entry'!I27)</f>
        <v>On park sign</v>
      </c>
      <c r="G15" s="10"/>
      <c r="H15" s="35" t="s">
        <v>29</v>
      </c>
      <c r="J15" s="17"/>
      <c r="L15" s="134" t="s">
        <v>59</v>
      </c>
      <c r="M15" s="134"/>
      <c r="N15" s="134"/>
      <c r="O15" s="134"/>
      <c r="P15" s="134"/>
      <c r="Q15" s="134"/>
      <c r="R15" s="134"/>
      <c r="S15" s="134"/>
      <c r="T15" s="134"/>
      <c r="U15" s="134"/>
    </row>
    <row r="16" spans="1:22" ht="36" customHeight="1" thickBot="1" x14ac:dyDescent="0.25">
      <c r="A16" s="48">
        <f>IF(ISBLANK('Control Entry'!D27),"",'Control Entry'!D27)</f>
        <v>185.1</v>
      </c>
      <c r="B16" s="49">
        <f>'Control Entry'!N27</f>
        <v>44387.477083333331</v>
      </c>
      <c r="C16" s="49">
        <f>'Control Entry'!O27</f>
        <v>44387.763888888891</v>
      </c>
      <c r="D16" s="50" t="str">
        <f>IF(ISBLANK('Control Entry'!E27),"",'Control Entry'!E27)</f>
        <v>YOUBOU</v>
      </c>
      <c r="E16" s="42" t="str">
        <f>IF(ISBLANK('Control Entry'!G27),"",'Control Entry'!G27)</f>
        <v>Arbutus Community Park</v>
      </c>
      <c r="F16" s="42" t="str">
        <f>IF(ISBLANK('Control Entry'!J27),"",'Control Entry'!J27)</f>
        <v>Level of Fire Hazard?</v>
      </c>
      <c r="G16" s="10"/>
      <c r="H16" s="35" t="s">
        <v>29</v>
      </c>
      <c r="L16" s="74"/>
      <c r="M16" s="74"/>
      <c r="N16" s="74"/>
      <c r="O16" s="74"/>
      <c r="P16" s="74"/>
      <c r="Q16" s="75"/>
      <c r="R16" s="75"/>
      <c r="S16" s="75"/>
      <c r="T16" s="75"/>
      <c r="U16" s="75"/>
    </row>
    <row r="17" spans="1:22" ht="36" customHeight="1" thickBot="1" x14ac:dyDescent="0.25">
      <c r="A17" s="43"/>
      <c r="B17" s="44">
        <f>'Control Entry'!N27</f>
        <v>44387.477083333331</v>
      </c>
      <c r="C17" s="44">
        <f>'Control Entry'!O27</f>
        <v>44387.763888888891</v>
      </c>
      <c r="D17" s="45"/>
      <c r="E17" s="46" t="str">
        <f>IF(ISBLANK('Control Entry'!H27),"",'Control Entry'!H27)</f>
        <v>Alder Cr.</v>
      </c>
      <c r="F17" s="46" t="str">
        <f>IF(ISBLANK('Control Entry'!K27),"",'Control Entry'!K27)</f>
        <v>_______________________</v>
      </c>
      <c r="G17" s="11"/>
      <c r="H17" s="35" t="s">
        <v>29</v>
      </c>
    </row>
    <row r="18" spans="1:22" ht="36" customHeight="1" x14ac:dyDescent="0.2">
      <c r="A18" s="39"/>
      <c r="B18" s="40">
        <f>'Control Entry'!N28</f>
        <v>44387.561111111114</v>
      </c>
      <c r="C18" s="40">
        <f>'Control Entry'!O28</f>
        <v>44387.946527777778</v>
      </c>
      <c r="D18" s="47"/>
      <c r="E18" s="42" t="str">
        <f>IF(ISBLANK('Control Entry'!F28),"",'Control Entry'!F28)</f>
        <v>Information Control</v>
      </c>
      <c r="F18" s="42" t="str">
        <f>IF(ISBLANK('Control Entry'!I28),"",'Control Entry'!I28)</f>
        <v>Gordon R Martin Memorial bench by door</v>
      </c>
      <c r="G18" s="10"/>
      <c r="H18" s="35" t="s">
        <v>29</v>
      </c>
    </row>
    <row r="19" spans="1:22" ht="36" customHeight="1" x14ac:dyDescent="0.2">
      <c r="A19" s="48">
        <f>IF(ISBLANK('Control Entry'!D28),"",'Control Entry'!D28)</f>
        <v>250.79999999999998</v>
      </c>
      <c r="B19" s="49">
        <f>'Control Entry'!N28</f>
        <v>44387.561111111114</v>
      </c>
      <c r="C19" s="49">
        <f>'Control Entry'!O28</f>
        <v>44387.946527777778</v>
      </c>
      <c r="D19" s="50" t="str">
        <f>IF(ISBLANK('Control Entry'!E28),"",'Control Entry'!E28)</f>
        <v>MILL BAY</v>
      </c>
      <c r="E19" s="42" t="str">
        <f>IF(ISBLANK('Control Entry'!G28),"",'Control Entry'!G28)</f>
        <v>Tim Hortons</v>
      </c>
      <c r="F19" s="42" t="str">
        <f>IF(ISBLANK('Control Entry'!J28),"",'Control Entry'!J28)</f>
        <v>Bottom Line quote</v>
      </c>
      <c r="G19" s="10"/>
      <c r="H19" s="35" t="s">
        <v>29</v>
      </c>
    </row>
    <row r="20" spans="1:22" ht="36" customHeight="1" thickBot="1" x14ac:dyDescent="0.25">
      <c r="A20" s="43"/>
      <c r="B20" s="44">
        <f>'Control Entry'!N28</f>
        <v>44387.561111111114</v>
      </c>
      <c r="C20" s="44">
        <f>'Control Entry'!O28</f>
        <v>44387.946527777778</v>
      </c>
      <c r="D20" s="45"/>
      <c r="E20" s="46" t="str">
        <f>IF(ISBLANK('Control Entry'!H28),"",'Control Entry'!H28)</f>
        <v>825 Deloume Rd</v>
      </c>
      <c r="F20" s="46" t="str">
        <f>IF(ISBLANK('Control Entry'!K28),"",'Control Entry'!K28)</f>
        <v>_______________________</v>
      </c>
      <c r="G20" s="11"/>
      <c r="H20" s="35" t="s">
        <v>29</v>
      </c>
      <c r="J20" s="73" t="s">
        <v>45</v>
      </c>
      <c r="K20" s="73"/>
      <c r="L20" s="76"/>
      <c r="M20" s="76"/>
      <c r="N20" s="76"/>
      <c r="P20" s="24" t="s">
        <v>0</v>
      </c>
      <c r="Q20" s="24"/>
      <c r="S20" s="133">
        <f>'Control Entry'!B8</f>
        <v>0.25</v>
      </c>
      <c r="T20" s="133"/>
      <c r="U20" s="133"/>
    </row>
    <row r="21" spans="1:22" ht="36" customHeight="1" x14ac:dyDescent="0.2">
      <c r="A21" s="39"/>
      <c r="B21" s="40">
        <f>'Control Entry'!N29</f>
        <v>44387.592361111114</v>
      </c>
      <c r="C21" s="40">
        <f>'Control Entry'!O29</f>
        <v>44388.013194444444</v>
      </c>
      <c r="D21" s="47"/>
      <c r="E21" s="42" t="str">
        <f>IF(ISBLANK('Control Entry'!F29),"",'Control Entry'!F29)</f>
        <v>Information Control</v>
      </c>
      <c r="F21" s="42" t="str">
        <f>IF(ISBLANK('Control Entry'!I29),"",'Control Entry'!I29)</f>
        <v>Tran Sign Ltd sticker on back of Stop sign</v>
      </c>
      <c r="G21" s="10"/>
      <c r="H21" s="35" t="s">
        <v>29</v>
      </c>
      <c r="J21" s="73"/>
      <c r="K21" s="73"/>
      <c r="L21" s="71"/>
      <c r="M21" s="71"/>
      <c r="N21" s="71"/>
      <c r="P21" s="24"/>
      <c r="Q21" s="24"/>
      <c r="R21" s="29"/>
      <c r="S21" s="77"/>
      <c r="T21" s="77"/>
      <c r="U21" s="77"/>
      <c r="V21" s="36"/>
    </row>
    <row r="22" spans="1:22" ht="36" customHeight="1" thickBot="1" x14ac:dyDescent="0.25">
      <c r="A22" s="48">
        <f>IF(ISBLANK('Control Entry'!D29),"",'Control Entry'!D29)</f>
        <v>274.79999999999995</v>
      </c>
      <c r="B22" s="49">
        <f>'Control Entry'!N29</f>
        <v>44387.592361111114</v>
      </c>
      <c r="C22" s="49">
        <f>'Control Entry'!O29</f>
        <v>44388.013194444444</v>
      </c>
      <c r="D22" s="50" t="str">
        <f>IF(ISBLANK('Control Entry'!E29),"",'Control Entry'!E29)</f>
        <v>COWICHAN STATION</v>
      </c>
      <c r="E22" s="42" t="str">
        <f>IF(ISBLANK('Control Entry'!G29),"",'Control Entry'!G29)</f>
        <v>Stop sign</v>
      </c>
      <c r="F22" s="42" t="str">
        <f>IF(ISBLANK('Control Entry'!J29),"",'Control Entry'!J29)</f>
        <v>Year of manufacture(large dot marks it)?</v>
      </c>
      <c r="G22" s="10"/>
      <c r="H22" s="35" t="s">
        <v>29</v>
      </c>
      <c r="J22" s="116" t="s">
        <v>46</v>
      </c>
      <c r="K22" s="116"/>
      <c r="L22" s="76"/>
      <c r="M22" s="76"/>
      <c r="N22" s="76"/>
      <c r="O22" s="25"/>
      <c r="P22" s="24" t="s">
        <v>1</v>
      </c>
      <c r="Q22" s="24"/>
      <c r="R22" s="25"/>
      <c r="S22" s="78"/>
      <c r="T22" s="78"/>
      <c r="U22" s="78"/>
    </row>
    <row r="23" spans="1:22" ht="36" customHeight="1" thickBot="1" x14ac:dyDescent="0.25">
      <c r="A23" s="43"/>
      <c r="B23" s="44">
        <f>'Control Entry'!N29</f>
        <v>44387.592361111114</v>
      </c>
      <c r="C23" s="44">
        <f>'Control Entry'!O29</f>
        <v>44388.013194444444</v>
      </c>
      <c r="D23" s="45"/>
      <c r="E23" s="46" t="str">
        <f>IF(ISBLANK('Control Entry'!H29),"",'Control Entry'!H29)</f>
        <v>Mountain @Howie</v>
      </c>
      <c r="F23" s="46" t="str">
        <f>IF(ISBLANK('Control Entry'!K29),"",'Control Entry'!K29)</f>
        <v>_______________________</v>
      </c>
      <c r="G23" s="11"/>
      <c r="H23" s="35" t="s">
        <v>29</v>
      </c>
      <c r="J23" s="116"/>
      <c r="K23" s="116"/>
      <c r="L23" s="71"/>
      <c r="M23" s="71"/>
      <c r="N23" s="71"/>
      <c r="O23" s="29"/>
      <c r="P23" s="70"/>
      <c r="Q23" s="70"/>
      <c r="R23" s="29"/>
      <c r="S23" s="29"/>
      <c r="T23" s="29"/>
      <c r="U23" s="29"/>
      <c r="V23" s="36"/>
    </row>
    <row r="24" spans="1:22" ht="36" customHeight="1" thickBot="1" x14ac:dyDescent="0.25">
      <c r="A24" s="39"/>
      <c r="B24" s="40">
        <f>'Control Entry'!N30</f>
        <v>44387.630555555559</v>
      </c>
      <c r="C24" s="40">
        <f>'Control Entry'!O30</f>
        <v>44388.094444444447</v>
      </c>
      <c r="D24" s="47"/>
      <c r="E24" s="42" t="str">
        <f>IF(ISBLANK('Control Entry'!F30),"",'Control Entry'!F30)</f>
        <v>Information Control</v>
      </c>
      <c r="F24" s="42" t="str">
        <f>IF(ISBLANK('Control Entry'!I30),"",'Control Entry'!I30)</f>
        <v>Sign beside Dock D sign</v>
      </c>
      <c r="G24" s="10"/>
      <c r="H24" s="35" t="s">
        <v>29</v>
      </c>
      <c r="J24" s="18"/>
      <c r="K24" s="18"/>
      <c r="L24" s="18"/>
      <c r="M24" s="26"/>
      <c r="N24" s="26"/>
      <c r="O24" s="25"/>
      <c r="P24" s="24" t="s">
        <v>2</v>
      </c>
      <c r="Q24" s="24"/>
      <c r="R24" s="25"/>
      <c r="S24" s="26"/>
      <c r="T24" s="26"/>
      <c r="U24" s="26"/>
    </row>
    <row r="25" spans="1:22" ht="36" customHeight="1" x14ac:dyDescent="0.2">
      <c r="A25" s="48">
        <f>IF(ISBLANK('Control Entry'!D30),"",'Control Entry'!D30)</f>
        <v>303.89999999999998</v>
      </c>
      <c r="B25" s="49">
        <f>'Control Entry'!N30</f>
        <v>44387.630555555559</v>
      </c>
      <c r="C25" s="49">
        <f>'Control Entry'!O30</f>
        <v>44388.094444444447</v>
      </c>
      <c r="D25" s="50" t="str">
        <f>IF(ISBLANK('Control Entry'!E30),"",'Control Entry'!E30)</f>
        <v>GENOA BAY</v>
      </c>
      <c r="E25" s="42" t="str">
        <f>IF(ISBLANK('Control Entry'!G30),"",'Control Entry'!G30)</f>
        <v>Genoa Bay Café</v>
      </c>
      <c r="F25" s="42" t="str">
        <f>IF(ISBLANK('Control Entry'!J30),"",'Control Entry'!J30)</f>
        <v>What beverage is advertised ?</v>
      </c>
      <c r="G25" s="10"/>
      <c r="H25" s="35" t="s">
        <v>29</v>
      </c>
      <c r="J25" s="131" t="s">
        <v>17</v>
      </c>
      <c r="K25" s="131"/>
      <c r="L25" s="131"/>
      <c r="M25" s="131"/>
      <c r="N25" s="131"/>
      <c r="O25" s="63"/>
      <c r="P25" s="128"/>
      <c r="Q25" s="128"/>
      <c r="R25" s="63"/>
      <c r="S25" s="129"/>
      <c r="T25" s="129"/>
      <c r="U25" s="129"/>
      <c r="V25" s="129"/>
    </row>
    <row r="26" spans="1:22" ht="36" customHeight="1" thickBot="1" x14ac:dyDescent="0.25">
      <c r="A26" s="43"/>
      <c r="B26" s="44">
        <f>'Control Entry'!N30</f>
        <v>44387.630555555559</v>
      </c>
      <c r="C26" s="44">
        <f>'Control Entry'!O30</f>
        <v>44388.094444444447</v>
      </c>
      <c r="D26" s="45"/>
      <c r="E26" s="46" t="str">
        <f>IF(ISBLANK('Control Entry'!H30),"",'Control Entry'!H30)</f>
        <v/>
      </c>
      <c r="F26" s="46" t="str">
        <f>IF(ISBLANK('Control Entry'!K30),"",'Control Entry'!K30)</f>
        <v>_______________________</v>
      </c>
      <c r="G26" s="11"/>
      <c r="H26" s="35" t="s">
        <v>29</v>
      </c>
    </row>
    <row r="27" spans="1:22" ht="36" customHeight="1" x14ac:dyDescent="0.2">
      <c r="A27" s="39"/>
      <c r="B27" s="40">
        <f>'Control Entry'!N31</f>
        <v>44387.70208333333</v>
      </c>
      <c r="C27" s="40">
        <f>'Control Entry'!O31</f>
        <v>44388.246527777781</v>
      </c>
      <c r="D27" s="47"/>
      <c r="E27" s="42" t="str">
        <f>IF(ISBLANK('Control Entry'!F31),"",'Control Entry'!F31)</f>
        <v>Information Control</v>
      </c>
      <c r="F27" s="42" t="str">
        <f>IF(ISBLANK('Control Entry'!I31),"",'Control Entry'!I31)</f>
        <v>Park sign</v>
      </c>
      <c r="G27" s="10"/>
      <c r="H27" s="35" t="s">
        <v>29</v>
      </c>
      <c r="K27" s="127" t="s">
        <v>57</v>
      </c>
      <c r="L27" s="128"/>
      <c r="M27" s="62" t="s">
        <v>58</v>
      </c>
      <c r="N27" s="128" t="s">
        <v>50</v>
      </c>
      <c r="O27" s="128"/>
      <c r="P27" s="128" t="s">
        <v>51</v>
      </c>
      <c r="Q27" s="128"/>
      <c r="R27" s="63" t="s">
        <v>52</v>
      </c>
      <c r="S27" s="129" t="s">
        <v>53</v>
      </c>
      <c r="T27" s="129"/>
      <c r="U27" s="129" t="s">
        <v>54</v>
      </c>
      <c r="V27" s="129"/>
    </row>
    <row r="28" spans="1:22" ht="36" customHeight="1" x14ac:dyDescent="0.2">
      <c r="A28" s="48">
        <f>IF(ISBLANK('Control Entry'!D31),"",'Control Entry'!D31)</f>
        <v>358.7</v>
      </c>
      <c r="B28" s="49">
        <f>'Control Entry'!N31</f>
        <v>44387.70208333333</v>
      </c>
      <c r="C28" s="49">
        <f>'Control Entry'!O31</f>
        <v>44388.246527777781</v>
      </c>
      <c r="D28" s="50" t="str">
        <f>IF(ISBLANK('Control Entry'!E31),"",'Control Entry'!E31)</f>
        <v>YELLOW POINT</v>
      </c>
      <c r="E28" s="42" t="str">
        <f>IF(ISBLANK('Control Entry'!G31),"",'Control Entry'!G31)</f>
        <v>Robert's Memorial Park</v>
      </c>
      <c r="F28" s="42" t="str">
        <f>IF(ISBLANK('Control Entry'!J31),"",'Control Entry'!J31)</f>
        <v>Fine for not cleaning after pets?</v>
      </c>
      <c r="G28" s="10"/>
      <c r="H28" s="35" t="s">
        <v>29</v>
      </c>
    </row>
    <row r="29" spans="1:22" ht="36" customHeight="1" thickBot="1" x14ac:dyDescent="0.25">
      <c r="A29" s="43"/>
      <c r="B29" s="44">
        <f>'Control Entry'!N31</f>
        <v>44387.70208333333</v>
      </c>
      <c r="C29" s="44">
        <f>'Control Entry'!O31</f>
        <v>44388.246527777781</v>
      </c>
      <c r="D29" s="45"/>
      <c r="E29" s="46" t="str">
        <f>IF(ISBLANK('Control Entry'!H31),"",'Control Entry'!H31)</f>
        <v/>
      </c>
      <c r="F29" s="46" t="str">
        <f>IF(ISBLANK('Control Entry'!K31),"",'Control Entry'!K31)</f>
        <v>$______________________</v>
      </c>
      <c r="G29" s="11"/>
      <c r="H29" s="35" t="s">
        <v>29</v>
      </c>
      <c r="M29" s="137" t="s">
        <v>42</v>
      </c>
      <c r="N29" s="137"/>
      <c r="O29" s="137"/>
      <c r="P29" s="137"/>
      <c r="Q29" s="137"/>
      <c r="R29" s="137"/>
      <c r="S29" s="137"/>
      <c r="T29" s="137"/>
      <c r="U29" s="68"/>
    </row>
    <row r="30" spans="1:22" ht="36" customHeight="1" x14ac:dyDescent="0.2">
      <c r="A30" s="39"/>
      <c r="B30" s="40">
        <f>'Control Entry'!N32</f>
        <v>44387.756944444445</v>
      </c>
      <c r="C30" s="40">
        <f>'Control Entry'!O32</f>
        <v>44388.375</v>
      </c>
      <c r="D30" s="47"/>
      <c r="E30" s="42" t="str">
        <f>IF(ISBLANK('Control Entry'!F32),"",'Control Entry'!F32)</f>
        <v>Information Control</v>
      </c>
      <c r="F30" s="42" t="str">
        <f>IF(ISBLANK('Control Entry'!I32),"",'Control Entry'!I32)</f>
        <v>Self sign</v>
      </c>
      <c r="G30" s="10"/>
      <c r="H30" s="35" t="s">
        <v>29</v>
      </c>
      <c r="M30" s="19"/>
      <c r="N30" s="27"/>
      <c r="O30" s="27"/>
      <c r="P30" s="28"/>
      <c r="Q30" s="27"/>
      <c r="R30" s="27"/>
      <c r="S30" s="27"/>
      <c r="T30" s="28"/>
      <c r="U30" s="29"/>
    </row>
    <row r="31" spans="1:22" ht="36" customHeight="1" x14ac:dyDescent="0.2">
      <c r="A31" s="48">
        <f>IF(ISBLANK('Control Entry'!D32),"",'Control Entry'!D32)</f>
        <v>401.2</v>
      </c>
      <c r="B31" s="49">
        <f>'Control Entry'!N32</f>
        <v>44387.756944444445</v>
      </c>
      <c r="C31" s="49">
        <f>'Control Entry'!O32</f>
        <v>44388.375</v>
      </c>
      <c r="D31" s="50" t="str">
        <f>IF(ISBLANK('Control Entry'!E32),"",'Control Entry'!E32)</f>
        <v>LANTZVILLE</v>
      </c>
      <c r="E31" s="42" t="str">
        <f>IF(ISBLANK('Control Entry'!G32),"",'Control Entry'!G32)</f>
        <v>Lantzville Gravel Mart</v>
      </c>
      <c r="F31" s="42" t="str">
        <f>IF(ISBLANK('Control Entry'!J32),"",'Control Entry'!J32)</f>
        <v/>
      </c>
      <c r="G31" s="10"/>
      <c r="H31" s="35" t="s">
        <v>29</v>
      </c>
      <c r="M31" s="20"/>
      <c r="N31" s="29"/>
      <c r="O31" s="29"/>
      <c r="P31" s="30"/>
      <c r="Q31" s="29"/>
      <c r="R31" s="29"/>
      <c r="S31" s="29"/>
      <c r="T31" s="30"/>
      <c r="U31" s="29"/>
    </row>
    <row r="32" spans="1:22" ht="36" customHeight="1" thickBot="1" x14ac:dyDescent="0.25">
      <c r="A32" s="43"/>
      <c r="B32" s="44">
        <f>'Control Entry'!N32</f>
        <v>44387.756944444445</v>
      </c>
      <c r="C32" s="44">
        <f>'Control Entry'!O32</f>
        <v>44388.375</v>
      </c>
      <c r="D32" s="45"/>
      <c r="E32" s="46" t="str">
        <f>IF(ISBLANK('Control Entry'!H32),"",'Control Entry'!H32)</f>
        <v>Industrial Rd.</v>
      </c>
      <c r="F32" s="46" t="str">
        <f>IF(ISBLANK('Control Entry'!K32),"",'Control Entry'!K32)</f>
        <v/>
      </c>
      <c r="G32" s="11"/>
      <c r="H32" s="35" t="s">
        <v>29</v>
      </c>
      <c r="M32" s="66"/>
      <c r="N32" s="26"/>
      <c r="O32" s="26"/>
      <c r="P32" s="31"/>
      <c r="Q32" s="26"/>
      <c r="R32" s="26"/>
      <c r="S32" s="26"/>
      <c r="T32" s="31"/>
      <c r="U32" s="29"/>
    </row>
    <row r="33" spans="1:22" ht="36" customHeight="1" x14ac:dyDescent="0.2">
      <c r="A33" s="126" t="s">
        <v>43</v>
      </c>
      <c r="B33" s="126"/>
      <c r="C33" s="126"/>
      <c r="D33" s="126"/>
      <c r="E33" s="126"/>
      <c r="F33" s="126"/>
      <c r="G33" s="126"/>
      <c r="H33" s="51"/>
      <c r="I33" s="51"/>
      <c r="N33" s="138"/>
      <c r="O33" s="138"/>
      <c r="P33" s="138"/>
      <c r="Q33" s="138"/>
      <c r="R33" s="138"/>
      <c r="S33" s="138"/>
      <c r="T33" s="138"/>
      <c r="U33" s="138"/>
      <c r="V33" s="71"/>
    </row>
    <row r="34" spans="1:22" ht="36" customHeight="1" x14ac:dyDescent="0.2">
      <c r="A34"/>
      <c r="O34" s="59"/>
      <c r="P34" s="59"/>
      <c r="Q34" s="59"/>
      <c r="R34" s="58"/>
    </row>
    <row r="35" spans="1:22" ht="36" customHeight="1" x14ac:dyDescent="0.2">
      <c r="A35"/>
      <c r="N35" s="137"/>
      <c r="O35" s="137"/>
      <c r="P35" s="137"/>
      <c r="Q35" s="137"/>
      <c r="R35" s="137"/>
      <c r="S35" s="137"/>
      <c r="T35" s="137"/>
      <c r="U35" s="137"/>
    </row>
    <row r="36" spans="1:22" ht="36" customHeight="1" x14ac:dyDescent="0.15">
      <c r="A36"/>
      <c r="N36" s="36"/>
      <c r="O36" s="29"/>
      <c r="P36" s="29"/>
      <c r="Q36" s="29"/>
      <c r="R36" s="29"/>
      <c r="S36" s="29"/>
      <c r="T36" s="29"/>
      <c r="U36" s="29"/>
    </row>
    <row r="37" spans="1:22" ht="36" customHeight="1" x14ac:dyDescent="0.15">
      <c r="A37"/>
      <c r="N37" s="36"/>
      <c r="O37" s="29"/>
      <c r="P37" s="29"/>
      <c r="Q37" s="29"/>
      <c r="R37" s="29"/>
      <c r="S37" s="29"/>
      <c r="T37" s="29"/>
      <c r="U37" s="29"/>
    </row>
    <row r="38" spans="1:22" ht="36" customHeight="1" x14ac:dyDescent="0.2">
      <c r="A38"/>
      <c r="N38" s="69"/>
      <c r="O38" s="29"/>
      <c r="P38" s="29"/>
      <c r="Q38" s="29"/>
      <c r="R38" s="29"/>
      <c r="S38" s="29"/>
      <c r="T38" s="29"/>
      <c r="U38" s="29"/>
    </row>
    <row r="39" spans="1:22" ht="36" customHeight="1" x14ac:dyDescent="0.15">
      <c r="A39"/>
    </row>
    <row r="40" spans="1:22" ht="36" customHeight="1" x14ac:dyDescent="0.15">
      <c r="A40"/>
    </row>
  </sheetData>
  <mergeCells count="24">
    <mergeCell ref="A33:G33"/>
    <mergeCell ref="N33:U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L6:U6"/>
    <mergeCell ref="T8:U8"/>
    <mergeCell ref="A1:G1"/>
    <mergeCell ref="K2:U2"/>
    <mergeCell ref="N3:S3"/>
    <mergeCell ref="M4:T4"/>
    <mergeCell ref="N5:O5"/>
    <mergeCell ref="R5:U5"/>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Control Card Mill Bay</vt:lpstr>
      <vt:lpstr>Control Card Lantzville</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Lantzville'!Print_Titles</vt:lpstr>
      <vt:lpstr>'Control Card Mill Bay'!Print_Titles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2021-06-12T06:01:46Z</cp:lastPrinted>
  <dcterms:created xsi:type="dcterms:W3CDTF">1997-11-12T04:43:39Z</dcterms:created>
  <dcterms:modified xsi:type="dcterms:W3CDTF">2021-07-04T21:57:00Z</dcterms:modified>
</cp:coreProperties>
</file>