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activeTab="1"/>
  </bookViews>
  <sheets>
    <sheet name="Control Entry" sheetId="1" r:id="rId1"/>
    <sheet name="Control Sheet" sheetId="2" r:id="rId2"/>
  </sheets>
  <definedNames>
    <definedName name="Address_1">#REF!</definedName>
    <definedName name="Address_2">#REF!</definedName>
    <definedName name="Address_3">#REF!</definedName>
    <definedName name="Address_4">#REF!</definedName>
    <definedName name="Area_Code_f">#REF!</definedName>
    <definedName name="Area_Code_h">#REF!</definedName>
    <definedName name="Area_Code_w">#REF!</definedName>
    <definedName name="brevet">'Control Entry'!$C$1</definedName>
    <definedName name="Brevet_Description">'Control Entry'!$B$3</definedName>
    <definedName name="Brevet_Length">'Control Entry'!$B$1</definedName>
    <definedName name="Brevet_Number">'Control Entry'!$B$4</definedName>
    <definedName name="City">#REF!</definedName>
    <definedName name="Close">'Control Entry'!$J$10:$J$29</definedName>
    <definedName name="Close_time">'Control Entry'!$L$10:$L$29</definedName>
    <definedName name="Control_1">'Control Entry'!$D$10:$L$10</definedName>
    <definedName name="Control_10">'Control Entry'!$D$19:$L$19</definedName>
    <definedName name="Control_11">'Control Entry'!$D$20:$L$20</definedName>
    <definedName name="Control_12">'Control Entry'!$D$21:$L$21</definedName>
    <definedName name="Control_13">'Control Entry'!$D$22:$L$22</definedName>
    <definedName name="Control_14">'Control Entry'!$D$23:$L$23</definedName>
    <definedName name="Control_15">'Control Entry'!$D$24:$L$24</definedName>
    <definedName name="Control_16">'Control Entry'!$D$25:$L$25</definedName>
    <definedName name="Control_17">'Control Entry'!$D$26:$L$26</definedName>
    <definedName name="Control_18">'Control Entry'!$D$27:$L$27</definedName>
    <definedName name="Control_19">'Control Entry'!$D$28:$L$28</definedName>
    <definedName name="Control_2">'Control Entry'!$D$11:$L$11</definedName>
    <definedName name="Control_20">'Control Entry'!$D$29:$L$29</definedName>
    <definedName name="Control_3">'Control Entry'!$D$12:$L$12</definedName>
    <definedName name="Control_4">'Control Entry'!$D$13:$L$13</definedName>
    <definedName name="Control_5">'Control Entry'!$D$14:$L$14</definedName>
    <definedName name="Control_6">'Control Entry'!$D$15:$L$15</definedName>
    <definedName name="Control_7">'Control Entry'!$D$16:$L$16</definedName>
    <definedName name="Control_8">'Control Entry'!$D$17:$L$17</definedName>
    <definedName name="Control_9">'Control Entry'!$D$18:$L$18</definedName>
    <definedName name="Country">#REF!</definedName>
    <definedName name="Distance">'Control Entry'!$D$10:$D$29</definedName>
    <definedName name="email">#REF!</definedName>
    <definedName name="Establishment_1">'Control Entry'!$F$10:$F$29</definedName>
    <definedName name="Establishment_2">'Control Entry'!$G$10:$G$29</definedName>
    <definedName name="Establishment_3">'Control Entry'!$H$10:$H$29</definedName>
    <definedName name="First_Name">#REF!</definedName>
    <definedName name="HTML1_1">"'[vi0100b.xls]VI0100B 970310'!$A$3:$D$22"</definedName>
    <definedName name="HTML1_10">"randos@island.net"</definedName>
    <definedName name="HTML1_11">1</definedName>
    <definedName name="HTML1_12">"C:\My Documents\Web Page\vi0100b.htm"</definedName>
    <definedName name="HTML1_2">1</definedName>
    <definedName name="HTML1_3">"100 km Populaire"</definedName>
    <definedName name="HTML1_4">"VI0100B 970310"</definedName>
    <definedName name="HTML1_5">"Nanaimo--Lantzville--Nanaimo--Yellow Point--Nanaimo"</definedName>
    <definedName name="HTML1_6">1</definedName>
    <definedName name="HTML1_7">1</definedName>
    <definedName name="HTML1_8">"26/10/97"</definedName>
    <definedName name="HTML1_9">"Stephen Hinde"</definedName>
    <definedName name="HTML2_1">"'[vi0100b.xls]VI0100B 970310'!$A$1:$D$22"</definedName>
    <definedName name="HTML2_10">"randos@island.net"</definedName>
    <definedName name="HTML2_11">1</definedName>
    <definedName name="HTML2_12">"C:\My Documents\Web Page\vi0100b.htm"</definedName>
    <definedName name="HTML2_2">1</definedName>
    <definedName name="HTML2_3">"100 km Populaire"</definedName>
    <definedName name="HTML2_4">"VI0100B 970310"</definedName>
    <definedName name="HTML2_5">"Nanaimo--Lantzville--Nanaimo--Yellow Point--Nanaimo"</definedName>
    <definedName name="HTML2_6">1</definedName>
    <definedName name="HTML2_7">1</definedName>
    <definedName name="HTML2_8">"26/10/97"</definedName>
    <definedName name="HTML2_9">"Stephen Hinde"</definedName>
    <definedName name="HTML3_1">"'[vi0100b.xls]VI0100B 970310'!$A$1:$D$24"</definedName>
    <definedName name="HTML3_10">"randos@island.net"</definedName>
    <definedName name="HTML3_11">1</definedName>
    <definedName name="HTML3_12">"C:\My Documents\excel\vi0100b.htm"</definedName>
    <definedName name="HTML3_2">1</definedName>
    <definedName name="HTML3_3">"Vancouver Island Populaire"</definedName>
    <definedName name="HTML3_4">"VI0100B 970310"</definedName>
    <definedName name="HTML3_5">"Nanaimo--Lantzville--Yellow Point--Nanaimo"</definedName>
    <definedName name="HTML3_6">1</definedName>
    <definedName name="HTML3_7">1</definedName>
    <definedName name="HTML3_8">"26/10/97"</definedName>
    <definedName name="HTML3_9">"Stephen Hinde"</definedName>
    <definedName name="HTML4_1">"'[VI0100B.xls]VI0100B 971026'!$A$1:$I$47"</definedName>
    <definedName name="HTML4_10">""</definedName>
    <definedName name="HTML4_11">1</definedName>
    <definedName name="HTML4_12">"C:\My Documents\Web Page\VI0100B.htm"</definedName>
    <definedName name="HTML4_2">1</definedName>
    <definedName name="HTML4_3">"VI0100B"</definedName>
    <definedName name="HTML4_4">"VI0100B 971026"</definedName>
    <definedName name="HTML4_5">""</definedName>
    <definedName name="HTML4_6">-4146</definedName>
    <definedName name="HTML4_7">-4146</definedName>
    <definedName name="HTML4_8">"26/10/97"</definedName>
    <definedName name="HTML4_9">"Stephen Hinde"</definedName>
    <definedName name="HTML5_1">"'[VI0100B.xls]VI0100B 971026'!$A$1:$I$23"</definedName>
    <definedName name="HTML5_10">""</definedName>
    <definedName name="HTML5_11">1</definedName>
    <definedName name="HTML5_12">"C:\My Documents\Web Page\VI0100B top.htm"</definedName>
    <definedName name="HTML5_2">1</definedName>
    <definedName name="HTML5_3">"VI0100B"</definedName>
    <definedName name="HTML5_4">"VI0100B 971026"</definedName>
    <definedName name="HTML5_5">""</definedName>
    <definedName name="HTML5_6">-4146</definedName>
    <definedName name="HTML5_7">-4146</definedName>
    <definedName name="HTML5_8">"97-10-26"</definedName>
    <definedName name="HTML5_9">"Stephen Hinde"</definedName>
    <definedName name="HTML6_1">"'[VI0100B.xls]VI0100B 971026'!$A$25:$I$47"</definedName>
    <definedName name="HTML6_10">""</definedName>
    <definedName name="HTML6_11">1</definedName>
    <definedName name="HTML6_12">"C:\My Documents\Web Page\VI0100B bottom"</definedName>
    <definedName name="HTML6_2">1</definedName>
    <definedName name="HTML6_3">"VI0100B"</definedName>
    <definedName name="HTML6_4">"VI0100B 971026"</definedName>
    <definedName name="HTML6_5">""</definedName>
    <definedName name="HTML6_6">-4146</definedName>
    <definedName name="HTML6_7">-4146</definedName>
    <definedName name="HTML6_8">"97-10-26"</definedName>
    <definedName name="HTML6_9">"Stephen Hinde"</definedName>
    <definedName name="HTML7_1">"'[VI0200A  Tour of Cowichan Valley.xls]Web sheet'!$A$1:$E$92"</definedName>
    <definedName name="HTML7_10">"randos@island.net"</definedName>
    <definedName name="HTML7_11">1</definedName>
    <definedName name="HTML7_12">"C:\My Documents\Web Page\200km_route_sheet.htm"</definedName>
    <definedName name="HTML7_2">1</definedName>
    <definedName name="HTML7_3">"VI0200A  Tour of Cowichan Valley"</definedName>
    <definedName name="HTML7_4">"Vancouver Island 200 km Brevet"</definedName>
    <definedName name="HTML7_5">""</definedName>
    <definedName name="HTML7_6">1</definedName>
    <definedName name="HTML7_7">1</definedName>
    <definedName name="HTML7_8">"97-11-23"</definedName>
    <definedName name="HTML7_9">"Stephen Hinde"</definedName>
    <definedName name="HTMLCount">6</definedName>
    <definedName name="Initial">#REF!</definedName>
    <definedName name="Locale">'Control Entry'!$E$10:$E$29</definedName>
    <definedName name="Max_time">'Control Entry'!$B$2</definedName>
    <definedName name="Open">'Control Entry'!$I$10:$I$29</definedName>
    <definedName name="Open_time">'Control Entry'!$K$10:$K$29</definedName>
    <definedName name="Postal_Code">#REF!</definedName>
    <definedName name="_xlnm.Print_Titles" localSheetId="1">'Control Sheet'!$1:$2</definedName>
    <definedName name="Province_State">#REF!</definedName>
    <definedName name="Start_date">'Control Entry'!$B$5</definedName>
    <definedName name="Start_time">'Control Entry'!$B$6</definedName>
    <definedName name="surname">#REF!</definedName>
    <definedName name="Telephone_f">#REF!</definedName>
    <definedName name="Telephone_h">#REF!</definedName>
    <definedName name="Telephone_w">#REF!</definedName>
  </definedNames>
  <calcPr calcId="125725" fullCalcOnLoad="1"/>
</workbook>
</file>

<file path=xl/calcChain.xml><?xml version="1.0" encoding="utf-8"?>
<calcChain xmlns="http://schemas.openxmlformats.org/spreadsheetml/2006/main">
  <c r="E62" i="2"/>
  <c r="C62"/>
  <c r="B62"/>
  <c r="N61"/>
  <c r="E61"/>
  <c r="D61"/>
  <c r="C61"/>
  <c r="B61"/>
  <c r="A61"/>
  <c r="E60"/>
  <c r="C60"/>
  <c r="B60"/>
  <c r="E59"/>
  <c r="C59"/>
  <c r="B59"/>
  <c r="E58"/>
  <c r="D58"/>
  <c r="C58"/>
  <c r="B58"/>
  <c r="A58"/>
  <c r="E57"/>
  <c r="C57"/>
  <c r="B57"/>
  <c r="E56"/>
  <c r="C56"/>
  <c r="B56"/>
  <c r="E55"/>
  <c r="D55"/>
  <c r="C55"/>
  <c r="B55"/>
  <c r="A55"/>
  <c r="E54"/>
  <c r="C54"/>
  <c r="B54"/>
  <c r="K53"/>
  <c r="E53"/>
  <c r="C53"/>
  <c r="B53"/>
  <c r="E52"/>
  <c r="D52"/>
  <c r="C52"/>
  <c r="B52"/>
  <c r="A52"/>
  <c r="E51"/>
  <c r="C51"/>
  <c r="B51"/>
  <c r="E49"/>
  <c r="D49"/>
  <c r="B49"/>
  <c r="A49"/>
  <c r="E48"/>
  <c r="C48"/>
  <c r="B48"/>
  <c r="E47"/>
  <c r="C47"/>
  <c r="B47"/>
  <c r="E46"/>
  <c r="D46"/>
  <c r="C46"/>
  <c r="B46"/>
  <c r="A46"/>
  <c r="E45"/>
  <c r="C45"/>
  <c r="B45"/>
  <c r="E44"/>
  <c r="C44"/>
  <c r="B44"/>
  <c r="E43"/>
  <c r="D43"/>
  <c r="C43"/>
  <c r="B43"/>
  <c r="A43"/>
  <c r="E42"/>
  <c r="C42"/>
  <c r="B42"/>
  <c r="E41"/>
  <c r="C41"/>
  <c r="B41"/>
  <c r="J40"/>
  <c r="E40"/>
  <c r="D40"/>
  <c r="C40"/>
  <c r="B40"/>
  <c r="A40"/>
  <c r="E39"/>
  <c r="C39"/>
  <c r="B39"/>
  <c r="E38"/>
  <c r="C38"/>
  <c r="B38"/>
  <c r="E37"/>
  <c r="D37"/>
  <c r="C37"/>
  <c r="B37"/>
  <c r="A37"/>
  <c r="E36"/>
  <c r="C36"/>
  <c r="B36"/>
  <c r="E35"/>
  <c r="C35"/>
  <c r="B35"/>
  <c r="E34"/>
  <c r="D34"/>
  <c r="C34"/>
  <c r="B34"/>
  <c r="A34"/>
  <c r="E33"/>
  <c r="C33"/>
  <c r="B33"/>
  <c r="C1" i="1"/>
  <c r="J12" s="1"/>
  <c r="I10"/>
  <c r="J10"/>
  <c r="L10" s="1"/>
  <c r="K10"/>
  <c r="K11" s="1"/>
  <c r="I11"/>
  <c r="J11"/>
  <c r="I12"/>
  <c r="I13"/>
  <c r="J13"/>
  <c r="L13" s="1"/>
  <c r="I14"/>
  <c r="K14" s="1"/>
  <c r="I15"/>
  <c r="J15"/>
  <c r="K15"/>
  <c r="B19" i="2" s="1"/>
  <c r="I16" i="1"/>
  <c r="J16"/>
  <c r="K16"/>
  <c r="B22" i="2" s="1"/>
  <c r="L16" i="1"/>
  <c r="C22" i="2" s="1"/>
  <c r="I17" i="1"/>
  <c r="J17"/>
  <c r="K17"/>
  <c r="B24" i="2" s="1"/>
  <c r="L17" i="1"/>
  <c r="C26" i="2" s="1"/>
  <c r="I18" i="1"/>
  <c r="J18"/>
  <c r="K18"/>
  <c r="B28" i="2" s="1"/>
  <c r="L18" i="1"/>
  <c r="C28" i="2" s="1"/>
  <c r="I19" i="1"/>
  <c r="J19"/>
  <c r="K19"/>
  <c r="B30" i="2" s="1"/>
  <c r="L19" i="1"/>
  <c r="C30" i="2" s="1"/>
  <c r="I20" i="1"/>
  <c r="J20"/>
  <c r="K20"/>
  <c r="L20"/>
  <c r="I21"/>
  <c r="J21"/>
  <c r="K21"/>
  <c r="L21"/>
  <c r="I22"/>
  <c r="J22"/>
  <c r="K22"/>
  <c r="L22"/>
  <c r="I23"/>
  <c r="J23"/>
  <c r="K23"/>
  <c r="L23"/>
  <c r="I24"/>
  <c r="J24"/>
  <c r="K24"/>
  <c r="L24"/>
  <c r="I25"/>
  <c r="J25"/>
  <c r="K25"/>
  <c r="L25"/>
  <c r="I26"/>
  <c r="J26"/>
  <c r="K26"/>
  <c r="L26"/>
  <c r="I27"/>
  <c r="J27"/>
  <c r="K27"/>
  <c r="L27"/>
  <c r="I28"/>
  <c r="J28"/>
  <c r="K28"/>
  <c r="L28"/>
  <c r="I29"/>
  <c r="J29"/>
  <c r="K29"/>
  <c r="L29"/>
  <c r="E3" i="2"/>
  <c r="A4"/>
  <c r="D4"/>
  <c r="E4"/>
  <c r="E5"/>
  <c r="E6"/>
  <c r="A7"/>
  <c r="D7"/>
  <c r="E7"/>
  <c r="E8"/>
  <c r="E9"/>
  <c r="A10"/>
  <c r="D10"/>
  <c r="E10"/>
  <c r="J10"/>
  <c r="E11"/>
  <c r="E12"/>
  <c r="A13"/>
  <c r="D13"/>
  <c r="E13"/>
  <c r="E14"/>
  <c r="E15"/>
  <c r="A16"/>
  <c r="D16"/>
  <c r="E16"/>
  <c r="E17"/>
  <c r="E18"/>
  <c r="A19"/>
  <c r="D19"/>
  <c r="E19"/>
  <c r="E21"/>
  <c r="A22"/>
  <c r="D22"/>
  <c r="E22"/>
  <c r="B23"/>
  <c r="C23"/>
  <c r="E23"/>
  <c r="K23"/>
  <c r="E24"/>
  <c r="A25"/>
  <c r="B25"/>
  <c r="D25"/>
  <c r="E25"/>
  <c r="E26"/>
  <c r="E27"/>
  <c r="A28"/>
  <c r="D28"/>
  <c r="E28"/>
  <c r="E29"/>
  <c r="E30"/>
  <c r="A31"/>
  <c r="B31"/>
  <c r="C31"/>
  <c r="D31"/>
  <c r="E31"/>
  <c r="N31"/>
  <c r="E32"/>
  <c r="L15" i="1" l="1"/>
  <c r="C18" i="2" s="1"/>
  <c r="C32"/>
  <c r="L12" i="1"/>
  <c r="C9" i="2" s="1"/>
  <c r="C29"/>
  <c r="C21"/>
  <c r="B4"/>
  <c r="B5"/>
  <c r="B3"/>
  <c r="B26"/>
  <c r="B27"/>
  <c r="C27"/>
  <c r="C25"/>
  <c r="K12" i="1"/>
  <c r="B11" i="2" s="1"/>
  <c r="B21"/>
  <c r="K13" i="1"/>
  <c r="B14" i="2" s="1"/>
  <c r="B18"/>
  <c r="L11" i="1"/>
  <c r="C6" i="2" s="1"/>
  <c r="B16"/>
  <c r="B17"/>
  <c r="B15"/>
  <c r="C3"/>
  <c r="C4"/>
  <c r="C5"/>
  <c r="C12"/>
  <c r="C14"/>
  <c r="C13"/>
  <c r="B6"/>
  <c r="B8"/>
  <c r="B7"/>
  <c r="B2" i="1"/>
  <c r="J14" s="1"/>
  <c r="L14" s="1"/>
  <c r="C11" i="2"/>
  <c r="C10"/>
  <c r="B32"/>
  <c r="B29"/>
  <c r="C24"/>
  <c r="B9" l="1"/>
  <c r="B12"/>
  <c r="B13"/>
  <c r="C7"/>
  <c r="B10"/>
  <c r="C8"/>
  <c r="C17"/>
  <c r="C16"/>
  <c r="C15"/>
</calcChain>
</file>

<file path=xl/comments1.xml><?xml version="1.0" encoding="utf-8"?>
<comments xmlns="http://schemas.openxmlformats.org/spreadsheetml/2006/main">
  <authors>
    <author/>
  </authors>
  <commentList>
    <comment ref="B2" authorId="0">
      <text>
        <r>
          <rPr>
            <sz val="8"/>
            <color indexed="8"/>
            <rFont val="Tahoma"/>
            <family val="2"/>
          </rPr>
          <t>Partial result of closing time calculation to avoid limitation of only 7 nested functions</t>
        </r>
      </text>
    </comment>
  </commentList>
</comments>
</file>

<file path=xl/sharedStrings.xml><?xml version="1.0" encoding="utf-8"?>
<sst xmlns="http://schemas.openxmlformats.org/spreadsheetml/2006/main" count="111" uniqueCount="86">
  <si>
    <t>Brevet Length:</t>
  </si>
  <si>
    <t>← insert brevet length here eg: 600</t>
  </si>
  <si>
    <t>Maximum Time:</t>
  </si>
  <si>
    <t>↓ type in brevet name/description in the 1st cell to the right of "Brevet Description" eg: Cache Creek 600km</t>
  </si>
  <si>
    <t>Brevet Description:</t>
  </si>
  <si>
    <t>Brevet Number:</t>
  </si>
  <si>
    <t>← insert brevet number here eg: LM600-1</t>
  </si>
  <si>
    <t>Start Date:</t>
  </si>
  <si>
    <t>← insert date here as year/month/day eg: 12/07/22, it will display as 22-Jul-12  *note -  if you don't enter the date in the correct format, the opening &amp; closing time formula will not calculate.</t>
  </si>
  <si>
    <t>← insert start time here eg: 6:00</t>
  </si>
  <si>
    <t>Control</t>
  </si>
  <si>
    <t>Distance</t>
  </si>
  <si>
    <t>Locale</t>
  </si>
  <si>
    <t>Establishment (top line if needed)</t>
  </si>
  <si>
    <t>Establishment (middle line)</t>
  </si>
  <si>
    <t>Establishment (bottom line if needed)</t>
  </si>
  <si>
    <t>Open</t>
  </si>
  <si>
    <t>Close</t>
  </si>
  <si>
    <t>Open time</t>
  </si>
  <si>
    <t>Close time</t>
  </si>
  <si>
    <t>Control 1</t>
  </si>
  <si>
    <t>Control 2</t>
  </si>
  <si>
    <t>Pitt Lake</t>
  </si>
  <si>
    <t>Control 3</t>
  </si>
  <si>
    <t>Control 4</t>
  </si>
  <si>
    <t>Control 5</t>
  </si>
  <si>
    <t>Control 6</t>
  </si>
  <si>
    <t>Control 7</t>
  </si>
  <si>
    <t>Control 8</t>
  </si>
  <si>
    <t>Control 9</t>
  </si>
  <si>
    <t>Control 10</t>
  </si>
  <si>
    <t>Control 11</t>
  </si>
  <si>
    <t>Control 12</t>
  </si>
  <si>
    <t>Control 13</t>
  </si>
  <si>
    <t>Control 14</t>
  </si>
  <si>
    <t>Control 15</t>
  </si>
  <si>
    <t>Control 16</t>
  </si>
  <si>
    <t>Control 17</t>
  </si>
  <si>
    <t>Control 18</t>
  </si>
  <si>
    <t>Control 19</t>
  </si>
  <si>
    <t>Control 20</t>
  </si>
  <si>
    <t xml:space="preserve">↑insert 0 in the top line of the distance column, insert start location under Locale", insert name of Control location under "Establishment (middle line)" </t>
  </si>
  <si>
    <t>use Establishment top line and bottom line if needed. Example:</t>
  </si>
  <si>
    <t>Boundary &amp; 4th</t>
  </si>
  <si>
    <t>McDonalds' Parking Lot</t>
  </si>
  <si>
    <t>↑insert distance to 1st control in the second line of the distance column, insert 1st control location under Locale", insert name of Control location under "Establishment (middle line)" Example:</t>
  </si>
  <si>
    <t>Mission</t>
  </si>
  <si>
    <t>Chevron</t>
  </si>
  <si>
    <t>Mini Mart</t>
  </si>
  <si>
    <t xml:space="preserve">↑insert distance to 2nd control in the third line of the distance column, insert 2nd control location under Locale", insert name of Control location under "Establishment (middle line)" </t>
  </si>
  <si>
    <t>continue as needed for all controls including the Finish Control. The data that you enter on this sheet will automatically populate the Control Card master for your event</t>
  </si>
  <si>
    <t>We thank you for verifying the passage of the Randonneur</t>
  </si>
  <si>
    <t>DIST (km)</t>
  </si>
  <si>
    <t>Establishment</t>
  </si>
  <si>
    <t>Signature</t>
  </si>
  <si>
    <t>Time of Passage</t>
  </si>
  <si>
    <t>Control Card</t>
  </si>
  <si>
    <t>Name</t>
  </si>
  <si>
    <t>Address</t>
  </si>
  <si>
    <t>City</t>
  </si>
  <si>
    <t>Province/State</t>
  </si>
  <si>
    <t>Country</t>
  </si>
  <si>
    <t>Postal Code</t>
  </si>
  <si>
    <t>Telephone</t>
  </si>
  <si>
    <t>email</t>
  </si>
  <si>
    <t>Founding member of LES RANDONNEURS MONDIAUX (1983)</t>
  </si>
  <si>
    <t>Each Randonneur must carry a Control Card, have it signed at the control between the opening and closing times, and return it to the organizer.</t>
  </si>
  <si>
    <t>Date</t>
  </si>
  <si>
    <t>Start time</t>
  </si>
  <si>
    <t>Finish time</t>
  </si>
  <si>
    <t>Elapsed time</t>
  </si>
  <si>
    <t>Rider's signature at completion</t>
  </si>
  <si>
    <t>Randonneur Committee Authorization</t>
  </si>
  <si>
    <t>Brevet No.</t>
  </si>
  <si>
    <t>\</t>
  </si>
  <si>
    <t>Pitt Ferry Fort Permanent #150</t>
  </si>
  <si>
    <t>150</t>
  </si>
  <si>
    <t>Coquitlam</t>
  </si>
  <si>
    <t>115-3010</t>
  </si>
  <si>
    <t>Riverbend Dr</t>
  </si>
  <si>
    <t>Info control</t>
  </si>
  <si>
    <t>Ferry Terminal</t>
  </si>
  <si>
    <t>Arrivals</t>
  </si>
  <si>
    <t>Tim Hortons</t>
  </si>
  <si>
    <t>Fort Langley</t>
  </si>
  <si>
    <t>Food Store</t>
  </si>
</sst>
</file>

<file path=xl/styles.xml><?xml version="1.0" encoding="utf-8"?>
<styleSheet xmlns="http://schemas.openxmlformats.org/spreadsheetml/2006/main">
  <numFmts count="5">
    <numFmt numFmtId="164" formatCode="dd/mmm/yy\ hh:mm\ AM/PM"/>
    <numFmt numFmtId="165" formatCode="0.0"/>
    <numFmt numFmtId="166" formatCode="dddd"/>
    <numFmt numFmtId="167" formatCode="d/mmm/yy"/>
    <numFmt numFmtId="168" formatCode="mmmm\ d&quot;, &quot;yyyy"/>
  </numFmts>
  <fonts count="12">
    <font>
      <sz val="10"/>
      <name val="Arial"/>
      <family val="2"/>
    </font>
    <font>
      <sz val="10"/>
      <color indexed="10"/>
      <name val="Arial"/>
      <family val="2"/>
    </font>
    <font>
      <sz val="8"/>
      <color indexed="8"/>
      <name val="Tahoma"/>
      <family val="2"/>
    </font>
    <font>
      <sz val="9"/>
      <name val="Arial"/>
      <family val="2"/>
    </font>
    <font>
      <i/>
      <sz val="16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20"/>
      <name val="Arial"/>
      <family val="2"/>
    </font>
    <font>
      <sz val="36"/>
      <name val="Arial"/>
      <family val="2"/>
    </font>
    <font>
      <i/>
      <sz val="14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2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right"/>
    </xf>
    <xf numFmtId="0" fontId="0" fillId="0" borderId="0" xfId="0" applyProtection="1">
      <protection hidden="1"/>
    </xf>
    <xf numFmtId="0" fontId="0" fillId="2" borderId="1" xfId="0" applyFont="1" applyFill="1" applyBorder="1" applyAlignment="1">
      <alignment horizontal="right"/>
    </xf>
    <xf numFmtId="0" fontId="0" fillId="0" borderId="2" xfId="0" applyBorder="1" applyProtection="1">
      <protection locked="0"/>
    </xf>
    <xf numFmtId="0" fontId="0" fillId="0" borderId="0" xfId="0" applyNumberFormat="1"/>
    <xf numFmtId="0" fontId="1" fillId="0" borderId="0" xfId="0" applyFont="1"/>
    <xf numFmtId="0" fontId="0" fillId="2" borderId="3" xfId="0" applyFont="1" applyFill="1" applyBorder="1" applyAlignment="1">
      <alignment horizontal="right"/>
    </xf>
    <xf numFmtId="0" fontId="0" fillId="2" borderId="4" xfId="0" applyFill="1" applyBorder="1"/>
    <xf numFmtId="0" fontId="0" fillId="0" borderId="6" xfId="0" applyBorder="1" applyAlignment="1" applyProtection="1">
      <alignment horizontal="center"/>
      <protection hidden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15" fontId="0" fillId="0" borderId="4" xfId="0" applyNumberFormat="1" applyBorder="1" applyProtection="1">
      <protection locked="0"/>
    </xf>
    <xf numFmtId="0" fontId="0" fillId="2" borderId="8" xfId="0" applyFill="1" applyBorder="1" applyAlignment="1">
      <alignment horizontal="right"/>
    </xf>
    <xf numFmtId="20" fontId="0" fillId="0" borderId="9" xfId="0" applyNumberFormat="1" applyBorder="1" applyProtection="1">
      <protection locked="0"/>
    </xf>
    <xf numFmtId="0" fontId="0" fillId="2" borderId="0" xfId="0" applyFill="1"/>
    <xf numFmtId="0" fontId="0" fillId="2" borderId="10" xfId="0" applyFont="1" applyFill="1" applyBorder="1"/>
    <xf numFmtId="0" fontId="0" fillId="2" borderId="11" xfId="0" applyFont="1" applyFill="1" applyBorder="1"/>
    <xf numFmtId="0" fontId="3" fillId="2" borderId="11" xfId="0" applyFont="1" applyFill="1" applyBorder="1"/>
    <xf numFmtId="0" fontId="3" fillId="2" borderId="7" xfId="0" applyFont="1" applyFill="1" applyBorder="1"/>
    <xf numFmtId="0" fontId="0" fillId="0" borderId="12" xfId="0" applyBorder="1" applyProtection="1">
      <protection locked="0"/>
    </xf>
    <xf numFmtId="0" fontId="0" fillId="0" borderId="13" xfId="0" applyFont="1" applyBorder="1" applyProtection="1">
      <protection locked="0"/>
    </xf>
    <xf numFmtId="49" fontId="0" fillId="0" borderId="13" xfId="0" applyNumberFormat="1" applyFont="1" applyBorder="1" applyAlignment="1" applyProtection="1">
      <alignment horizontal="center"/>
      <protection locked="0"/>
    </xf>
    <xf numFmtId="49" fontId="0" fillId="0" borderId="4" xfId="0" applyNumberFormat="1" applyFont="1" applyBorder="1" applyAlignment="1" applyProtection="1">
      <alignment horizontal="center"/>
      <protection locked="0"/>
    </xf>
    <xf numFmtId="164" fontId="0" fillId="0" borderId="0" xfId="0" applyNumberFormat="1" applyBorder="1"/>
    <xf numFmtId="164" fontId="0" fillId="0" borderId="0" xfId="0" applyNumberFormat="1" applyBorder="1" applyAlignment="1">
      <alignment horizontal="center" vertical="center" wrapText="1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49" fontId="0" fillId="0" borderId="15" xfId="0" applyNumberFormat="1" applyBorder="1" applyAlignment="1" applyProtection="1">
      <alignment horizontal="center"/>
      <protection locked="0"/>
    </xf>
    <xf numFmtId="49" fontId="0" fillId="0" borderId="9" xfId="0" applyNumberFormat="1" applyBorder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0" fontId="0" fillId="0" borderId="0" xfId="0" applyFont="1"/>
    <xf numFmtId="0" fontId="0" fillId="0" borderId="16" xfId="0" applyBorder="1"/>
    <xf numFmtId="0" fontId="5" fillId="2" borderId="17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/>
    </xf>
    <xf numFmtId="20" fontId="0" fillId="0" borderId="0" xfId="0" applyNumberFormat="1"/>
    <xf numFmtId="165" fontId="6" fillId="0" borderId="16" xfId="0" applyNumberFormat="1" applyFont="1" applyBorder="1" applyAlignment="1">
      <alignment horizontal="center" wrapText="1"/>
    </xf>
    <xf numFmtId="166" fontId="6" fillId="0" borderId="16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0" fillId="0" borderId="0" xfId="0" applyAlignment="1">
      <alignment vertical="top" textRotation="90"/>
    </xf>
    <xf numFmtId="165" fontId="7" fillId="0" borderId="16" xfId="0" applyNumberFormat="1" applyFont="1" applyBorder="1" applyAlignment="1">
      <alignment horizontal="center" vertical="center"/>
    </xf>
    <xf numFmtId="18" fontId="7" fillId="0" borderId="16" xfId="0" applyNumberFormat="1" applyFont="1" applyBorder="1" applyAlignment="1">
      <alignment horizontal="center" vertical="center" wrapText="1"/>
    </xf>
    <xf numFmtId="165" fontId="6" fillId="0" borderId="8" xfId="0" applyNumberFormat="1" applyFont="1" applyBorder="1"/>
    <xf numFmtId="167" fontId="6" fillId="0" borderId="8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5" fillId="0" borderId="9" xfId="0" applyFont="1" applyBorder="1"/>
    <xf numFmtId="0" fontId="5" fillId="0" borderId="8" xfId="0" applyFont="1" applyBorder="1"/>
    <xf numFmtId="0" fontId="6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/>
    <xf numFmtId="0" fontId="11" fillId="0" borderId="19" xfId="0" applyFont="1" applyBorder="1" applyAlignment="1" applyProtection="1"/>
    <xf numFmtId="0" fontId="11" fillId="0" borderId="19" xfId="0" applyFont="1" applyBorder="1" applyAlignment="1" applyProtection="1">
      <alignment horizontal="center"/>
    </xf>
    <xf numFmtId="0" fontId="11" fillId="0" borderId="19" xfId="0" applyFont="1" applyBorder="1" applyAlignment="1" applyProtection="1">
      <alignment horizontal="center"/>
      <protection locked="0"/>
    </xf>
    <xf numFmtId="0" fontId="11" fillId="0" borderId="19" xfId="0" applyFont="1" applyBorder="1" applyProtection="1"/>
    <xf numFmtId="0" fontId="11" fillId="0" borderId="19" xfId="0" applyFont="1" applyBorder="1" applyProtection="1">
      <protection locked="0"/>
    </xf>
    <xf numFmtId="0" fontId="11" fillId="0" borderId="0" xfId="0" applyFont="1" applyProtection="1"/>
    <xf numFmtId="0" fontId="0" fillId="0" borderId="0" xfId="0" applyProtection="1"/>
    <xf numFmtId="0" fontId="0" fillId="0" borderId="19" xfId="0" applyBorder="1" applyProtection="1"/>
    <xf numFmtId="0" fontId="0" fillId="0" borderId="19" xfId="0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0" borderId="21" xfId="0" applyBorder="1" applyProtection="1"/>
    <xf numFmtId="0" fontId="0" fillId="0" borderId="22" xfId="0" applyBorder="1" applyProtection="1"/>
    <xf numFmtId="0" fontId="0" fillId="0" borderId="20" xfId="0" applyBorder="1" applyProtection="1"/>
    <xf numFmtId="0" fontId="0" fillId="0" borderId="23" xfId="0" applyBorder="1"/>
    <xf numFmtId="0" fontId="0" fillId="0" borderId="0" xfId="0" applyBorder="1" applyProtection="1"/>
    <xf numFmtId="0" fontId="0" fillId="0" borderId="18" xfId="0" applyBorder="1" applyProtection="1"/>
    <xf numFmtId="0" fontId="0" fillId="0" borderId="23" xfId="0" applyBorder="1" applyProtection="1"/>
    <xf numFmtId="0" fontId="0" fillId="0" borderId="24" xfId="0" applyBorder="1"/>
    <xf numFmtId="0" fontId="0" fillId="0" borderId="9" xfId="0" applyBorder="1" applyProtection="1"/>
    <xf numFmtId="0" fontId="0" fillId="0" borderId="24" xfId="0" applyBorder="1" applyProtection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17" xfId="0" applyFont="1" applyFill="1" applyBorder="1" applyAlignment="1">
      <alignment horizontal="center"/>
    </xf>
    <xf numFmtId="168" fontId="11" fillId="0" borderId="19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 applyProtection="1">
      <alignment horizontal="center" wrapTex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/>
    </xf>
    <xf numFmtId="0" fontId="0" fillId="0" borderId="5" xfId="0" applyBorder="1" applyAlignment="1" applyProtection="1">
      <alignment horizontal="center"/>
      <protection locked="0"/>
    </xf>
    <xf numFmtId="49" fontId="0" fillId="0" borderId="4" xfId="0" applyNumberFormat="1" applyBorder="1" applyProtection="1">
      <protection locked="0"/>
    </xf>
    <xf numFmtId="0" fontId="0" fillId="0" borderId="13" xfId="0" applyBorder="1" applyProtection="1">
      <protection locked="0"/>
    </xf>
    <xf numFmtId="49" fontId="0" fillId="0" borderId="13" xfId="0" applyNumberForma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</xdr:colOff>
      <xdr:row>1</xdr:row>
      <xdr:rowOff>200025</xdr:rowOff>
    </xdr:from>
    <xdr:to>
      <xdr:col>16</xdr:col>
      <xdr:colOff>200025</xdr:colOff>
      <xdr:row>7</xdr:row>
      <xdr:rowOff>180975</xdr:rowOff>
    </xdr:to>
    <xdr:pic>
      <xdr:nvPicPr>
        <xdr:cNvPr id="20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58275" y="457200"/>
          <a:ext cx="4743450" cy="2695575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8</xdr:col>
      <xdr:colOff>571500</xdr:colOff>
      <xdr:row>32</xdr:row>
      <xdr:rowOff>0</xdr:rowOff>
    </xdr:from>
    <xdr:to>
      <xdr:col>17</xdr:col>
      <xdr:colOff>9525</xdr:colOff>
      <xdr:row>34</xdr:row>
      <xdr:rowOff>457200</xdr:rowOff>
    </xdr:to>
    <xdr:pic>
      <xdr:nvPicPr>
        <xdr:cNvPr id="20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58325" y="14430375"/>
          <a:ext cx="4743450" cy="2257425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8</xdr:col>
      <xdr:colOff>171450</xdr:colOff>
      <xdr:row>32</xdr:row>
      <xdr:rowOff>0</xdr:rowOff>
    </xdr:from>
    <xdr:to>
      <xdr:col>16</xdr:col>
      <xdr:colOff>200025</xdr:colOff>
      <xdr:row>37</xdr:row>
      <xdr:rowOff>180975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05900" y="466725"/>
          <a:ext cx="4752975" cy="2705100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showGridLines="0" zoomScale="125" zoomScaleNormal="125" workbookViewId="0">
      <selection activeCell="D16" sqref="D16"/>
    </sheetView>
  </sheetViews>
  <sheetFormatPr defaultColWidth="8.85546875" defaultRowHeight="12.75"/>
  <cols>
    <col min="1" max="1" width="16.5703125" style="1" customWidth="1"/>
    <col min="2" max="2" width="9.5703125" customWidth="1"/>
    <col min="3" max="3" width="0" style="2" hidden="1" customWidth="1"/>
    <col min="4" max="4" width="8.28515625" customWidth="1"/>
    <col min="5" max="5" width="28.7109375" customWidth="1"/>
    <col min="6" max="7" width="25.7109375" customWidth="1"/>
    <col min="8" max="8" width="27.28515625" customWidth="1"/>
    <col min="9" max="12" width="17.85546875" customWidth="1"/>
  </cols>
  <sheetData>
    <row r="1" spans="1:12">
      <c r="A1" s="3" t="s">
        <v>0</v>
      </c>
      <c r="B1" s="4">
        <v>200</v>
      </c>
      <c r="C1" s="5">
        <f>IF(Brevet_Length&gt;=1200,Brevet_Length,IF(Brevet_Length&gt;=1000,1000,IF(Brevet_Length&gt;=600,600,IF(Brevet_Length&gt;=400,400,IF(Brevet_Length&gt;=300,300,IF(Brevet_Length&gt;=200,200,100))))))</f>
        <v>200</v>
      </c>
      <c r="D1" s="6" t="s">
        <v>1</v>
      </c>
    </row>
    <row r="2" spans="1:12">
      <c r="A2" s="7" t="s">
        <v>2</v>
      </c>
      <c r="B2" s="8">
        <f>IF(brevet&gt;=1200,90,IF(brevet&gt;=1000,75,IF(brevet&gt;=600,40,IF(brevet&gt;=400,27,IF(brevet&gt;=300,20,IF(brevet&gt;=200,13.5,IF(brevet&gt;=100,7,0)))))))</f>
        <v>13.5</v>
      </c>
      <c r="D2" s="6" t="s">
        <v>3</v>
      </c>
    </row>
    <row r="3" spans="1:12">
      <c r="A3" s="7" t="s">
        <v>4</v>
      </c>
      <c r="B3" s="88" t="s">
        <v>75</v>
      </c>
      <c r="C3" s="9"/>
      <c r="D3" s="10"/>
      <c r="E3" s="10"/>
      <c r="F3" s="10"/>
      <c r="G3" s="10"/>
      <c r="H3" s="11"/>
    </row>
    <row r="4" spans="1:12">
      <c r="A4" s="7" t="s">
        <v>5</v>
      </c>
      <c r="B4" s="89" t="s">
        <v>76</v>
      </c>
      <c r="C4" s="12"/>
      <c r="D4" s="6" t="s">
        <v>6</v>
      </c>
      <c r="E4" s="13"/>
      <c r="F4" s="13"/>
      <c r="G4" s="13"/>
      <c r="H4" s="13"/>
    </row>
    <row r="5" spans="1:12">
      <c r="A5" s="7" t="s">
        <v>7</v>
      </c>
      <c r="B5" s="14"/>
      <c r="D5" s="6" t="s">
        <v>8</v>
      </c>
    </row>
    <row r="6" spans="1:12">
      <c r="A6" s="15"/>
      <c r="B6" s="16">
        <v>0</v>
      </c>
      <c r="D6" s="6" t="s">
        <v>9</v>
      </c>
    </row>
    <row r="7" spans="1:12">
      <c r="D7" s="79" t="s">
        <v>10</v>
      </c>
      <c r="E7" s="79"/>
      <c r="F7" s="79"/>
      <c r="G7" s="79"/>
      <c r="H7" s="79"/>
    </row>
    <row r="8" spans="1:12" ht="8.25" hidden="1" customHeight="1">
      <c r="D8" s="17"/>
      <c r="E8" s="17"/>
      <c r="F8" s="17"/>
      <c r="G8" s="17"/>
      <c r="H8" s="17"/>
    </row>
    <row r="9" spans="1:12">
      <c r="D9" s="18" t="s">
        <v>11</v>
      </c>
      <c r="E9" s="19" t="s">
        <v>12</v>
      </c>
      <c r="F9" s="20" t="s">
        <v>13</v>
      </c>
      <c r="G9" s="19" t="s">
        <v>14</v>
      </c>
      <c r="H9" s="21" t="s">
        <v>15</v>
      </c>
      <c r="I9" t="s">
        <v>16</v>
      </c>
      <c r="J9" t="s">
        <v>17</v>
      </c>
      <c r="K9" t="s">
        <v>18</v>
      </c>
      <c r="L9" t="s">
        <v>19</v>
      </c>
    </row>
    <row r="10" spans="1:12">
      <c r="C10" s="2" t="s">
        <v>20</v>
      </c>
      <c r="D10" s="22">
        <v>0</v>
      </c>
      <c r="E10" s="90" t="s">
        <v>77</v>
      </c>
      <c r="F10" s="91" t="s">
        <v>78</v>
      </c>
      <c r="G10" s="91" t="s">
        <v>79</v>
      </c>
      <c r="H10" s="25"/>
      <c r="I10" s="26">
        <f>Start_date+Start_time</f>
        <v>0</v>
      </c>
      <c r="J10" s="26">
        <f>I10+"1:00"</f>
        <v>4.1666666666666664E-2</v>
      </c>
      <c r="K10" s="27">
        <f>IF(ISBLANK(Distance),"",Open Control_1)</f>
        <v>0</v>
      </c>
      <c r="L10" s="27">
        <f>IF(ISBLANK(Distance),"",Close Control_1)</f>
        <v>4.1666666666666664E-2</v>
      </c>
    </row>
    <row r="11" spans="1:12">
      <c r="C11" s="2" t="s">
        <v>21</v>
      </c>
      <c r="D11" s="22">
        <v>24.3</v>
      </c>
      <c r="E11" s="23" t="s">
        <v>22</v>
      </c>
      <c r="F11" s="91" t="s">
        <v>80</v>
      </c>
      <c r="G11" s="24"/>
      <c r="H11" s="25"/>
      <c r="I11" s="5">
        <f>IF(ISBLANK(Distance),"",IF(Distance&gt;1000,(Distance-1000)/26+33.0847,(IF(Distance&gt;600,(Distance-600)/28+18.799,(IF(Distance&gt;400,(Distance-400)/30+12.1324,(IF(Distance&gt;200,(Distance-200)/32+5.8824,Distance/34))))))))</f>
        <v>0.71470588235294119</v>
      </c>
      <c r="J11" s="5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>1.62</v>
      </c>
      <c r="K11" s="27">
        <f>IF(ISBLANK(Distance),"",Open_time Control_1+(INT(Open)&amp;":"&amp;IF(ROUND(((Open-INT(Open))*60),0)&lt;10,0,"")&amp;ROUND(((Open-INT(Open))*60),0)))</f>
        <v>2.9861111111111113E-2</v>
      </c>
      <c r="L11" s="27">
        <f>IF(ISBLANK(Distance),"",Open_time Control_1+(INT(Close)&amp;":"&amp;IF(ROUND(((Close-INT(Close))*60),0)&lt;10,0,"")&amp;ROUND(((Close-INT(Close))*60),0)))</f>
        <v>6.7361111111111108E-2</v>
      </c>
    </row>
    <row r="12" spans="1:12">
      <c r="C12" s="2" t="s">
        <v>23</v>
      </c>
      <c r="D12" s="22">
        <v>93.8</v>
      </c>
      <c r="E12" s="90" t="s">
        <v>81</v>
      </c>
      <c r="F12" s="91" t="s">
        <v>82</v>
      </c>
      <c r="G12" s="24"/>
      <c r="H12" s="25"/>
      <c r="I12" s="5">
        <f>IF(ISBLANK(Distance),"",IF(Distance&gt;1000,(Distance-1000)/26+33.0847,(IF(Distance&gt;600,(Distance-600)/28+18.799,(IF(Distance&gt;400,(Distance-400)/30+12.1324,(IF(Distance&gt;200,(Distance-200)/32+5.8824,Distance/34))))))))</f>
        <v>2.7588235294117647</v>
      </c>
      <c r="J12" s="5">
        <f t="shared" ref="J12:J27" si="0">IF(ISBLANK(Distance),"",IF(Distance&gt;=brevet,IF(brevet&gt;1200,(brevet-1200)*75/1000+90,Max_time),IF(Distance&gt;1200,(Distance-1200)*75/1000+90,IF(Distance&gt;1000,(Distance-1000)/(1000/75)+75,IF(Distance&gt;600,(Distance-600)/(400/35)+40,Distance/15)))))</f>
        <v>6.253333333333333</v>
      </c>
      <c r="K12" s="27">
        <f>IF(ISBLANK(Distance),"",Open_time Control_1+(INT(Open)&amp;":"&amp;IF(ROUND(((Open-INT(Open))*60),0)&lt;10,0,"")&amp;ROUND(((Open-INT(Open))*60),0)))</f>
        <v>0.11527777777777777</v>
      </c>
      <c r="L12" s="27">
        <f>IF(ISBLANK(Distance),"",Open_time Control_1+(INT(Close)&amp;":"&amp;IF(ROUND(((Close-INT(Close))*60),0)&lt;10,0,"")&amp;ROUND(((Close-INT(Close))*60),0)))</f>
        <v>0.26041666666666669</v>
      </c>
    </row>
    <row r="13" spans="1:12">
      <c r="C13" s="2" t="s">
        <v>24</v>
      </c>
      <c r="D13" s="22">
        <v>124.6</v>
      </c>
      <c r="E13" s="90" t="s">
        <v>83</v>
      </c>
      <c r="F13" s="24"/>
      <c r="G13" s="24"/>
      <c r="H13" s="25"/>
      <c r="I13" s="5">
        <f t="shared" ref="I13:I28" si="1">IF(ISBLANK(Distance),"",IF(Distance&gt;1000,(Distance-1000)/26+33.0847,(IF(Distance&gt;600,(Distance-600)/28+18.799,(IF(Distance&gt;400,(Distance-400)/30+12.1324,(IF(Distance&gt;200,(Distance-200)/32+5.8824,Distance/34))))))))</f>
        <v>3.664705882352941</v>
      </c>
      <c r="J13" s="5">
        <f t="shared" si="0"/>
        <v>8.3066666666666666</v>
      </c>
      <c r="K13" s="27">
        <f>IF(ISBLANK(Distance),"",Open_time Control_1+(INT(Open)&amp;":"&amp;IF(ROUND(((Open-INT(Open))*60),0)&lt;10,0,"")&amp;ROUND(((Open-INT(Open))*60),0)))</f>
        <v>0.15277777777777776</v>
      </c>
      <c r="L13" s="27">
        <f>IF(ISBLANK(Distance),"",Open_time Control_1+(INT(Close)&amp;":"&amp;IF(ROUND(((Close-INT(Close))*60),0)&lt;10,0,"")&amp;ROUND(((Close-INT(Close))*60),0)))</f>
        <v>0.34583333333333338</v>
      </c>
    </row>
    <row r="14" spans="1:12">
      <c r="C14" s="2" t="s">
        <v>25</v>
      </c>
      <c r="D14" s="22">
        <v>165</v>
      </c>
      <c r="E14" s="90" t="s">
        <v>84</v>
      </c>
      <c r="F14" s="91" t="s">
        <v>85</v>
      </c>
      <c r="G14" s="24"/>
      <c r="H14" s="25"/>
      <c r="I14" s="5">
        <f t="shared" si="1"/>
        <v>4.8529411764705879</v>
      </c>
      <c r="J14" s="5">
        <f t="shared" si="0"/>
        <v>11</v>
      </c>
      <c r="K14" s="27">
        <f>IF(ISBLANK(Distance),"",Open_time Control_1+(INT(Open)&amp;":"&amp;IF(ROUND(((Open-INT(Open))*60),0)&lt;10,0,"")&amp;ROUND(((Open-INT(Open))*60),0)))</f>
        <v>0.20208333333333331</v>
      </c>
      <c r="L14" s="27">
        <f>IF(ISBLANK(Distance),"",Open_time Control_1+(INT(Close)&amp;":"&amp;IF(ROUND(((Close-INT(Close))*60),0)&lt;10,0,"")&amp;ROUND(((Close-INT(Close))*60),0)))</f>
        <v>0.45833333333333331</v>
      </c>
    </row>
    <row r="15" spans="1:12">
      <c r="C15" s="2" t="s">
        <v>26</v>
      </c>
      <c r="D15" s="22">
        <v>201.3</v>
      </c>
      <c r="E15" s="90" t="s">
        <v>77</v>
      </c>
      <c r="F15" s="91" t="s">
        <v>78</v>
      </c>
      <c r="G15" s="91" t="s">
        <v>79</v>
      </c>
      <c r="H15" s="25"/>
      <c r="I15">
        <f t="shared" si="1"/>
        <v>5.923025</v>
      </c>
      <c r="J15">
        <f t="shared" si="0"/>
        <v>13.5</v>
      </c>
      <c r="K15" s="27">
        <f>IF(ISBLANK(Distance),"",Open_time Control_1+(INT(Open)&amp;":"&amp;IF(ROUND(((Open-INT(Open))*60),0)&lt;10,0,"")&amp;ROUND(((Open-INT(Open))*60),0)))</f>
        <v>0.24652777777777779</v>
      </c>
      <c r="L15" s="27">
        <f>IF(ISBLANK(Distance),"",Open_time Control_1+(INT(Close)&amp;":"&amp;IF(ROUND(((Close-INT(Close))*60),0)&lt;10,0,"")&amp;ROUND(((Close-INT(Close))*60),0)))</f>
        <v>0.5625</v>
      </c>
    </row>
    <row r="16" spans="1:12">
      <c r="C16" s="2" t="s">
        <v>27</v>
      </c>
      <c r="D16" s="22"/>
      <c r="E16" s="23"/>
      <c r="F16" s="24"/>
      <c r="G16" s="24"/>
      <c r="H16" s="25"/>
      <c r="I16" t="str">
        <f t="shared" si="1"/>
        <v/>
      </c>
      <c r="J16" t="str">
        <f t="shared" si="0"/>
        <v/>
      </c>
      <c r="K16" s="27" t="str">
        <f>IF(ISBLANK(Distance),"",Open_time Control_1+(INT(Open)&amp;":"&amp;IF(ROUND(((Open-INT(Open))*60),0)&lt;10,0,"")&amp;ROUND(((Open-INT(Open))*60),0)))</f>
        <v/>
      </c>
      <c r="L16" s="27" t="str">
        <f>IF(ISBLANK(Distance),"",Open_time Control_1+(INT(Close)&amp;":"&amp;IF(ROUND(((Close-INT(Close))*60),0)&lt;10,0,"")&amp;ROUND(((Close-INT(Close))*60),0)))</f>
        <v/>
      </c>
    </row>
    <row r="17" spans="3:12">
      <c r="C17" s="2" t="s">
        <v>28</v>
      </c>
      <c r="D17" s="22"/>
      <c r="E17" s="23"/>
      <c r="F17" s="24"/>
      <c r="G17" s="24"/>
      <c r="H17" s="25"/>
      <c r="I17" t="str">
        <f t="shared" si="1"/>
        <v/>
      </c>
      <c r="J17" t="str">
        <f t="shared" si="0"/>
        <v/>
      </c>
      <c r="K17" s="27" t="str">
        <f>IF(ISBLANK(Distance),"",Open_time Control_1+(INT(Open)&amp;":"&amp;IF(ROUND(((Open-INT(Open))*60),0)&lt;10,0,"")&amp;ROUND(((Open-INT(Open))*60),0)))</f>
        <v/>
      </c>
      <c r="L17" s="27" t="str">
        <f>IF(ISBLANK(Distance),"",Open_time Control_1+(INT(Close)&amp;":"&amp;IF(ROUND(((Close-INT(Close))*60),0)&lt;10,0,"")&amp;ROUND(((Close-INT(Close))*60),0)))</f>
        <v/>
      </c>
    </row>
    <row r="18" spans="3:12">
      <c r="C18" s="2" t="s">
        <v>29</v>
      </c>
      <c r="D18" s="22"/>
      <c r="E18" s="23"/>
      <c r="F18" s="24"/>
      <c r="G18" s="24"/>
      <c r="H18" s="25"/>
      <c r="I18" t="str">
        <f t="shared" si="1"/>
        <v/>
      </c>
      <c r="J18" t="str">
        <f t="shared" si="0"/>
        <v/>
      </c>
      <c r="K18" s="27" t="str">
        <f>IF(ISBLANK(Distance),"",Open_time Control_1+(INT(Open)&amp;":"&amp;IF(ROUND(((Open-INT(Open))*60),0)&lt;10,0,"")&amp;ROUND(((Open-INT(Open))*60),0)))</f>
        <v/>
      </c>
      <c r="L18" s="27" t="str">
        <f>IF(ISBLANK(Distance),"",Open_time Control_1+(INT(Close)&amp;":"&amp;IF(ROUND(((Close-INT(Close))*60),0)&lt;10,0,"")&amp;ROUND(((Close-INT(Close))*60),0)))</f>
        <v/>
      </c>
    </row>
    <row r="19" spans="3:12">
      <c r="C19" s="2" t="s">
        <v>30</v>
      </c>
      <c r="D19" s="22"/>
      <c r="E19" s="23"/>
      <c r="F19" s="24"/>
      <c r="G19" s="24"/>
      <c r="H19" s="25"/>
      <c r="I19" t="str">
        <f t="shared" si="1"/>
        <v/>
      </c>
      <c r="J19" t="str">
        <f t="shared" si="0"/>
        <v/>
      </c>
      <c r="K19" s="27" t="str">
        <f>IF(ISBLANK(Distance),"",Open_time Control_1+(INT(Open)&amp;":"&amp;IF(ROUND(((Open-INT(Open))*60),0)&lt;10,0,"")&amp;ROUND(((Open-INT(Open))*60),0)))</f>
        <v/>
      </c>
      <c r="L19" s="27" t="str">
        <f>IF(ISBLANK(Distance),"",Open_time Control_1+(INT(Close)&amp;":"&amp;IF(ROUND(((Close-INT(Close))*60),0)&lt;10,0,"")&amp;ROUND(((Close-INT(Close))*60),0)))</f>
        <v/>
      </c>
    </row>
    <row r="20" spans="3:12">
      <c r="C20" s="2" t="s">
        <v>31</v>
      </c>
      <c r="D20" s="22"/>
      <c r="E20" s="23"/>
      <c r="F20" s="24"/>
      <c r="G20" s="24"/>
      <c r="H20" s="25"/>
      <c r="I20" t="str">
        <f t="shared" si="1"/>
        <v/>
      </c>
      <c r="J20" t="str">
        <f t="shared" si="0"/>
        <v/>
      </c>
      <c r="K20" s="27" t="str">
        <f>IF(ISBLANK(Distance),"",Open_time Control_1+(INT(Open)&amp;":"&amp;IF(ROUND(((Open-INT(Open))*60),0)&lt;10,0,"")&amp;ROUND(((Open-INT(Open))*60),0)))</f>
        <v/>
      </c>
      <c r="L20" s="27" t="str">
        <f>IF(ISBLANK(Distance),"",Open_time Control_1+(INT(Close)&amp;":"&amp;IF(ROUND(((Close-INT(Close))*60),0)&lt;10,0,"")&amp;ROUND(((Close-INT(Close))*60),0)))</f>
        <v/>
      </c>
    </row>
    <row r="21" spans="3:12">
      <c r="C21" s="2" t="s">
        <v>32</v>
      </c>
      <c r="D21" s="22"/>
      <c r="E21" s="23"/>
      <c r="F21" s="24"/>
      <c r="G21" s="24"/>
      <c r="H21" s="25"/>
      <c r="I21" t="str">
        <f t="shared" si="1"/>
        <v/>
      </c>
      <c r="J21" t="str">
        <f t="shared" si="0"/>
        <v/>
      </c>
      <c r="K21" s="27" t="str">
        <f>IF(ISBLANK(Distance),"",Open_time Control_1+(INT(Open)&amp;":"&amp;IF(ROUND(((Open-INT(Open))*60),0)&lt;10,0,"")&amp;ROUND(((Open-INT(Open))*60),0)))</f>
        <v/>
      </c>
      <c r="L21" s="27" t="str">
        <f>IF(ISBLANK(Distance),"",Open_time Control_1+(INT(Close)&amp;":"&amp;IF(ROUND(((Close-INT(Close))*60),0)&lt;10,0,"")&amp;ROUND(((Close-INT(Close))*60),0)))</f>
        <v/>
      </c>
    </row>
    <row r="22" spans="3:12">
      <c r="C22" s="2" t="s">
        <v>33</v>
      </c>
      <c r="D22" s="22"/>
      <c r="E22" s="23"/>
      <c r="F22" s="24"/>
      <c r="G22" s="24"/>
      <c r="H22" s="25"/>
      <c r="I22" t="str">
        <f t="shared" si="1"/>
        <v/>
      </c>
      <c r="J22" t="str">
        <f t="shared" si="0"/>
        <v/>
      </c>
      <c r="K22" s="27" t="str">
        <f>IF(ISBLANK(Distance),"",Open_time Control_1+(INT(Open)&amp;":"&amp;IF(ROUND(((Open-INT(Open))*60),0)&lt;10,0,"")&amp;ROUND(((Open-INT(Open))*60),0)))</f>
        <v/>
      </c>
      <c r="L22" s="27" t="str">
        <f>IF(ISBLANK(Distance),"",Open_time Control_1+(INT(Close)&amp;":"&amp;IF(ROUND(((Close-INT(Close))*60),0)&lt;10,0,"")&amp;ROUND(((Close-INT(Close))*60),0)))</f>
        <v/>
      </c>
    </row>
    <row r="23" spans="3:12">
      <c r="C23" s="2" t="s">
        <v>34</v>
      </c>
      <c r="D23" s="22"/>
      <c r="E23" s="23"/>
      <c r="F23" s="24"/>
      <c r="G23" s="24"/>
      <c r="H23" s="25"/>
      <c r="I23" t="str">
        <f t="shared" si="1"/>
        <v/>
      </c>
      <c r="J23" t="str">
        <f t="shared" si="0"/>
        <v/>
      </c>
      <c r="K23" s="27" t="str">
        <f>IF(ISBLANK(Distance),"",Open_time Control_1+(INT(Open)&amp;":"&amp;IF(ROUND(((Open-INT(Open))*60),0)&lt;10,0,"")&amp;ROUND(((Open-INT(Open))*60),0)))</f>
        <v/>
      </c>
      <c r="L23" s="27" t="str">
        <f>IF(ISBLANK(Distance),"",Open_time Control_1+(INT(Close)&amp;":"&amp;IF(ROUND(((Close-INT(Close))*60),0)&lt;10,0,"")&amp;ROUND(((Close-INT(Close))*60),0)))</f>
        <v/>
      </c>
    </row>
    <row r="24" spans="3:12">
      <c r="C24" s="2" t="s">
        <v>35</v>
      </c>
      <c r="D24" s="22"/>
      <c r="E24" s="23"/>
      <c r="F24" s="24"/>
      <c r="G24" s="24"/>
      <c r="H24" s="25"/>
      <c r="I24" t="str">
        <f t="shared" si="1"/>
        <v/>
      </c>
      <c r="J24" t="str">
        <f t="shared" si="0"/>
        <v/>
      </c>
      <c r="K24" s="27" t="str">
        <f>IF(ISBLANK(Distance),"",Open_time Control_1+(INT(Open)&amp;":"&amp;IF(ROUND(((Open-INT(Open))*60),0)&lt;10,0,"")&amp;ROUND(((Open-INT(Open))*60),0)))</f>
        <v/>
      </c>
      <c r="L24" s="27" t="str">
        <f>IF(ISBLANK(Distance),"",Open_time Control_1+(INT(Close)&amp;":"&amp;IF(ROUND(((Close-INT(Close))*60),0)&lt;10,0,"")&amp;ROUND(((Close-INT(Close))*60),0)))</f>
        <v/>
      </c>
    </row>
    <row r="25" spans="3:12">
      <c r="C25" s="2" t="s">
        <v>36</v>
      </c>
      <c r="D25" s="22"/>
      <c r="E25" s="23"/>
      <c r="F25" s="24"/>
      <c r="G25" s="24"/>
      <c r="H25" s="25"/>
      <c r="I25" t="str">
        <f t="shared" si="1"/>
        <v/>
      </c>
      <c r="J25" t="str">
        <f t="shared" si="0"/>
        <v/>
      </c>
      <c r="K25" s="27" t="str">
        <f>IF(ISBLANK(Distance),"",Open_time Control_1+(INT(Open)&amp;":"&amp;IF(ROUND(((Open-INT(Open))*60),0)&lt;10,0,"")&amp;ROUND(((Open-INT(Open))*60),0)))</f>
        <v/>
      </c>
      <c r="L25" s="27" t="str">
        <f>IF(ISBLANK(Distance),"",Open_time Control_1+(INT(Close)&amp;":"&amp;IF(ROUND(((Close-INT(Close))*60),0)&lt;10,0,"")&amp;ROUND(((Close-INT(Close))*60),0)))</f>
        <v/>
      </c>
    </row>
    <row r="26" spans="3:12">
      <c r="C26" s="2" t="s">
        <v>37</v>
      </c>
      <c r="D26" s="22"/>
      <c r="E26" s="23"/>
      <c r="F26" s="24"/>
      <c r="G26" s="24"/>
      <c r="H26" s="25"/>
      <c r="I26" t="str">
        <f t="shared" si="1"/>
        <v/>
      </c>
      <c r="J26" t="str">
        <f t="shared" si="0"/>
        <v/>
      </c>
      <c r="K26" s="27" t="str">
        <f>IF(ISBLANK(Distance),"",Open_time Control_1+(INT(Open)&amp;":"&amp;IF(ROUND(((Open-INT(Open))*60),0)&lt;10,0,"")&amp;ROUND(((Open-INT(Open))*60),0)))</f>
        <v/>
      </c>
      <c r="L26" s="27" t="str">
        <f>IF(ISBLANK(Distance),"",Open_time Control_1+(INT(Close)&amp;":"&amp;IF(ROUND(((Close-INT(Close))*60),0)&lt;10,0,"")&amp;ROUND(((Close-INT(Close))*60),0)))</f>
        <v/>
      </c>
    </row>
    <row r="27" spans="3:12">
      <c r="C27" s="2" t="s">
        <v>38</v>
      </c>
      <c r="D27" s="22"/>
      <c r="E27" s="23"/>
      <c r="F27" s="24"/>
      <c r="G27" s="24"/>
      <c r="H27" s="25"/>
      <c r="I27" t="str">
        <f t="shared" si="1"/>
        <v/>
      </c>
      <c r="J27" t="str">
        <f t="shared" si="0"/>
        <v/>
      </c>
      <c r="K27" s="27" t="str">
        <f>IF(ISBLANK(Distance),"",Open_time Control_1+(INT(Open)&amp;":"&amp;IF(ROUND(((Open-INT(Open))*60),0)&lt;10,0,"")&amp;ROUND(((Open-INT(Open))*60),0)))</f>
        <v/>
      </c>
      <c r="L27" s="27" t="str">
        <f>IF(ISBLANK(Distance),"",Open_time Control_1+(INT(Close)&amp;":"&amp;IF(ROUND(((Close-INT(Close))*60),0)&lt;10,0,"")&amp;ROUND(((Close-INT(Close))*60),0)))</f>
        <v/>
      </c>
    </row>
    <row r="28" spans="3:12">
      <c r="C28" s="2" t="s">
        <v>39</v>
      </c>
      <c r="D28" s="22"/>
      <c r="E28" s="23"/>
      <c r="F28" s="24"/>
      <c r="G28" s="24"/>
      <c r="H28" s="25"/>
      <c r="I28" t="str">
        <f t="shared" si="1"/>
        <v/>
      </c>
      <c r="J28" t="str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/>
      </c>
      <c r="K28" s="27" t="str">
        <f>IF(ISBLANK(Distance),"",Open_time Control_1+(INT(Open)&amp;":"&amp;IF(ROUND(((Open-INT(Open))*60),0)&lt;10,0,"")&amp;ROUND(((Open-INT(Open))*60),0)))</f>
        <v/>
      </c>
      <c r="L28" s="27" t="str">
        <f>IF(ISBLANK(Distance),"",Open_time Control_1+(INT(Close)&amp;":"&amp;IF(ROUND(((Close-INT(Close))*60),0)&lt;10,0,"")&amp;ROUND(((Close-INT(Close))*60),0)))</f>
        <v/>
      </c>
    </row>
    <row r="29" spans="3:12">
      <c r="C29" s="2" t="s">
        <v>40</v>
      </c>
      <c r="D29" s="28"/>
      <c r="E29" s="29"/>
      <c r="F29" s="30"/>
      <c r="G29" s="30"/>
      <c r="H29" s="31"/>
      <c r="I29" t="str">
        <f>IF(ISBLANK(Distance),"",IF(Distance&gt;1000,(Distance-1000)/26+33.0847,(IF(Distance&gt;600,(Distance-600)/28+18.799,(IF(Distance&gt;400,(Distance-400)/30+12.1324,(IF(Distance&gt;200,(Distance-200)/32+5.8824,Distance/34))))))))</f>
        <v/>
      </c>
      <c r="J29" t="str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/>
      </c>
      <c r="K29" s="27" t="str">
        <f>IF(ISBLANK(Distance),"",Open_time Control_1+(INT(Open)&amp;":"&amp;IF(ROUND(((Open-INT(Open))*60),0)&lt;10,0,"")&amp;ROUND(((Open-INT(Open))*60),0)))</f>
        <v/>
      </c>
      <c r="L29" s="27" t="str">
        <f>IF(ISBLANK(Distance),"",Open_time Control_1+(INT(Close)&amp;":"&amp;IF(ROUND(((Close-INT(Close))*60),0)&lt;10,0,"")&amp;ROUND(((Close-INT(Close))*60),0)))</f>
        <v/>
      </c>
    </row>
    <row r="30" spans="3:12">
      <c r="D30" s="32" t="s">
        <v>41</v>
      </c>
    </row>
    <row r="31" spans="3:12">
      <c r="D31" s="6" t="s">
        <v>42</v>
      </c>
    </row>
    <row r="32" spans="3:12">
      <c r="D32" s="33">
        <v>0</v>
      </c>
      <c r="E32" t="s">
        <v>43</v>
      </c>
      <c r="G32" t="s">
        <v>44</v>
      </c>
    </row>
    <row r="33" spans="4:8">
      <c r="D33" s="32" t="s">
        <v>45</v>
      </c>
    </row>
    <row r="34" spans="4:8">
      <c r="D34">
        <v>55</v>
      </c>
      <c r="E34" t="s">
        <v>46</v>
      </c>
      <c r="G34" t="s">
        <v>47</v>
      </c>
      <c r="H34" t="s">
        <v>48</v>
      </c>
    </row>
    <row r="35" spans="4:8">
      <c r="D35" s="32" t="s">
        <v>49</v>
      </c>
    </row>
    <row r="37" spans="4:8">
      <c r="D37" s="6" t="s">
        <v>50</v>
      </c>
    </row>
  </sheetData>
  <sheetProtection selectLockedCells="1" selectUnlockedCells="1"/>
  <mergeCells count="1">
    <mergeCell ref="D7:H7"/>
  </mergeCells>
  <pageMargins left="0.74791666666666667" right="0.74791666666666667" top="0.98402777777777772" bottom="0.98402777777777772" header="0.5" footer="0.5"/>
  <pageSetup firstPageNumber="0" orientation="portrait" horizontalDpi="300" verticalDpi="300"/>
  <headerFooter alignWithMargins="0">
    <oddHeader>&amp;C&amp;A</oddHeader>
    <oddFooter>&amp;CPage &amp;P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88"/>
  <sheetViews>
    <sheetView showGridLines="0" tabSelected="1" topLeftCell="A16" zoomScale="50" zoomScaleNormal="50" workbookViewId="0">
      <selection activeCell="V39" sqref="V39"/>
    </sheetView>
  </sheetViews>
  <sheetFormatPr defaultColWidth="8.85546875" defaultRowHeight="12.75"/>
  <cols>
    <col min="1" max="1" width="9.28515625" style="34" customWidth="1"/>
    <col min="2" max="3" width="11.7109375" customWidth="1"/>
    <col min="4" max="4" width="19.28515625" customWidth="1"/>
    <col min="5" max="5" width="24.5703125" customWidth="1"/>
    <col min="6" max="6" width="24.7109375" customWidth="1"/>
    <col min="7" max="7" width="20.140625" customWidth="1"/>
    <col min="8" max="8" width="11.85546875" customWidth="1"/>
    <col min="9" max="9" width="8.7109375" customWidth="1"/>
    <col min="20" max="20" width="13.140625" customWidth="1"/>
    <col min="21" max="21" width="5.85546875" customWidth="1"/>
  </cols>
  <sheetData>
    <row r="1" spans="1:20" ht="20.25">
      <c r="A1" s="87" t="s">
        <v>51</v>
      </c>
      <c r="B1" s="87"/>
      <c r="C1" s="87"/>
      <c r="D1" s="87"/>
      <c r="E1" s="87"/>
      <c r="F1" s="87"/>
      <c r="G1" s="87"/>
    </row>
    <row r="2" spans="1:20" ht="33.75" customHeight="1">
      <c r="A2" s="35" t="s">
        <v>52</v>
      </c>
      <c r="B2" s="36" t="s">
        <v>16</v>
      </c>
      <c r="C2" s="36" t="s">
        <v>17</v>
      </c>
      <c r="D2" s="36" t="s">
        <v>12</v>
      </c>
      <c r="E2" s="36" t="s">
        <v>53</v>
      </c>
      <c r="F2" s="36" t="s">
        <v>54</v>
      </c>
      <c r="G2" s="35" t="s">
        <v>55</v>
      </c>
      <c r="N2" s="37"/>
    </row>
    <row r="3" spans="1:20" ht="36" customHeight="1">
      <c r="A3" s="38"/>
      <c r="B3" s="39">
        <f>Control_1 Open_time</f>
        <v>0</v>
      </c>
      <c r="C3" s="39">
        <f>Control_1 Close_time</f>
        <v>4.1666666666666664E-2</v>
      </c>
      <c r="D3" s="40"/>
      <c r="E3" s="41" t="str">
        <f>IF(ISBLANK(Control_1 Establishment_1),"",Control_1 Establishment_1)</f>
        <v>115-3010</v>
      </c>
      <c r="F3" s="42"/>
      <c r="G3" s="43"/>
      <c r="K3" s="44"/>
      <c r="N3" s="37"/>
    </row>
    <row r="4" spans="1:20" ht="36" customHeight="1">
      <c r="A4" s="45">
        <f>IF(ISBLANK(Distance Control_1),"",Control_1 Distance)</f>
        <v>0</v>
      </c>
      <c r="B4" s="46">
        <f>Control_1 Open_time</f>
        <v>0</v>
      </c>
      <c r="C4" s="46">
        <f>Control_1 Close_time</f>
        <v>4.1666666666666664E-2</v>
      </c>
      <c r="D4" s="41" t="str">
        <f>IF(ISBLANK(Locale Control_1),"",Locale Control_1)</f>
        <v>Coquitlam</v>
      </c>
      <c r="E4" s="41" t="str">
        <f>IF(ISBLANK(Control_1 Establishment_2),"",Control_1 Establishment_2)</f>
        <v>Riverbend Dr</v>
      </c>
      <c r="F4" s="42"/>
      <c r="G4" s="43"/>
      <c r="K4" s="44"/>
      <c r="N4" s="37"/>
    </row>
    <row r="5" spans="1:20" ht="36" customHeight="1">
      <c r="A5" s="47"/>
      <c r="B5" s="48">
        <f>Control_1 Open_time</f>
        <v>0</v>
      </c>
      <c r="C5" s="48">
        <f>Control_1 Close_time</f>
        <v>4.1666666666666664E-2</v>
      </c>
      <c r="D5" s="49"/>
      <c r="E5" s="50" t="str">
        <f>IF(ISBLANK(Control_1 Establishment_3),"",Control_1 Establishment_3)</f>
        <v/>
      </c>
      <c r="F5" s="51"/>
      <c r="G5" s="52"/>
      <c r="K5" s="44"/>
    </row>
    <row r="6" spans="1:20" ht="36" customHeight="1">
      <c r="A6" s="38"/>
      <c r="B6" s="39">
        <f>Control_2 Open_time</f>
        <v>2.9861111111111113E-2</v>
      </c>
      <c r="C6" s="39">
        <f>Control_2 Close_time</f>
        <v>6.7361111111111108E-2</v>
      </c>
      <c r="D6" s="53"/>
      <c r="E6" s="41" t="str">
        <f>IF(ISBLANK(Control_2 Establishment_1),"",Control_2 Establishment_1)</f>
        <v>Info control</v>
      </c>
      <c r="F6" s="42"/>
      <c r="G6" s="43"/>
      <c r="K6" s="44"/>
    </row>
    <row r="7" spans="1:20" ht="36" customHeight="1">
      <c r="A7" s="45">
        <f>IF(ISBLANK(Distance Control_2),"",Control_2 Distance)</f>
        <v>24.3</v>
      </c>
      <c r="B7" s="46">
        <f>Control_2 Open_time</f>
        <v>2.9861111111111113E-2</v>
      </c>
      <c r="C7" s="46">
        <f>Control_2 Close_time</f>
        <v>6.7361111111111108E-2</v>
      </c>
      <c r="D7" s="41" t="str">
        <f>IF(ISBLANK(Locale Control_2),"",Locale Control_2)</f>
        <v>Pitt Lake</v>
      </c>
      <c r="E7" s="41" t="str">
        <f>IF(ISBLANK(Control_2 Establishment_2),"",Control_2 Establishment_2)</f>
        <v/>
      </c>
      <c r="F7" s="42"/>
      <c r="G7" s="43"/>
      <c r="K7" s="44"/>
    </row>
    <row r="8" spans="1:20" ht="36" customHeight="1">
      <c r="A8" s="47"/>
      <c r="B8" s="48">
        <f>Control_2 Open_time</f>
        <v>2.9861111111111113E-2</v>
      </c>
      <c r="C8" s="48">
        <f>Control_2 Close_time</f>
        <v>6.7361111111111108E-2</v>
      </c>
      <c r="D8" s="49"/>
      <c r="E8" s="50" t="str">
        <f>IF(ISBLANK(Control_2 Establishment_3),"",Control_2 Establishment_3)</f>
        <v/>
      </c>
      <c r="F8" s="51"/>
      <c r="G8" s="52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spans="1:20" ht="36" customHeight="1">
      <c r="A9" s="38"/>
      <c r="B9" s="39">
        <f>Control_3 Open_time</f>
        <v>0.11527777777777777</v>
      </c>
      <c r="C9" s="39">
        <f>Control_3 Close_time</f>
        <v>0.26041666666666669</v>
      </c>
      <c r="D9" s="53"/>
      <c r="E9" s="41" t="str">
        <f>IF(ISBLANK(Control_3 Establishment_1),"",Control_3 Establishment_1)</f>
        <v>Arrivals</v>
      </c>
      <c r="F9" s="42"/>
      <c r="G9" s="43"/>
      <c r="J9" s="83" t="s">
        <v>56</v>
      </c>
      <c r="K9" s="83"/>
      <c r="L9" s="83"/>
      <c r="M9" s="83"/>
      <c r="N9" s="83"/>
      <c r="O9" s="83"/>
      <c r="P9" s="83"/>
      <c r="Q9" s="83"/>
      <c r="R9" s="83"/>
      <c r="S9" s="83"/>
    </row>
    <row r="10" spans="1:20" ht="36" customHeight="1">
      <c r="A10" s="45">
        <f>IF(ISBLANK(Distance Control_3),"",Control_3 Distance)</f>
        <v>93.8</v>
      </c>
      <c r="B10" s="46">
        <f>Control_3 Open_time</f>
        <v>0.11527777777777777</v>
      </c>
      <c r="C10" s="46">
        <f>Control_3 Close_time</f>
        <v>0.26041666666666669</v>
      </c>
      <c r="D10" s="41" t="str">
        <f>IF(ISBLANK(Locale Control_3),"",Locale Control_3)</f>
        <v>Ferry Terminal</v>
      </c>
      <c r="E10" s="41" t="str">
        <f>IF(ISBLANK(Control_3 Establishment_2),"",Control_3 Establishment_2)</f>
        <v/>
      </c>
      <c r="F10" s="42"/>
      <c r="G10" s="43"/>
      <c r="J10" s="84" t="str">
        <f>IF(ISBLANK(Brevet_Description),"",Brevet_Description)</f>
        <v>Pitt Ferry Fort Permanent #150</v>
      </c>
      <c r="K10" s="84"/>
      <c r="L10" s="84"/>
      <c r="M10" s="84"/>
      <c r="N10" s="84"/>
      <c r="O10" s="84"/>
      <c r="P10" s="84"/>
      <c r="Q10" s="84"/>
      <c r="R10" s="84"/>
      <c r="S10" s="84"/>
      <c r="T10" s="84"/>
    </row>
    <row r="11" spans="1:20" ht="36" customHeight="1">
      <c r="A11" s="47"/>
      <c r="B11" s="48">
        <f>Control_3 Open_time</f>
        <v>0.11527777777777777</v>
      </c>
      <c r="C11" s="48">
        <f>Control_3 Close_time</f>
        <v>0.26041666666666669</v>
      </c>
      <c r="D11" s="49"/>
      <c r="E11" s="50" t="str">
        <f>IF(ISBLANK(Control_3 Establishment_3),"",Control_3 Establishment_3)</f>
        <v/>
      </c>
      <c r="F11" s="51"/>
      <c r="G11" s="52"/>
      <c r="J11" s="55" t="s">
        <v>57</v>
      </c>
      <c r="L11" s="56"/>
      <c r="M11" s="57"/>
      <c r="N11" s="57"/>
      <c r="O11" s="57"/>
      <c r="P11" s="57"/>
      <c r="Q11" s="57"/>
      <c r="R11" s="57"/>
      <c r="S11" s="57"/>
      <c r="T11" s="58"/>
    </row>
    <row r="12" spans="1:20" ht="36" customHeight="1">
      <c r="A12" s="38"/>
      <c r="B12" s="39">
        <f>Control_4 Open_time</f>
        <v>0.15277777777777776</v>
      </c>
      <c r="C12" s="39">
        <f>Control_4 Close_time</f>
        <v>0.34583333333333338</v>
      </c>
      <c r="D12" s="53"/>
      <c r="E12" s="41" t="str">
        <f>IF(ISBLANK(Control_4 Establishment_1),"",Control_4 Establishment_1)</f>
        <v/>
      </c>
      <c r="F12" s="42"/>
      <c r="G12" s="43"/>
      <c r="J12" s="55" t="s">
        <v>58</v>
      </c>
      <c r="K12" s="55"/>
      <c r="L12" s="59"/>
      <c r="M12" s="59"/>
      <c r="N12" s="59"/>
      <c r="O12" s="59"/>
      <c r="P12" s="59"/>
      <c r="Q12" s="59"/>
      <c r="R12" s="59"/>
      <c r="S12" s="59"/>
      <c r="T12" s="60"/>
    </row>
    <row r="13" spans="1:20" ht="36" customHeight="1">
      <c r="A13" s="45">
        <f>IF(ISBLANK(Distance Control_4),"",Control_4 Distance)</f>
        <v>124.6</v>
      </c>
      <c r="B13" s="46">
        <f>Control_4 Open_time</f>
        <v>0.15277777777777776</v>
      </c>
      <c r="C13" s="46">
        <f>Control_4 Close_time</f>
        <v>0.34583333333333338</v>
      </c>
      <c r="D13" s="41" t="str">
        <f>IF(ISBLANK(Locale Control_4),"",Locale Control_4)</f>
        <v>Tim Hortons</v>
      </c>
      <c r="E13" s="41" t="str">
        <f>IF(ISBLANK(Control_4 Establishment_2),"",Control_4 Establishment_2)</f>
        <v/>
      </c>
      <c r="F13" s="42"/>
      <c r="G13" s="43"/>
      <c r="J13" s="55"/>
      <c r="K13" s="55"/>
      <c r="L13" s="59"/>
      <c r="M13" s="59"/>
      <c r="N13" s="59"/>
      <c r="O13" s="59"/>
      <c r="P13" s="59"/>
      <c r="Q13" s="59"/>
      <c r="R13" s="59"/>
      <c r="S13" s="59"/>
      <c r="T13" s="60"/>
    </row>
    <row r="14" spans="1:20" ht="36" customHeight="1">
      <c r="A14" s="47"/>
      <c r="B14" s="48">
        <f>Control_4 Open_time</f>
        <v>0.15277777777777776</v>
      </c>
      <c r="C14" s="48">
        <f>Control_4 Close_time</f>
        <v>0.34583333333333338</v>
      </c>
      <c r="D14" s="49"/>
      <c r="E14" s="50" t="str">
        <f>IF(ISBLANK(Control_4 Establishment_3),"",Control_4 Establishment_3)</f>
        <v/>
      </c>
      <c r="F14" s="51"/>
      <c r="G14" s="52"/>
      <c r="J14" s="55" t="s">
        <v>59</v>
      </c>
      <c r="K14" s="55"/>
      <c r="L14" s="59"/>
      <c r="M14" s="59"/>
      <c r="N14" s="59"/>
      <c r="O14" s="61"/>
      <c r="P14" s="61" t="s">
        <v>60</v>
      </c>
      <c r="Q14" s="61"/>
      <c r="R14" s="61"/>
      <c r="S14" s="59"/>
      <c r="T14" s="60"/>
    </row>
    <row r="15" spans="1:20" ht="36" customHeight="1">
      <c r="A15" s="38"/>
      <c r="B15" s="39">
        <f>Control_5 Open_time</f>
        <v>0.20208333333333331</v>
      </c>
      <c r="C15" s="39">
        <f>Control_5 Close_time</f>
        <v>0.45833333333333331</v>
      </c>
      <c r="D15" s="53"/>
      <c r="E15" s="41" t="str">
        <f>IF(ISBLANK(Control_5 Establishment_1),"",Control_5 Establishment_1)</f>
        <v>Food Store</v>
      </c>
      <c r="F15" s="42"/>
      <c r="G15" s="43"/>
      <c r="J15" s="55" t="s">
        <v>61</v>
      </c>
      <c r="K15" s="55"/>
      <c r="L15" s="59"/>
      <c r="M15" s="59"/>
      <c r="N15" s="59"/>
      <c r="O15" s="61"/>
      <c r="P15" s="61" t="s">
        <v>62</v>
      </c>
      <c r="Q15" s="61"/>
      <c r="R15" s="61"/>
      <c r="S15" s="59"/>
      <c r="T15" s="60"/>
    </row>
    <row r="16" spans="1:20" ht="36" customHeight="1">
      <c r="A16" s="45">
        <f>IF(ISBLANK(Distance Control_5),"",Control_5 Distance)</f>
        <v>165</v>
      </c>
      <c r="B16" s="46">
        <f>Control_5 Open_time</f>
        <v>0.20208333333333331</v>
      </c>
      <c r="C16" s="46">
        <f>Control_5 Close_time</f>
        <v>0.45833333333333331</v>
      </c>
      <c r="D16" s="41" t="str">
        <f>IF(ISBLANK(Locale Control_5),"",Locale Control_5)</f>
        <v>Fort Langley</v>
      </c>
      <c r="E16" s="41" t="str">
        <f>IF(ISBLANK(Control_5 Establishment_2),"",Control_5 Establishment_2)</f>
        <v/>
      </c>
      <c r="F16" s="42"/>
      <c r="G16" s="43"/>
      <c r="L16" s="62"/>
      <c r="M16" s="62"/>
      <c r="N16" s="62"/>
      <c r="O16" s="62"/>
      <c r="P16" s="62"/>
      <c r="Q16" s="62"/>
      <c r="R16" s="62"/>
      <c r="S16" s="62"/>
    </row>
    <row r="17" spans="1:21" ht="36" customHeight="1">
      <c r="A17" s="47"/>
      <c r="B17" s="48">
        <f>Control_5 Open_time</f>
        <v>0.20208333333333331</v>
      </c>
      <c r="C17" s="48">
        <f>Control_5 Close_time</f>
        <v>0.45833333333333331</v>
      </c>
      <c r="D17" s="49"/>
      <c r="E17" s="50" t="str">
        <f>IF(ISBLANK(Control_5 Establishment_3),"",Control_5 Establishment_3)</f>
        <v/>
      </c>
      <c r="F17" s="51"/>
      <c r="G17" s="52"/>
      <c r="J17" s="55" t="s">
        <v>63</v>
      </c>
      <c r="L17" s="59"/>
      <c r="M17" s="59"/>
      <c r="N17" s="59"/>
      <c r="O17" s="62"/>
      <c r="P17" s="61" t="s">
        <v>64</v>
      </c>
      <c r="Q17" s="59"/>
      <c r="R17" s="63"/>
      <c r="S17" s="63"/>
      <c r="T17" s="64"/>
    </row>
    <row r="18" spans="1:21" ht="36" customHeight="1">
      <c r="A18" s="38"/>
      <c r="B18" s="39">
        <f>Control_6 Open_time</f>
        <v>0.24652777777777779</v>
      </c>
      <c r="C18" s="39">
        <f>Control_6 Close_time</f>
        <v>0.5625</v>
      </c>
      <c r="D18" s="53"/>
      <c r="E18" s="41" t="str">
        <f>IF(ISBLANK(Control_6 Establishment_1),"",Control_6 Establishment_1)</f>
        <v>115-3010</v>
      </c>
      <c r="F18" s="42"/>
      <c r="G18" s="43"/>
      <c r="L18" s="62"/>
      <c r="M18" s="62"/>
      <c r="N18" s="62"/>
      <c r="O18" s="62"/>
      <c r="P18" s="62"/>
      <c r="Q18" s="62"/>
      <c r="R18" s="62"/>
      <c r="S18" s="62"/>
    </row>
    <row r="19" spans="1:21" ht="36" customHeight="1">
      <c r="A19" s="45">
        <f>IF(ISBLANK(Distance Control_6),"",Control_6 Distance)</f>
        <v>201.3</v>
      </c>
      <c r="B19" s="46">
        <f>Control_6 Open_time</f>
        <v>0.24652777777777779</v>
      </c>
      <c r="C19" s="46"/>
      <c r="D19" s="41" t="str">
        <f>IF(ISBLANK(Locale Control_6),"",Locale Control_6)</f>
        <v>Coquitlam</v>
      </c>
      <c r="E19" s="41" t="str">
        <f>IF(ISBLANK(Control_6 Establishment_2),"",Control_6 Establishment_2)</f>
        <v>Riverbend Dr</v>
      </c>
      <c r="F19" s="42"/>
      <c r="G19" s="43"/>
      <c r="L19" s="62"/>
      <c r="M19" s="62"/>
      <c r="N19" s="62"/>
      <c r="O19" s="62"/>
      <c r="P19" s="62"/>
      <c r="Q19" s="62"/>
      <c r="R19" s="62"/>
      <c r="S19" s="62"/>
    </row>
    <row r="20" spans="1:21" ht="36" customHeight="1">
      <c r="A20" s="47"/>
      <c r="B20" s="48"/>
      <c r="C20" s="48"/>
      <c r="D20" s="49"/>
      <c r="E20" s="50" t="s">
        <v>74</v>
      </c>
      <c r="F20" s="51"/>
      <c r="G20" s="52"/>
      <c r="J20" s="85" t="s">
        <v>65</v>
      </c>
      <c r="K20" s="85"/>
      <c r="L20" s="85"/>
      <c r="M20" s="85"/>
      <c r="N20" s="85"/>
      <c r="O20" s="85"/>
      <c r="P20" s="85"/>
      <c r="Q20" s="85"/>
      <c r="R20" s="85"/>
      <c r="S20" s="85"/>
      <c r="T20" s="85"/>
    </row>
    <row r="21" spans="1:21" ht="36" customHeight="1">
      <c r="A21" s="38"/>
      <c r="B21" s="39" t="str">
        <f>Control_7 Open_time</f>
        <v/>
      </c>
      <c r="C21" s="39" t="str">
        <f>Control_7 Close_time</f>
        <v/>
      </c>
      <c r="D21" s="53"/>
      <c r="E21" s="41" t="str">
        <f>IF(ISBLANK(Control_7 Establishment_1),"",Control_7 Establishment_1)</f>
        <v/>
      </c>
      <c r="F21" s="42"/>
      <c r="G21" s="43"/>
      <c r="L21" s="62"/>
      <c r="M21" s="62"/>
      <c r="N21" s="62"/>
      <c r="O21" s="62"/>
      <c r="P21" s="62"/>
      <c r="Q21" s="62"/>
      <c r="R21" s="62"/>
      <c r="S21" s="62"/>
    </row>
    <row r="22" spans="1:21" ht="36" customHeight="1">
      <c r="A22" s="45" t="str">
        <f>IF(ISBLANK(Distance Control_7),"",Control_7 Distance)</f>
        <v/>
      </c>
      <c r="B22" s="46" t="str">
        <f>Control_7 Open_time</f>
        <v/>
      </c>
      <c r="C22" s="46" t="str">
        <f>Control_7 Close_time</f>
        <v/>
      </c>
      <c r="D22" s="41" t="str">
        <f>IF(ISBLANK(Locale Control_7),"",Locale Control_7)</f>
        <v/>
      </c>
      <c r="E22" s="41" t="str">
        <f>IF(ISBLANK(Control_7 Establishment_2),"",Control_7 Establishment_2)</f>
        <v/>
      </c>
      <c r="F22" s="42"/>
      <c r="G22" s="43"/>
      <c r="J22" s="86" t="s">
        <v>66</v>
      </c>
      <c r="K22" s="86"/>
      <c r="L22" s="86"/>
      <c r="M22" s="86"/>
      <c r="N22" s="86"/>
      <c r="O22" s="86"/>
      <c r="P22" s="86"/>
      <c r="Q22" s="86"/>
      <c r="R22" s="86"/>
      <c r="S22" s="86"/>
      <c r="T22" s="86"/>
    </row>
    <row r="23" spans="1:21" ht="36" customHeight="1">
      <c r="A23" s="47"/>
      <c r="B23" s="48" t="str">
        <f>Control_7 Open_time</f>
        <v/>
      </c>
      <c r="C23" s="48" t="str">
        <f>Control_7 Close_time</f>
        <v/>
      </c>
      <c r="D23" s="49"/>
      <c r="E23" s="50" t="str">
        <f>IF(ISBLANK(Control_7 Establishment_3),"",Control_7 Establishment_3)</f>
        <v/>
      </c>
      <c r="F23" s="51"/>
      <c r="G23" s="52"/>
      <c r="J23" s="55" t="s">
        <v>67</v>
      </c>
      <c r="K23" s="80" t="str">
        <f>IF(ISBLANK(Start_date),"",Start_date)</f>
        <v/>
      </c>
      <c r="L23" s="80"/>
      <c r="M23" s="80"/>
      <c r="N23" s="62"/>
      <c r="O23" s="61" t="s">
        <v>68</v>
      </c>
      <c r="P23" s="62"/>
      <c r="Q23" s="63"/>
      <c r="R23" s="63"/>
      <c r="S23" s="63"/>
      <c r="T23" s="65"/>
    </row>
    <row r="24" spans="1:21" ht="36" customHeight="1">
      <c r="A24" s="38"/>
      <c r="B24" s="39" t="str">
        <f>Control_8 Open_time</f>
        <v/>
      </c>
      <c r="C24" s="39" t="str">
        <f>Control_8 Close_time</f>
        <v/>
      </c>
      <c r="D24" s="53"/>
      <c r="E24" s="41" t="str">
        <f>IF(ISBLANK(Control_8 Establishment_1),"",Control_8 Establishment_1)</f>
        <v/>
      </c>
      <c r="F24" s="42"/>
      <c r="G24" s="43"/>
      <c r="L24" s="62"/>
      <c r="M24" s="62"/>
      <c r="N24" s="62"/>
      <c r="O24" s="61" t="s">
        <v>69</v>
      </c>
      <c r="P24" s="62"/>
      <c r="Q24" s="63"/>
      <c r="R24" s="63"/>
      <c r="S24" s="63"/>
      <c r="T24" s="65"/>
    </row>
    <row r="25" spans="1:21" ht="36" customHeight="1">
      <c r="A25" s="45" t="str">
        <f>IF(ISBLANK(Distance Control_8),"",Control_8 Distance)</f>
        <v/>
      </c>
      <c r="B25" s="46" t="str">
        <f>Control_8 Open_time</f>
        <v/>
      </c>
      <c r="C25" s="46" t="str">
        <f>Control_8 Close_time</f>
        <v/>
      </c>
      <c r="D25" s="41" t="str">
        <f>IF(ISBLANK(Locale Control_8),"",Locale Control_8)</f>
        <v/>
      </c>
      <c r="E25" s="41" t="str">
        <f>IF(ISBLANK(Control_8 Establishment_2),"",Control_8 Establishment_2)</f>
        <v/>
      </c>
      <c r="F25" s="42"/>
      <c r="G25" s="43"/>
      <c r="J25" s="65"/>
      <c r="K25" s="65"/>
      <c r="L25" s="63"/>
      <c r="M25" s="63"/>
      <c r="N25" s="62"/>
      <c r="O25" s="61" t="s">
        <v>70</v>
      </c>
      <c r="P25" s="62"/>
      <c r="Q25" s="63"/>
      <c r="R25" s="63"/>
      <c r="S25" s="63"/>
      <c r="T25" s="65"/>
    </row>
    <row r="26" spans="1:21" ht="36" customHeight="1">
      <c r="A26" s="47"/>
      <c r="B26" s="48" t="str">
        <f>Control_8 Open_time</f>
        <v/>
      </c>
      <c r="C26" s="48" t="str">
        <f>Control_8 Close_time</f>
        <v/>
      </c>
      <c r="D26" s="49"/>
      <c r="E26" s="50" t="str">
        <f>IF(ISBLANK(Control_8 Establishment_3),"",Control_8 Establishment_3)</f>
        <v/>
      </c>
      <c r="F26" s="51"/>
      <c r="G26" s="52"/>
      <c r="J26" s="81" t="s">
        <v>71</v>
      </c>
      <c r="K26" s="81"/>
      <c r="L26" s="81"/>
      <c r="M26" s="81"/>
      <c r="N26" s="62"/>
      <c r="O26" s="62"/>
      <c r="P26" s="62"/>
      <c r="Q26" s="62"/>
      <c r="R26" s="62"/>
      <c r="S26" s="62"/>
    </row>
    <row r="27" spans="1:21" ht="36" customHeight="1">
      <c r="A27" s="38"/>
      <c r="B27" s="39" t="str">
        <f>Control_9 Open_time</f>
        <v/>
      </c>
      <c r="C27" s="39" t="str">
        <f>Control_9 Close_time</f>
        <v/>
      </c>
      <c r="D27" s="53"/>
      <c r="E27" s="41" t="str">
        <f>IF(ISBLANK(Control_9 Establishment_1),"",Control_9 Establishment_1)</f>
        <v/>
      </c>
      <c r="F27" s="42"/>
      <c r="G27" s="43"/>
      <c r="L27" s="82" t="s">
        <v>72</v>
      </c>
      <c r="M27" s="82"/>
      <c r="N27" s="82"/>
      <c r="O27" s="82"/>
      <c r="P27" s="82"/>
      <c r="Q27" s="82"/>
      <c r="R27" s="62"/>
      <c r="S27" s="62"/>
    </row>
    <row r="28" spans="1:21" ht="36" customHeight="1">
      <c r="A28" s="45" t="str">
        <f>IF(ISBLANK(Distance Control_9),"",Control_9 Distance)</f>
        <v/>
      </c>
      <c r="B28" s="46" t="str">
        <f>Control_9 Open_time</f>
        <v/>
      </c>
      <c r="C28" s="46" t="str">
        <f>Control_9 Close_time</f>
        <v/>
      </c>
      <c r="D28" s="41" t="str">
        <f>IF(ISBLANK(Locale Control_9),"",Locale Control_9)</f>
        <v/>
      </c>
      <c r="E28" s="41" t="str">
        <f>IF(ISBLANK(Control_9 Establishment_2),"",Control_9 Establishment_2)</f>
        <v/>
      </c>
      <c r="F28" s="42"/>
      <c r="G28" s="43"/>
      <c r="K28" s="66"/>
      <c r="L28" s="67"/>
      <c r="M28" s="67"/>
      <c r="N28" s="68"/>
      <c r="O28" s="69"/>
      <c r="P28" s="67"/>
      <c r="Q28" s="67"/>
      <c r="R28" s="68"/>
      <c r="S28" s="62"/>
    </row>
    <row r="29" spans="1:21" ht="36" customHeight="1">
      <c r="A29" s="47"/>
      <c r="B29" s="48" t="str">
        <f>Control_9 Open_time</f>
        <v/>
      </c>
      <c r="C29" s="48" t="str">
        <f>Control_9 Close_time</f>
        <v/>
      </c>
      <c r="D29" s="49"/>
      <c r="E29" s="50" t="str">
        <f>IF(ISBLANK(Control_9 Establishment_3),"",Control_9 Establishment_3)</f>
        <v/>
      </c>
      <c r="F29" s="51"/>
      <c r="G29" s="52"/>
      <c r="K29" s="70"/>
      <c r="L29" s="71"/>
      <c r="M29" s="71"/>
      <c r="N29" s="72"/>
      <c r="O29" s="73"/>
      <c r="P29" s="71"/>
      <c r="Q29" s="71"/>
      <c r="R29" s="72"/>
      <c r="S29" s="62"/>
    </row>
    <row r="30" spans="1:21" ht="36" customHeight="1">
      <c r="A30" s="38"/>
      <c r="B30" s="39" t="str">
        <f>Control_10 Open_time</f>
        <v/>
      </c>
      <c r="C30" s="39" t="str">
        <f>Control_10 Close_time</f>
        <v/>
      </c>
      <c r="D30" s="53"/>
      <c r="E30" s="41" t="str">
        <f>IF(ISBLANK(Control_10 Establishment_1),"",Control_10 Establishment_1)</f>
        <v/>
      </c>
      <c r="F30" s="42"/>
      <c r="G30" s="43"/>
      <c r="K30" s="74"/>
      <c r="L30" s="63"/>
      <c r="M30" s="63"/>
      <c r="N30" s="75"/>
      <c r="O30" s="76"/>
      <c r="P30" s="63"/>
      <c r="Q30" s="63"/>
      <c r="R30" s="75"/>
      <c r="S30" s="62"/>
    </row>
    <row r="31" spans="1:21" ht="36" customHeight="1">
      <c r="A31" s="45" t="str">
        <f>IF(ISBLANK(Distance Control_10),"",Control_10 Distance)</f>
        <v/>
      </c>
      <c r="B31" s="46" t="str">
        <f>Control_10 Open_time</f>
        <v/>
      </c>
      <c r="C31" s="46" t="str">
        <f>Control_10 Close_time</f>
        <v/>
      </c>
      <c r="D31" s="41" t="str">
        <f>IF(ISBLANK(Locale Control_10),"",Locale Control_10)</f>
        <v/>
      </c>
      <c r="E31" s="41" t="str">
        <f>IF(ISBLANK(Control_10 Establishment_2),"",Control_10 Establishment_2)</f>
        <v/>
      </c>
      <c r="F31" s="42"/>
      <c r="G31" s="43"/>
      <c r="L31" s="61" t="s">
        <v>73</v>
      </c>
      <c r="M31" s="62"/>
      <c r="N31" s="59" t="str">
        <f>IF(ISBLANK(Brevet_Number),"",Brevet_Number)</f>
        <v>150</v>
      </c>
      <c r="O31" s="59"/>
      <c r="P31" s="59"/>
      <c r="Q31" s="62"/>
      <c r="R31" s="62"/>
      <c r="S31" s="62"/>
      <c r="U31" s="77"/>
    </row>
    <row r="32" spans="1:21" ht="36" customHeight="1" thickBot="1">
      <c r="A32" s="47"/>
      <c r="B32" s="48" t="str">
        <f>Control_10 Open_time</f>
        <v/>
      </c>
      <c r="C32" s="48" t="str">
        <f>Control_10 Close_time</f>
        <v/>
      </c>
      <c r="D32" s="49"/>
      <c r="E32" s="50" t="str">
        <f>IF(ISBLANK(Control_10 Establishment_3),"",Control_10 Establishment_3)</f>
        <v/>
      </c>
      <c r="F32" s="51"/>
      <c r="G32" s="52"/>
      <c r="U32" s="77"/>
    </row>
    <row r="33" spans="1:20" ht="36" customHeight="1">
      <c r="A33" s="38"/>
      <c r="B33" s="39">
        <f>Control_1 Open_time</f>
        <v>0</v>
      </c>
      <c r="C33" s="39">
        <f>Control_1 Close_time</f>
        <v>4.1666666666666664E-2</v>
      </c>
      <c r="D33" s="40"/>
      <c r="E33" s="41" t="str">
        <f>IF(ISBLANK(Control_1 Establishment_1),"",Control_1 Establishment_1)</f>
        <v>115-3010</v>
      </c>
      <c r="F33" s="42"/>
      <c r="G33" s="43"/>
      <c r="K33" s="44"/>
      <c r="N33" s="37"/>
    </row>
    <row r="34" spans="1:20" ht="36" customHeight="1">
      <c r="A34" s="45">
        <f>IF(ISBLANK(Distance Control_1),"",Control_1 Distance)</f>
        <v>0</v>
      </c>
      <c r="B34" s="46">
        <f>Control_1 Open_time</f>
        <v>0</v>
      </c>
      <c r="C34" s="46">
        <f>Control_1 Close_time</f>
        <v>4.1666666666666664E-2</v>
      </c>
      <c r="D34" s="41" t="str">
        <f>IF(ISBLANK(Locale Control_1),"",Locale Control_1)</f>
        <v>Coquitlam</v>
      </c>
      <c r="E34" s="41" t="str">
        <f>IF(ISBLANK(Control_1 Establishment_2),"",Control_1 Establishment_2)</f>
        <v>Riverbend Dr</v>
      </c>
      <c r="F34" s="42"/>
      <c r="G34" s="43"/>
      <c r="K34" s="44"/>
      <c r="N34" s="37"/>
    </row>
    <row r="35" spans="1:20" ht="36" customHeight="1" thickBot="1">
      <c r="A35" s="47"/>
      <c r="B35" s="48">
        <f>Control_1 Open_time</f>
        <v>0</v>
      </c>
      <c r="C35" s="48">
        <f>Control_1 Close_time</f>
        <v>4.1666666666666664E-2</v>
      </c>
      <c r="D35" s="49"/>
      <c r="E35" s="50" t="str">
        <f>IF(ISBLANK(Control_1 Establishment_3),"",Control_1 Establishment_3)</f>
        <v/>
      </c>
      <c r="F35" s="51"/>
      <c r="G35" s="52"/>
      <c r="K35" s="44"/>
    </row>
    <row r="36" spans="1:20" ht="36" customHeight="1">
      <c r="A36" s="38"/>
      <c r="B36" s="39">
        <f>Control_2 Open_time</f>
        <v>2.9861111111111113E-2</v>
      </c>
      <c r="C36" s="39">
        <f>Control_2 Close_time</f>
        <v>6.7361111111111108E-2</v>
      </c>
      <c r="D36" s="53"/>
      <c r="E36" s="41" t="str">
        <f>IF(ISBLANK(Control_2 Establishment_1),"",Control_2 Establishment_1)</f>
        <v>Info control</v>
      </c>
      <c r="F36" s="42"/>
      <c r="G36" s="43"/>
      <c r="K36" s="44"/>
    </row>
    <row r="37" spans="1:20" ht="36" customHeight="1">
      <c r="A37" s="45">
        <f>IF(ISBLANK(Distance Control_2),"",Control_2 Distance)</f>
        <v>24.3</v>
      </c>
      <c r="B37" s="46">
        <f>Control_2 Open_time</f>
        <v>2.9861111111111113E-2</v>
      </c>
      <c r="C37" s="46">
        <f>Control_2 Close_time</f>
        <v>6.7361111111111108E-2</v>
      </c>
      <c r="D37" s="41" t="str">
        <f>IF(ISBLANK(Locale Control_2),"",Locale Control_2)</f>
        <v>Pitt Lake</v>
      </c>
      <c r="E37" s="41" t="str">
        <f>IF(ISBLANK(Control_2 Establishment_2),"",Control_2 Establishment_2)</f>
        <v/>
      </c>
      <c r="F37" s="42"/>
      <c r="G37" s="43"/>
      <c r="K37" s="44"/>
    </row>
    <row r="38" spans="1:20" ht="36" customHeight="1" thickBot="1">
      <c r="A38" s="47"/>
      <c r="B38" s="48">
        <f>Control_2 Open_time</f>
        <v>2.9861111111111113E-2</v>
      </c>
      <c r="C38" s="48">
        <f>Control_2 Close_time</f>
        <v>6.7361111111111108E-2</v>
      </c>
      <c r="D38" s="49"/>
      <c r="E38" s="50" t="str">
        <f>IF(ISBLANK(Control_2 Establishment_3),"",Control_2 Establishment_3)</f>
        <v/>
      </c>
      <c r="F38" s="51"/>
      <c r="G38" s="52"/>
      <c r="K38" s="54"/>
      <c r="L38" s="54"/>
      <c r="M38" s="54"/>
      <c r="N38" s="54"/>
      <c r="O38" s="54"/>
      <c r="P38" s="54"/>
      <c r="Q38" s="54"/>
      <c r="R38" s="54"/>
      <c r="S38" s="54"/>
      <c r="T38" s="54"/>
    </row>
    <row r="39" spans="1:20" ht="36" customHeight="1">
      <c r="A39" s="38"/>
      <c r="B39" s="39">
        <f>Control_3 Open_time</f>
        <v>0.11527777777777777</v>
      </c>
      <c r="C39" s="39">
        <f>Control_3 Close_time</f>
        <v>0.26041666666666669</v>
      </c>
      <c r="D39" s="53"/>
      <c r="E39" s="41" t="str">
        <f>IF(ISBLANK(Control_3 Establishment_1),"",Control_3 Establishment_1)</f>
        <v>Arrivals</v>
      </c>
      <c r="F39" s="42"/>
      <c r="G39" s="43"/>
      <c r="J39" s="83" t="s">
        <v>56</v>
      </c>
      <c r="K39" s="83"/>
      <c r="L39" s="83"/>
      <c r="M39" s="83"/>
      <c r="N39" s="83"/>
      <c r="O39" s="83"/>
      <c r="P39" s="83"/>
      <c r="Q39" s="83"/>
      <c r="R39" s="83"/>
      <c r="S39" s="83"/>
    </row>
    <row r="40" spans="1:20" ht="36" customHeight="1">
      <c r="A40" s="45">
        <f>IF(ISBLANK(Distance Control_3),"",Control_3 Distance)</f>
        <v>93.8</v>
      </c>
      <c r="B40" s="46">
        <f>Control_3 Open_time</f>
        <v>0.11527777777777777</v>
      </c>
      <c r="C40" s="46">
        <f>Control_3 Close_time</f>
        <v>0.26041666666666669</v>
      </c>
      <c r="D40" s="41" t="str">
        <f>IF(ISBLANK(Locale Control_3),"",Locale Control_3)</f>
        <v>Ferry Terminal</v>
      </c>
      <c r="E40" s="41" t="str">
        <f>IF(ISBLANK(Control_3 Establishment_2),"",Control_3 Establishment_2)</f>
        <v/>
      </c>
      <c r="F40" s="42"/>
      <c r="G40" s="43"/>
      <c r="J40" s="84" t="str">
        <f>IF(ISBLANK(Brevet_Description),"",Brevet_Description)</f>
        <v>Pitt Ferry Fort Permanent #150</v>
      </c>
      <c r="K40" s="84"/>
      <c r="L40" s="84"/>
      <c r="M40" s="84"/>
      <c r="N40" s="84"/>
      <c r="O40" s="84"/>
      <c r="P40" s="84"/>
      <c r="Q40" s="84"/>
      <c r="R40" s="84"/>
      <c r="S40" s="84"/>
      <c r="T40" s="84"/>
    </row>
    <row r="41" spans="1:20" ht="36" customHeight="1" thickBot="1">
      <c r="A41" s="47"/>
      <c r="B41" s="48">
        <f>Control_3 Open_time</f>
        <v>0.11527777777777777</v>
      </c>
      <c r="C41" s="48">
        <f>Control_3 Close_time</f>
        <v>0.26041666666666669</v>
      </c>
      <c r="D41" s="49"/>
      <c r="E41" s="50" t="str">
        <f>IF(ISBLANK(Control_3 Establishment_3),"",Control_3 Establishment_3)</f>
        <v/>
      </c>
      <c r="F41" s="51"/>
      <c r="G41" s="52"/>
      <c r="J41" s="55" t="s">
        <v>57</v>
      </c>
      <c r="L41" s="56"/>
      <c r="M41" s="57"/>
      <c r="N41" s="57"/>
      <c r="O41" s="57"/>
      <c r="P41" s="57"/>
      <c r="Q41" s="57"/>
      <c r="R41" s="57"/>
      <c r="S41" s="57"/>
      <c r="T41" s="58"/>
    </row>
    <row r="42" spans="1:20" ht="36" customHeight="1" thickBot="1">
      <c r="A42" s="38"/>
      <c r="B42" s="39">
        <f>Control_4 Open_time</f>
        <v>0.15277777777777776</v>
      </c>
      <c r="C42" s="39">
        <f>Control_4 Close_time</f>
        <v>0.34583333333333338</v>
      </c>
      <c r="D42" s="53"/>
      <c r="E42" s="41" t="str">
        <f>IF(ISBLANK(Control_4 Establishment_1),"",Control_4 Establishment_1)</f>
        <v/>
      </c>
      <c r="F42" s="42"/>
      <c r="G42" s="43"/>
      <c r="J42" s="55" t="s">
        <v>58</v>
      </c>
      <c r="K42" s="55"/>
      <c r="L42" s="59"/>
      <c r="M42" s="59"/>
      <c r="N42" s="59"/>
      <c r="O42" s="59"/>
      <c r="P42" s="59"/>
      <c r="Q42" s="59"/>
      <c r="R42" s="59"/>
      <c r="S42" s="59"/>
      <c r="T42" s="60"/>
    </row>
    <row r="43" spans="1:20" ht="36" customHeight="1" thickBot="1">
      <c r="A43" s="45">
        <f>IF(ISBLANK(Distance Control_4),"",Control_4 Distance)</f>
        <v>124.6</v>
      </c>
      <c r="B43" s="46">
        <f>Control_4 Open_time</f>
        <v>0.15277777777777776</v>
      </c>
      <c r="C43" s="46">
        <f>Control_4 Close_time</f>
        <v>0.34583333333333338</v>
      </c>
      <c r="D43" s="41" t="str">
        <f>IF(ISBLANK(Locale Control_4),"",Locale Control_4)</f>
        <v>Tim Hortons</v>
      </c>
      <c r="E43" s="41" t="str">
        <f>IF(ISBLANK(Control_4 Establishment_2),"",Control_4 Establishment_2)</f>
        <v/>
      </c>
      <c r="F43" s="42"/>
      <c r="G43" s="43"/>
      <c r="J43" s="55"/>
      <c r="K43" s="55"/>
      <c r="L43" s="59"/>
      <c r="M43" s="59"/>
      <c r="N43" s="59"/>
      <c r="O43" s="59"/>
      <c r="P43" s="59"/>
      <c r="Q43" s="59"/>
      <c r="R43" s="59"/>
      <c r="S43" s="59"/>
      <c r="T43" s="60"/>
    </row>
    <row r="44" spans="1:20" ht="36" customHeight="1" thickBot="1">
      <c r="A44" s="47"/>
      <c r="B44" s="48">
        <f>Control_4 Open_time</f>
        <v>0.15277777777777776</v>
      </c>
      <c r="C44" s="48">
        <f>Control_4 Close_time</f>
        <v>0.34583333333333338</v>
      </c>
      <c r="D44" s="49"/>
      <c r="E44" s="50" t="str">
        <f>IF(ISBLANK(Control_4 Establishment_3),"",Control_4 Establishment_3)</f>
        <v/>
      </c>
      <c r="F44" s="51"/>
      <c r="G44" s="52"/>
      <c r="J44" s="55" t="s">
        <v>59</v>
      </c>
      <c r="K44" s="55"/>
      <c r="L44" s="59"/>
      <c r="M44" s="59"/>
      <c r="N44" s="59"/>
      <c r="O44" s="61"/>
      <c r="P44" s="61" t="s">
        <v>60</v>
      </c>
      <c r="Q44" s="61"/>
      <c r="R44" s="61"/>
      <c r="S44" s="59"/>
      <c r="T44" s="60"/>
    </row>
    <row r="45" spans="1:20" ht="36" customHeight="1" thickBot="1">
      <c r="A45" s="38"/>
      <c r="B45" s="39">
        <f>Control_5 Open_time</f>
        <v>0.20208333333333331</v>
      </c>
      <c r="C45" s="39">
        <f>Control_5 Close_time</f>
        <v>0.45833333333333331</v>
      </c>
      <c r="D45" s="53"/>
      <c r="E45" s="41" t="str">
        <f>IF(ISBLANK(Control_5 Establishment_1),"",Control_5 Establishment_1)</f>
        <v>Food Store</v>
      </c>
      <c r="F45" s="42"/>
      <c r="G45" s="43"/>
      <c r="J45" s="55" t="s">
        <v>61</v>
      </c>
      <c r="K45" s="55"/>
      <c r="L45" s="59"/>
      <c r="M45" s="59"/>
      <c r="N45" s="59"/>
      <c r="O45" s="61"/>
      <c r="P45" s="61" t="s">
        <v>62</v>
      </c>
      <c r="Q45" s="61"/>
      <c r="R45" s="61"/>
      <c r="S45" s="59"/>
      <c r="T45" s="60"/>
    </row>
    <row r="46" spans="1:20" ht="36" customHeight="1">
      <c r="A46" s="45">
        <f>IF(ISBLANK(Distance Control_5),"",Control_5 Distance)</f>
        <v>165</v>
      </c>
      <c r="B46" s="46">
        <f>Control_5 Open_time</f>
        <v>0.20208333333333331</v>
      </c>
      <c r="C46" s="46">
        <f>Control_5 Close_time</f>
        <v>0.45833333333333331</v>
      </c>
      <c r="D46" s="41" t="str">
        <f>IF(ISBLANK(Locale Control_5),"",Locale Control_5)</f>
        <v>Fort Langley</v>
      </c>
      <c r="E46" s="41" t="str">
        <f>IF(ISBLANK(Control_5 Establishment_2),"",Control_5 Establishment_2)</f>
        <v/>
      </c>
      <c r="F46" s="42"/>
      <c r="G46" s="43"/>
      <c r="L46" s="62"/>
      <c r="M46" s="62"/>
      <c r="N46" s="62"/>
      <c r="O46" s="62"/>
      <c r="P46" s="62"/>
      <c r="Q46" s="62"/>
      <c r="R46" s="62"/>
      <c r="S46" s="62"/>
    </row>
    <row r="47" spans="1:20" ht="36" customHeight="1" thickBot="1">
      <c r="A47" s="47"/>
      <c r="B47" s="48">
        <f>Control_5 Open_time</f>
        <v>0.20208333333333331</v>
      </c>
      <c r="C47" s="48">
        <f>Control_5 Close_time</f>
        <v>0.45833333333333331</v>
      </c>
      <c r="D47" s="49"/>
      <c r="E47" s="50" t="str">
        <f>IF(ISBLANK(Control_5 Establishment_3),"",Control_5 Establishment_3)</f>
        <v/>
      </c>
      <c r="F47" s="51"/>
      <c r="G47" s="52"/>
      <c r="J47" s="55" t="s">
        <v>63</v>
      </c>
      <c r="L47" s="59"/>
      <c r="M47" s="59"/>
      <c r="N47" s="59"/>
      <c r="O47" s="62"/>
      <c r="P47" s="61" t="s">
        <v>64</v>
      </c>
      <c r="Q47" s="59"/>
      <c r="R47" s="63"/>
      <c r="S47" s="63"/>
      <c r="T47" s="64"/>
    </row>
    <row r="48" spans="1:20" ht="36" customHeight="1">
      <c r="A48" s="38"/>
      <c r="B48" s="39">
        <f>Control_6 Open_time</f>
        <v>0.24652777777777779</v>
      </c>
      <c r="C48" s="39">
        <f>Control_6 Close_time</f>
        <v>0.5625</v>
      </c>
      <c r="D48" s="53"/>
      <c r="E48" s="41" t="str">
        <f>IF(ISBLANK(Control_6 Establishment_1),"",Control_6 Establishment_1)</f>
        <v>115-3010</v>
      </c>
      <c r="F48" s="42"/>
      <c r="G48" s="43"/>
      <c r="L48" s="62"/>
      <c r="M48" s="62"/>
      <c r="N48" s="62"/>
      <c r="O48" s="62"/>
      <c r="P48" s="62"/>
      <c r="Q48" s="62"/>
      <c r="R48" s="62"/>
      <c r="S48" s="62"/>
    </row>
    <row r="49" spans="1:21" ht="36" customHeight="1">
      <c r="A49" s="45">
        <f>IF(ISBLANK(Distance Control_6),"",Control_6 Distance)</f>
        <v>201.3</v>
      </c>
      <c r="B49" s="46">
        <f>Control_6 Open_time</f>
        <v>0.24652777777777779</v>
      </c>
      <c r="C49" s="46"/>
      <c r="D49" s="41" t="str">
        <f>IF(ISBLANK(Locale Control_6),"",Locale Control_6)</f>
        <v>Coquitlam</v>
      </c>
      <c r="E49" s="41" t="str">
        <f>IF(ISBLANK(Control_6 Establishment_2),"",Control_6 Establishment_2)</f>
        <v>Riverbend Dr</v>
      </c>
      <c r="F49" s="42"/>
      <c r="G49" s="43"/>
      <c r="L49" s="62"/>
      <c r="M49" s="62"/>
      <c r="N49" s="62"/>
      <c r="O49" s="62"/>
      <c r="P49" s="62"/>
      <c r="Q49" s="62"/>
      <c r="R49" s="62"/>
      <c r="S49" s="62"/>
    </row>
    <row r="50" spans="1:21" ht="36" customHeight="1" thickBot="1">
      <c r="A50" s="47"/>
      <c r="B50" s="48"/>
      <c r="C50" s="48"/>
      <c r="D50" s="49"/>
      <c r="E50" s="50" t="s">
        <v>74</v>
      </c>
      <c r="F50" s="51"/>
      <c r="G50" s="52"/>
      <c r="J50" s="85" t="s">
        <v>65</v>
      </c>
      <c r="K50" s="85"/>
      <c r="L50" s="85"/>
      <c r="M50" s="85"/>
      <c r="N50" s="85"/>
      <c r="O50" s="85"/>
      <c r="P50" s="85"/>
      <c r="Q50" s="85"/>
      <c r="R50" s="85"/>
      <c r="S50" s="85"/>
      <c r="T50" s="85"/>
    </row>
    <row r="51" spans="1:21" ht="36" customHeight="1">
      <c r="A51" s="38"/>
      <c r="B51" s="39" t="str">
        <f>Control_7 Open_time</f>
        <v/>
      </c>
      <c r="C51" s="39" t="str">
        <f>Control_7 Close_time</f>
        <v/>
      </c>
      <c r="D51" s="53"/>
      <c r="E51" s="41" t="str">
        <f>IF(ISBLANK(Control_7 Establishment_1),"",Control_7 Establishment_1)</f>
        <v/>
      </c>
      <c r="F51" s="42"/>
      <c r="G51" s="43"/>
      <c r="L51" s="62"/>
      <c r="M51" s="62"/>
      <c r="N51" s="62"/>
      <c r="O51" s="62"/>
      <c r="P51" s="62"/>
      <c r="Q51" s="62"/>
      <c r="R51" s="62"/>
      <c r="S51" s="62"/>
    </row>
    <row r="52" spans="1:21" ht="36" customHeight="1">
      <c r="A52" s="45" t="str">
        <f>IF(ISBLANK(Distance Control_7),"",Control_7 Distance)</f>
        <v/>
      </c>
      <c r="B52" s="46" t="str">
        <f>Control_7 Open_time</f>
        <v/>
      </c>
      <c r="C52" s="46" t="str">
        <f>Control_7 Close_time</f>
        <v/>
      </c>
      <c r="D52" s="41" t="str">
        <f>IF(ISBLANK(Locale Control_7),"",Locale Control_7)</f>
        <v/>
      </c>
      <c r="E52" s="41" t="str">
        <f>IF(ISBLANK(Control_7 Establishment_2),"",Control_7 Establishment_2)</f>
        <v/>
      </c>
      <c r="F52" s="42"/>
      <c r="G52" s="43"/>
      <c r="J52" s="86" t="s">
        <v>66</v>
      </c>
      <c r="K52" s="86"/>
      <c r="L52" s="86"/>
      <c r="M52" s="86"/>
      <c r="N52" s="86"/>
      <c r="O52" s="86"/>
      <c r="P52" s="86"/>
      <c r="Q52" s="86"/>
      <c r="R52" s="86"/>
      <c r="S52" s="86"/>
      <c r="T52" s="86"/>
    </row>
    <row r="53" spans="1:21" ht="36" customHeight="1" thickBot="1">
      <c r="A53" s="47"/>
      <c r="B53" s="48" t="str">
        <f>Control_7 Open_time</f>
        <v/>
      </c>
      <c r="C53" s="48" t="str">
        <f>Control_7 Close_time</f>
        <v/>
      </c>
      <c r="D53" s="49"/>
      <c r="E53" s="50" t="str">
        <f>IF(ISBLANK(Control_7 Establishment_3),"",Control_7 Establishment_3)</f>
        <v/>
      </c>
      <c r="F53" s="51"/>
      <c r="G53" s="52"/>
      <c r="J53" s="55" t="s">
        <v>67</v>
      </c>
      <c r="K53" s="80" t="str">
        <f>IF(ISBLANK(Start_date),"",Start_date)</f>
        <v/>
      </c>
      <c r="L53" s="80"/>
      <c r="M53" s="80"/>
      <c r="N53" s="62"/>
      <c r="O53" s="61" t="s">
        <v>68</v>
      </c>
      <c r="P53" s="62"/>
      <c r="Q53" s="63"/>
      <c r="R53" s="63"/>
      <c r="S53" s="63"/>
      <c r="T53" s="65"/>
    </row>
    <row r="54" spans="1:21" ht="36" customHeight="1" thickBot="1">
      <c r="A54" s="38"/>
      <c r="B54" s="39" t="str">
        <f>Control_8 Open_time</f>
        <v/>
      </c>
      <c r="C54" s="39" t="str">
        <f>Control_8 Close_time</f>
        <v/>
      </c>
      <c r="D54" s="53"/>
      <c r="E54" s="41" t="str">
        <f>IF(ISBLANK(Control_8 Establishment_1),"",Control_8 Establishment_1)</f>
        <v/>
      </c>
      <c r="F54" s="42"/>
      <c r="G54" s="43"/>
      <c r="L54" s="62"/>
      <c r="M54" s="62"/>
      <c r="N54" s="62"/>
      <c r="O54" s="61" t="s">
        <v>69</v>
      </c>
      <c r="P54" s="62"/>
      <c r="Q54" s="63"/>
      <c r="R54" s="63"/>
      <c r="S54" s="63"/>
      <c r="T54" s="65"/>
    </row>
    <row r="55" spans="1:21" ht="36" customHeight="1" thickBot="1">
      <c r="A55" s="45" t="str">
        <f>IF(ISBLANK(Distance Control_8),"",Control_8 Distance)</f>
        <v/>
      </c>
      <c r="B55" s="46" t="str">
        <f>Control_8 Open_time</f>
        <v/>
      </c>
      <c r="C55" s="46" t="str">
        <f>Control_8 Close_time</f>
        <v/>
      </c>
      <c r="D55" s="41" t="str">
        <f>IF(ISBLANK(Locale Control_8),"",Locale Control_8)</f>
        <v/>
      </c>
      <c r="E55" s="41" t="str">
        <f>IF(ISBLANK(Control_8 Establishment_2),"",Control_8 Establishment_2)</f>
        <v/>
      </c>
      <c r="F55" s="42"/>
      <c r="G55" s="43"/>
      <c r="J55" s="65"/>
      <c r="K55" s="65"/>
      <c r="L55" s="63"/>
      <c r="M55" s="63"/>
      <c r="N55" s="62"/>
      <c r="O55" s="61" t="s">
        <v>70</v>
      </c>
      <c r="P55" s="62"/>
      <c r="Q55" s="63"/>
      <c r="R55" s="63"/>
      <c r="S55" s="63"/>
      <c r="T55" s="65"/>
    </row>
    <row r="56" spans="1:21" ht="36" customHeight="1" thickBot="1">
      <c r="A56" s="47"/>
      <c r="B56" s="48" t="str">
        <f>Control_8 Open_time</f>
        <v/>
      </c>
      <c r="C56" s="48" t="str">
        <f>Control_8 Close_time</f>
        <v/>
      </c>
      <c r="D56" s="49"/>
      <c r="E56" s="50" t="str">
        <f>IF(ISBLANK(Control_8 Establishment_3),"",Control_8 Establishment_3)</f>
        <v/>
      </c>
      <c r="F56" s="51"/>
      <c r="G56" s="52"/>
      <c r="J56" s="81" t="s">
        <v>71</v>
      </c>
      <c r="K56" s="81"/>
      <c r="L56" s="81"/>
      <c r="M56" s="81"/>
      <c r="N56" s="62"/>
      <c r="O56" s="62"/>
      <c r="P56" s="62"/>
      <c r="Q56" s="62"/>
      <c r="R56" s="62"/>
      <c r="S56" s="62"/>
    </row>
    <row r="57" spans="1:21" ht="36" customHeight="1" thickBot="1">
      <c r="A57" s="38"/>
      <c r="B57" s="39" t="str">
        <f>Control_9 Open_time</f>
        <v/>
      </c>
      <c r="C57" s="39" t="str">
        <f>Control_9 Close_time</f>
        <v/>
      </c>
      <c r="D57" s="53"/>
      <c r="E57" s="41" t="str">
        <f>IF(ISBLANK(Control_9 Establishment_1),"",Control_9 Establishment_1)</f>
        <v/>
      </c>
      <c r="F57" s="42"/>
      <c r="G57" s="43"/>
      <c r="L57" s="82" t="s">
        <v>72</v>
      </c>
      <c r="M57" s="82"/>
      <c r="N57" s="82"/>
      <c r="O57" s="82"/>
      <c r="P57" s="82"/>
      <c r="Q57" s="82"/>
      <c r="R57" s="62"/>
      <c r="S57" s="62"/>
    </row>
    <row r="58" spans="1:21" ht="36" customHeight="1">
      <c r="A58" s="45" t="str">
        <f>IF(ISBLANK(Distance Control_9),"",Control_9 Distance)</f>
        <v/>
      </c>
      <c r="B58" s="46" t="str">
        <f>Control_9 Open_time</f>
        <v/>
      </c>
      <c r="C58" s="46" t="str">
        <f>Control_9 Close_time</f>
        <v/>
      </c>
      <c r="D58" s="41" t="str">
        <f>IF(ISBLANK(Locale Control_9),"",Locale Control_9)</f>
        <v/>
      </c>
      <c r="E58" s="41" t="str">
        <f>IF(ISBLANK(Control_9 Establishment_2),"",Control_9 Establishment_2)</f>
        <v/>
      </c>
      <c r="F58" s="42"/>
      <c r="G58" s="43"/>
      <c r="K58" s="66"/>
      <c r="L58" s="67"/>
      <c r="M58" s="67"/>
      <c r="N58" s="68"/>
      <c r="O58" s="69"/>
      <c r="P58" s="67"/>
      <c r="Q58" s="67"/>
      <c r="R58" s="68"/>
      <c r="S58" s="62"/>
    </row>
    <row r="59" spans="1:21" ht="36" customHeight="1" thickBot="1">
      <c r="A59" s="47"/>
      <c r="B59" s="48" t="str">
        <f>Control_9 Open_time</f>
        <v/>
      </c>
      <c r="C59" s="48" t="str">
        <f>Control_9 Close_time</f>
        <v/>
      </c>
      <c r="D59" s="49"/>
      <c r="E59" s="50" t="str">
        <f>IF(ISBLANK(Control_9 Establishment_3),"",Control_9 Establishment_3)</f>
        <v/>
      </c>
      <c r="F59" s="51"/>
      <c r="G59" s="52"/>
      <c r="K59" s="70"/>
      <c r="L59" s="71"/>
      <c r="M59" s="71"/>
      <c r="N59" s="72"/>
      <c r="O59" s="73"/>
      <c r="P59" s="71"/>
      <c r="Q59" s="71"/>
      <c r="R59" s="72"/>
      <c r="S59" s="62"/>
    </row>
    <row r="60" spans="1:21" ht="36" customHeight="1" thickBot="1">
      <c r="A60" s="38"/>
      <c r="B60" s="39" t="str">
        <f>Control_10 Open_time</f>
        <v/>
      </c>
      <c r="C60" s="39" t="str">
        <f>Control_10 Close_time</f>
        <v/>
      </c>
      <c r="D60" s="53"/>
      <c r="E60" s="41" t="str">
        <f>IF(ISBLANK(Control_10 Establishment_1),"",Control_10 Establishment_1)</f>
        <v/>
      </c>
      <c r="F60" s="42"/>
      <c r="G60" s="43"/>
      <c r="K60" s="74"/>
      <c r="L60" s="63"/>
      <c r="M60" s="63"/>
      <c r="N60" s="75"/>
      <c r="O60" s="76"/>
      <c r="P60" s="63"/>
      <c r="Q60" s="63"/>
      <c r="R60" s="75"/>
      <c r="S60" s="62"/>
    </row>
    <row r="61" spans="1:21" ht="36" customHeight="1" thickBot="1">
      <c r="A61" s="45" t="str">
        <f>IF(ISBLANK(Distance Control_10),"",Control_10 Distance)</f>
        <v/>
      </c>
      <c r="B61" s="46" t="str">
        <f>Control_10 Open_time</f>
        <v/>
      </c>
      <c r="C61" s="46" t="str">
        <f>Control_10 Close_time</f>
        <v/>
      </c>
      <c r="D61" s="41" t="str">
        <f>IF(ISBLANK(Locale Control_10),"",Locale Control_10)</f>
        <v/>
      </c>
      <c r="E61" s="41" t="str">
        <f>IF(ISBLANK(Control_10 Establishment_2),"",Control_10 Establishment_2)</f>
        <v/>
      </c>
      <c r="F61" s="42"/>
      <c r="G61" s="43"/>
      <c r="L61" s="61" t="s">
        <v>73</v>
      </c>
      <c r="M61" s="62"/>
      <c r="N61" s="59" t="str">
        <f>IF(ISBLANK(Brevet_Number),"",Brevet_Number)</f>
        <v>150</v>
      </c>
      <c r="O61" s="59"/>
      <c r="P61" s="59"/>
      <c r="Q61" s="62"/>
      <c r="R61" s="62"/>
      <c r="S61" s="62"/>
      <c r="U61" s="77"/>
    </row>
    <row r="62" spans="1:21" ht="36" customHeight="1" thickBot="1">
      <c r="A62" s="47"/>
      <c r="B62" s="48" t="str">
        <f>Control_10 Open_time</f>
        <v/>
      </c>
      <c r="C62" s="48" t="str">
        <f>Control_10 Close_time</f>
        <v/>
      </c>
      <c r="D62" s="49"/>
      <c r="E62" s="50" t="str">
        <f>IF(ISBLANK(Control_10 Establishment_3),"",Control_10 Establishment_3)</f>
        <v/>
      </c>
      <c r="F62" s="51"/>
      <c r="G62" s="52"/>
      <c r="U62" s="77"/>
    </row>
    <row r="63" spans="1:21">
      <c r="A63"/>
    </row>
    <row r="64" spans="1:21">
      <c r="A64"/>
    </row>
    <row r="65" spans="1:5">
      <c r="A65"/>
    </row>
    <row r="66" spans="1:5">
      <c r="A66"/>
    </row>
    <row r="67" spans="1:5">
      <c r="A67"/>
    </row>
    <row r="68" spans="1:5">
      <c r="A68"/>
    </row>
    <row r="69" spans="1:5">
      <c r="A69"/>
    </row>
    <row r="70" spans="1:5">
      <c r="A70"/>
    </row>
    <row r="71" spans="1:5">
      <c r="A71"/>
    </row>
    <row r="72" spans="1:5">
      <c r="A72"/>
    </row>
    <row r="73" spans="1:5">
      <c r="A73"/>
      <c r="D73" s="78"/>
      <c r="E73" s="78"/>
    </row>
    <row r="74" spans="1:5">
      <c r="A74"/>
      <c r="D74" s="78"/>
      <c r="E74" s="78"/>
    </row>
    <row r="75" spans="1:5">
      <c r="A75"/>
      <c r="D75" s="78"/>
      <c r="E75" s="78"/>
    </row>
    <row r="76" spans="1:5">
      <c r="A76"/>
      <c r="D76" s="78"/>
      <c r="E76" s="78"/>
    </row>
    <row r="77" spans="1:5">
      <c r="A77"/>
      <c r="D77" s="78"/>
      <c r="E77" s="78"/>
    </row>
    <row r="78" spans="1:5">
      <c r="A78"/>
      <c r="D78" s="78"/>
      <c r="E78" s="78"/>
    </row>
    <row r="79" spans="1:5">
      <c r="A79"/>
      <c r="D79" s="78"/>
      <c r="E79" s="78"/>
    </row>
    <row r="80" spans="1:5">
      <c r="A80"/>
      <c r="D80" s="78"/>
      <c r="E80" s="78"/>
    </row>
    <row r="81" spans="1:5">
      <c r="A81"/>
      <c r="D81" s="78"/>
      <c r="E81" s="78"/>
    </row>
    <row r="82" spans="1:5">
      <c r="A82"/>
      <c r="D82" s="78"/>
      <c r="E82" s="78"/>
    </row>
    <row r="83" spans="1:5">
      <c r="A83"/>
      <c r="D83" s="78"/>
      <c r="E83" s="78"/>
    </row>
    <row r="84" spans="1:5">
      <c r="A84"/>
      <c r="D84" s="78"/>
      <c r="E84" s="78"/>
    </row>
    <row r="85" spans="1:5">
      <c r="A85"/>
      <c r="D85" s="78"/>
      <c r="E85" s="78"/>
    </row>
    <row r="86" spans="1:5">
      <c r="A86"/>
      <c r="D86" s="78"/>
      <c r="E86" s="78"/>
    </row>
    <row r="87" spans="1:5">
      <c r="A87"/>
      <c r="D87" s="78"/>
      <c r="E87" s="78"/>
    </row>
    <row r="88" spans="1:5">
      <c r="A88"/>
      <c r="D88" s="78"/>
      <c r="E88" s="78"/>
    </row>
    <row r="89" spans="1:5">
      <c r="A89"/>
      <c r="D89" s="78"/>
      <c r="E89" s="78"/>
    </row>
    <row r="90" spans="1:5">
      <c r="A90"/>
      <c r="D90" s="78"/>
      <c r="E90" s="78"/>
    </row>
    <row r="91" spans="1:5">
      <c r="A91"/>
      <c r="D91" s="78"/>
      <c r="E91" s="78"/>
    </row>
    <row r="92" spans="1:5">
      <c r="A92"/>
      <c r="D92" s="78"/>
      <c r="E92" s="78"/>
    </row>
    <row r="93" spans="1:5">
      <c r="A93"/>
      <c r="D93" s="78"/>
      <c r="E93" s="78"/>
    </row>
    <row r="94" spans="1:5">
      <c r="A94"/>
      <c r="D94" s="78"/>
      <c r="E94" s="78"/>
    </row>
    <row r="95" spans="1:5">
      <c r="A95"/>
      <c r="D95" s="78"/>
      <c r="E95" s="78"/>
    </row>
    <row r="96" spans="1:5">
      <c r="A96"/>
      <c r="D96" s="78"/>
      <c r="E96" s="78"/>
    </row>
    <row r="97" spans="1:5">
      <c r="A97"/>
      <c r="D97" s="78"/>
      <c r="E97" s="78"/>
    </row>
    <row r="98" spans="1:5">
      <c r="A98"/>
      <c r="D98" s="78"/>
      <c r="E98" s="78"/>
    </row>
    <row r="99" spans="1:5">
      <c r="A99"/>
      <c r="D99" s="78"/>
      <c r="E99" s="78"/>
    </row>
    <row r="100" spans="1:5">
      <c r="A100"/>
      <c r="D100" s="78"/>
      <c r="E100" s="78"/>
    </row>
    <row r="101" spans="1:5">
      <c r="A101"/>
      <c r="D101" s="78"/>
      <c r="E101" s="78"/>
    </row>
    <row r="102" spans="1:5">
      <c r="A102"/>
      <c r="D102" s="78"/>
      <c r="E102" s="78"/>
    </row>
    <row r="103" spans="1:5">
      <c r="A103"/>
      <c r="D103" s="78"/>
      <c r="E103" s="78"/>
    </row>
    <row r="104" spans="1:5">
      <c r="A104"/>
      <c r="D104" s="78"/>
      <c r="E104" s="78"/>
    </row>
    <row r="105" spans="1:5">
      <c r="A105"/>
      <c r="D105" s="78"/>
      <c r="E105" s="78"/>
    </row>
    <row r="106" spans="1:5">
      <c r="A106"/>
      <c r="D106" s="78"/>
      <c r="E106" s="78"/>
    </row>
    <row r="107" spans="1:5">
      <c r="A107"/>
      <c r="D107" s="78"/>
      <c r="E107" s="78"/>
    </row>
    <row r="108" spans="1:5">
      <c r="A108"/>
      <c r="D108" s="78"/>
      <c r="E108" s="78"/>
    </row>
    <row r="109" spans="1:5">
      <c r="A109"/>
      <c r="D109" s="78"/>
      <c r="E109" s="78"/>
    </row>
    <row r="110" spans="1:5">
      <c r="A110"/>
      <c r="D110" s="78"/>
      <c r="E110" s="78"/>
    </row>
    <row r="111" spans="1:5">
      <c r="A111"/>
      <c r="D111" s="78"/>
      <c r="E111" s="78"/>
    </row>
    <row r="112" spans="1:5">
      <c r="A112"/>
      <c r="D112" s="78"/>
      <c r="E112" s="78"/>
    </row>
    <row r="113" spans="1:5">
      <c r="A113"/>
      <c r="D113" s="78"/>
      <c r="E113" s="78"/>
    </row>
    <row r="114" spans="1:5">
      <c r="A114"/>
      <c r="D114" s="78"/>
      <c r="E114" s="78"/>
    </row>
    <row r="115" spans="1:5">
      <c r="A115"/>
      <c r="D115" s="78"/>
      <c r="E115" s="78"/>
    </row>
    <row r="116" spans="1:5">
      <c r="A116"/>
      <c r="D116" s="78"/>
      <c r="E116" s="78"/>
    </row>
    <row r="117" spans="1:5">
      <c r="A117"/>
      <c r="D117" s="78"/>
      <c r="E117" s="78"/>
    </row>
    <row r="118" spans="1:5">
      <c r="A118"/>
      <c r="D118" s="78"/>
      <c r="E118" s="78"/>
    </row>
    <row r="119" spans="1:5">
      <c r="A119"/>
      <c r="D119" s="78"/>
      <c r="E119" s="78"/>
    </row>
    <row r="120" spans="1:5">
      <c r="A120"/>
      <c r="D120" s="78"/>
      <c r="E120" s="78"/>
    </row>
    <row r="121" spans="1:5">
      <c r="A121"/>
      <c r="D121" s="78"/>
      <c r="E121" s="78"/>
    </row>
    <row r="122" spans="1:5">
      <c r="A122"/>
      <c r="D122" s="78"/>
      <c r="E122" s="78"/>
    </row>
    <row r="123" spans="1:5">
      <c r="A123"/>
      <c r="D123" s="78"/>
      <c r="E123" s="78"/>
    </row>
    <row r="124" spans="1:5">
      <c r="A124"/>
      <c r="D124" s="78"/>
      <c r="E124" s="78"/>
    </row>
    <row r="125" spans="1:5">
      <c r="A125"/>
      <c r="D125" s="78"/>
      <c r="E125" s="78"/>
    </row>
    <row r="126" spans="1:5">
      <c r="A126"/>
      <c r="D126" s="78"/>
      <c r="E126" s="78"/>
    </row>
    <row r="127" spans="1:5">
      <c r="A127"/>
      <c r="D127" s="78"/>
      <c r="E127" s="78"/>
    </row>
    <row r="128" spans="1:5">
      <c r="A128"/>
      <c r="D128" s="78"/>
      <c r="E128" s="78"/>
    </row>
    <row r="129" spans="1:5">
      <c r="A129"/>
      <c r="D129" s="78"/>
      <c r="E129" s="78"/>
    </row>
    <row r="130" spans="1:5">
      <c r="A130"/>
      <c r="D130" s="78"/>
      <c r="E130" s="78"/>
    </row>
    <row r="131" spans="1:5">
      <c r="A131"/>
      <c r="D131" s="78"/>
      <c r="E131" s="78"/>
    </row>
    <row r="132" spans="1:5">
      <c r="A132"/>
      <c r="D132" s="78"/>
      <c r="E132" s="78"/>
    </row>
    <row r="133" spans="1:5">
      <c r="A133"/>
      <c r="D133" s="78"/>
      <c r="E133" s="78"/>
    </row>
    <row r="134" spans="1:5">
      <c r="A134"/>
      <c r="D134" s="78"/>
      <c r="E134" s="78"/>
    </row>
    <row r="135" spans="1:5">
      <c r="A135"/>
      <c r="D135" s="78"/>
      <c r="E135" s="78"/>
    </row>
    <row r="136" spans="1:5">
      <c r="A136"/>
      <c r="D136" s="78"/>
      <c r="E136" s="78"/>
    </row>
    <row r="137" spans="1:5">
      <c r="A137"/>
      <c r="D137" s="78"/>
      <c r="E137" s="78"/>
    </row>
    <row r="138" spans="1:5">
      <c r="A138"/>
      <c r="D138" s="78"/>
      <c r="E138" s="78"/>
    </row>
    <row r="139" spans="1:5">
      <c r="A139"/>
      <c r="D139" s="78"/>
      <c r="E139" s="78"/>
    </row>
    <row r="140" spans="1:5">
      <c r="A140"/>
      <c r="D140" s="78"/>
      <c r="E140" s="78"/>
    </row>
    <row r="141" spans="1:5">
      <c r="A141"/>
      <c r="D141" s="78"/>
      <c r="E141" s="78"/>
    </row>
    <row r="142" spans="1:5">
      <c r="A142"/>
      <c r="D142" s="78"/>
      <c r="E142" s="78"/>
    </row>
    <row r="143" spans="1:5">
      <c r="A143"/>
      <c r="D143" s="78"/>
      <c r="E143" s="78"/>
    </row>
    <row r="144" spans="1:5">
      <c r="A144"/>
      <c r="D144" s="78"/>
      <c r="E144" s="78"/>
    </row>
    <row r="145" spans="1:5">
      <c r="A145"/>
      <c r="D145" s="78"/>
      <c r="E145" s="78"/>
    </row>
    <row r="146" spans="1:5">
      <c r="A146"/>
      <c r="D146" s="78"/>
      <c r="E146" s="78"/>
    </row>
    <row r="147" spans="1:5">
      <c r="A147"/>
      <c r="D147" s="78"/>
      <c r="E147" s="78"/>
    </row>
    <row r="148" spans="1:5">
      <c r="A148"/>
      <c r="D148" s="78"/>
      <c r="E148" s="78"/>
    </row>
    <row r="149" spans="1:5">
      <c r="A149"/>
      <c r="D149" s="78"/>
      <c r="E149" s="78"/>
    </row>
    <row r="150" spans="1:5">
      <c r="A150"/>
      <c r="D150" s="78"/>
      <c r="E150" s="78"/>
    </row>
    <row r="151" spans="1:5">
      <c r="A151"/>
      <c r="D151" s="78"/>
      <c r="E151" s="78"/>
    </row>
    <row r="152" spans="1:5">
      <c r="A152"/>
      <c r="D152" s="78"/>
      <c r="E152" s="78"/>
    </row>
    <row r="153" spans="1:5">
      <c r="A153"/>
      <c r="D153" s="78"/>
      <c r="E153" s="78"/>
    </row>
    <row r="154" spans="1:5">
      <c r="A154"/>
      <c r="D154" s="78"/>
      <c r="E154" s="78"/>
    </row>
    <row r="155" spans="1:5">
      <c r="A155"/>
      <c r="D155" s="78"/>
      <c r="E155" s="78"/>
    </row>
    <row r="156" spans="1:5">
      <c r="A156"/>
      <c r="D156" s="78"/>
      <c r="E156" s="78"/>
    </row>
    <row r="157" spans="1:5">
      <c r="A157"/>
      <c r="D157" s="78"/>
      <c r="E157" s="78"/>
    </row>
    <row r="158" spans="1:5">
      <c r="A158"/>
      <c r="D158" s="78"/>
      <c r="E158" s="78"/>
    </row>
    <row r="159" spans="1:5">
      <c r="A159"/>
      <c r="D159" s="78"/>
      <c r="E159" s="78"/>
    </row>
    <row r="160" spans="1:5">
      <c r="A160"/>
      <c r="D160" s="78"/>
      <c r="E160" s="78"/>
    </row>
    <row r="161" spans="1:5">
      <c r="A161"/>
      <c r="D161" s="78"/>
      <c r="E161" s="78"/>
    </row>
    <row r="162" spans="1:5">
      <c r="A162"/>
      <c r="D162" s="78"/>
      <c r="E162" s="78"/>
    </row>
    <row r="163" spans="1:5">
      <c r="A163"/>
      <c r="D163" s="78"/>
      <c r="E163" s="78"/>
    </row>
    <row r="164" spans="1:5">
      <c r="A164"/>
      <c r="D164" s="78"/>
      <c r="E164" s="78"/>
    </row>
    <row r="165" spans="1:5">
      <c r="A165"/>
      <c r="D165" s="78"/>
      <c r="E165" s="78"/>
    </row>
    <row r="166" spans="1:5">
      <c r="A166"/>
      <c r="D166" s="78"/>
      <c r="E166" s="78"/>
    </row>
    <row r="167" spans="1:5">
      <c r="A167"/>
      <c r="D167" s="78"/>
      <c r="E167" s="78"/>
    </row>
    <row r="168" spans="1:5">
      <c r="A168"/>
      <c r="D168" s="78"/>
      <c r="E168" s="78"/>
    </row>
    <row r="169" spans="1:5">
      <c r="A169"/>
      <c r="D169" s="78"/>
      <c r="E169" s="78"/>
    </row>
    <row r="170" spans="1:5">
      <c r="A170"/>
      <c r="D170" s="78"/>
      <c r="E170" s="78"/>
    </row>
    <row r="171" spans="1:5">
      <c r="A171"/>
      <c r="D171" s="78"/>
      <c r="E171" s="78"/>
    </row>
    <row r="172" spans="1:5">
      <c r="A172"/>
      <c r="D172" s="78"/>
      <c r="E172" s="78"/>
    </row>
    <row r="173" spans="1:5">
      <c r="A173"/>
      <c r="D173" s="78"/>
      <c r="E173" s="78"/>
    </row>
    <row r="174" spans="1:5">
      <c r="A174"/>
      <c r="D174" s="78"/>
      <c r="E174" s="78"/>
    </row>
    <row r="175" spans="1:5">
      <c r="A175"/>
      <c r="D175" s="78"/>
      <c r="E175" s="78"/>
    </row>
    <row r="176" spans="1:5">
      <c r="A176"/>
      <c r="D176" s="78"/>
      <c r="E176" s="78"/>
    </row>
    <row r="177" spans="1:5">
      <c r="A177"/>
      <c r="D177" s="78"/>
      <c r="E177" s="78"/>
    </row>
    <row r="178" spans="1:5">
      <c r="A178"/>
      <c r="D178" s="78"/>
      <c r="E178" s="78"/>
    </row>
    <row r="179" spans="1:5">
      <c r="A179"/>
      <c r="D179" s="78"/>
      <c r="E179" s="78"/>
    </row>
    <row r="180" spans="1:5">
      <c r="A180"/>
      <c r="D180" s="78"/>
      <c r="E180" s="78"/>
    </row>
    <row r="181" spans="1:5">
      <c r="A181"/>
      <c r="D181" s="78"/>
      <c r="E181" s="78"/>
    </row>
    <row r="182" spans="1:5">
      <c r="A182"/>
      <c r="D182" s="78"/>
      <c r="E182" s="78"/>
    </row>
    <row r="183" spans="1:5">
      <c r="A183"/>
      <c r="D183" s="78"/>
      <c r="E183" s="78"/>
    </row>
    <row r="184" spans="1:5">
      <c r="A184"/>
      <c r="D184" s="78"/>
      <c r="E184" s="78"/>
    </row>
    <row r="185" spans="1:5">
      <c r="A185"/>
      <c r="D185" s="78"/>
      <c r="E185" s="78"/>
    </row>
    <row r="186" spans="1:5">
      <c r="A186"/>
      <c r="D186" s="78"/>
      <c r="E186" s="78"/>
    </row>
    <row r="187" spans="1:5">
      <c r="A187"/>
      <c r="D187" s="78"/>
      <c r="E187" s="78"/>
    </row>
    <row r="188" spans="1:5">
      <c r="A188"/>
      <c r="D188" s="78"/>
      <c r="E188" s="78"/>
    </row>
  </sheetData>
  <sheetProtection selectLockedCells="1" selectUnlockedCells="1"/>
  <mergeCells count="15">
    <mergeCell ref="L57:Q57"/>
    <mergeCell ref="J39:S39"/>
    <mergeCell ref="J40:T40"/>
    <mergeCell ref="J52:T52"/>
    <mergeCell ref="K53:M53"/>
    <mergeCell ref="J56:M56"/>
    <mergeCell ref="A1:G1"/>
    <mergeCell ref="J9:S9"/>
    <mergeCell ref="J10:T10"/>
    <mergeCell ref="J20:T20"/>
    <mergeCell ref="J22:T22"/>
    <mergeCell ref="K23:M23"/>
    <mergeCell ref="J26:M26"/>
    <mergeCell ref="L27:Q27"/>
    <mergeCell ref="J50:T50"/>
  </mergeCells>
  <pageMargins left="0.35" right="0.2" top="0.35" bottom="0.2" header="0.51180555555555551" footer="0.51180555555555551"/>
  <pageSetup scale="50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37</vt:i4>
      </vt:variant>
    </vt:vector>
  </HeadingPairs>
  <TitlesOfParts>
    <vt:vector size="39" baseType="lpstr">
      <vt:lpstr>Control Entry</vt:lpstr>
      <vt:lpstr>Control Sheet</vt:lpstr>
      <vt:lpstr>brevet</vt:lpstr>
      <vt:lpstr>Brevet_Description</vt:lpstr>
      <vt:lpstr>Brevet_Length</vt:lpstr>
      <vt:lpstr>Brevet_Number</vt:lpstr>
      <vt:lpstr>Close</vt:lpstr>
      <vt:lpstr>Close_time</vt:lpstr>
      <vt:lpstr>Control_1</vt:lpstr>
      <vt:lpstr>Control_10</vt:lpstr>
      <vt:lpstr>Control_11</vt:lpstr>
      <vt:lpstr>Control_12</vt:lpstr>
      <vt:lpstr>Control_13</vt:lpstr>
      <vt:lpstr>Control_14</vt:lpstr>
      <vt:lpstr>Control_15</vt:lpstr>
      <vt:lpstr>Control_16</vt:lpstr>
      <vt:lpstr>Control_17</vt:lpstr>
      <vt:lpstr>Control_18</vt:lpstr>
      <vt:lpstr>Control_19</vt:lpstr>
      <vt:lpstr>Control_2</vt:lpstr>
      <vt:lpstr>Control_20</vt:lpstr>
      <vt:lpstr>Control_3</vt:lpstr>
      <vt:lpstr>Control_4</vt:lpstr>
      <vt:lpstr>Control_5</vt:lpstr>
      <vt:lpstr>Control_6</vt:lpstr>
      <vt:lpstr>Control_7</vt:lpstr>
      <vt:lpstr>Control_8</vt:lpstr>
      <vt:lpstr>Control_9</vt:lpstr>
      <vt:lpstr>Distance</vt:lpstr>
      <vt:lpstr>Establishment_1</vt:lpstr>
      <vt:lpstr>Establishment_2</vt:lpstr>
      <vt:lpstr>Establishment_3</vt:lpstr>
      <vt:lpstr>Locale</vt:lpstr>
      <vt:lpstr>Max_time</vt:lpstr>
      <vt:lpstr>Open</vt:lpstr>
      <vt:lpstr>Open_time</vt:lpstr>
      <vt:lpstr>'Control Sheet'!Print_Titles</vt:lpstr>
      <vt:lpstr>Start_date</vt:lpstr>
      <vt:lpstr>Start_time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Koen</dc:creator>
  <cp:lastModifiedBy>Bob</cp:lastModifiedBy>
  <cp:lastPrinted>2016-12-06T01:37:03Z</cp:lastPrinted>
  <dcterms:created xsi:type="dcterms:W3CDTF">2016-12-06T01:31:13Z</dcterms:created>
  <dcterms:modified xsi:type="dcterms:W3CDTF">2016-12-06T01:37:05Z</dcterms:modified>
</cp:coreProperties>
</file>