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showInkAnnotation="0" autoCompressPictures="0"/>
  <mc:AlternateContent xmlns:mc="http://schemas.openxmlformats.org/markup-compatibility/2006">
    <mc:Choice Requires="x15">
      <x15ac:absPath xmlns:x15ac="http://schemas.microsoft.com/office/spreadsheetml/2010/11/ac" url="/Users/stephencarol/Documents/BCR/2024/5412 CCE/"/>
    </mc:Choice>
  </mc:AlternateContent>
  <xr:revisionPtr revIDLastSave="0" documentId="8_{51CF7AC3-44B1-EB48-A927-9247B7050FC5}"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r>
          <rPr>
            <sz val="10"/>
            <color rgb="FF000000"/>
            <rFont val="Tahoma"/>
            <family val="2"/>
          </rPr>
          <t>Date format:  ddmmmyy eg 05may24</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r>
          <rPr>
            <sz val="10"/>
            <color rgb="FF000000"/>
            <rFont val="Tahoma"/>
            <family val="2"/>
          </rPr>
          <t xml:space="preserve">format: ddmmmyy
</t>
        </r>
        <r>
          <rPr>
            <sz val="10"/>
            <color rgb="FF000000"/>
            <rFont val="Tahoma"/>
            <family val="2"/>
          </rPr>
          <t>eg 05may24</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<sst xmlns="http://schemas.openxmlformats.org/spreadsheetml/2006/main" count="155" uniqueCount="107">
  <si>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</si>
  <si>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</si>
  <si>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</si>
  <si>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</si>
  <si>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</si>
  <si>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</si>
  <si>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</si>
  <si>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</si>
  <si>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</si>
  <si>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</si>
  <si>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</si>
  <si>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</si>
  <si>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</si>
  <si>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</si>
  <si>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</si>
  <si>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</si>
  <si>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</si>
  <si>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</si>
  <si>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</si>
  <si>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</si>
  <si>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</si>
  <si>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</si>
  <si>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</si>
  <si>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</si>
  <si>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</si>
  <si>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</si>
  <si>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</si>
  <si>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</si>
  <si>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</si>
  <si>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</si>
  <si>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</si>
  <si>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</si>
  <si>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</si>
  <si>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</si>
  <si>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</si>
  <si>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</si>
  <si>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</si>
  <si>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</si>
  <si>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</si>
  <si>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</si>
  <si>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</si>
  <si>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</si>
  <si>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</si>
  <si>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</si>
  <si>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</si>
  <si>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</si>
  <si>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</si>
  <si>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</si>
  <si>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</si>
  <si>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</si>
  <si>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</si>
  <si>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</si>
  <si>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</si>
  <si>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</si>
  <si>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</si>
  <si>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</si>
  <si>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</si>
  <si>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</si>
  <si>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</si>
  <si>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</si>
  <si>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</si>
  <si>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</si>
  <si>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</si>
  <si>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</si>
  <si>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</si>
  <si>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</si>
  <si>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</si>
  <si>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</si>
  <si>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</si>
  <si>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</si>
  <si>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</si>
  <si>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</si>
  <si>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</si>
  <si>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</si>
  <si>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Coombs Cumberland Explorer</t>
  </si>
  <si>
    <t>PARKSVILLE</t>
  </si>
  <si>
    <t>STAFFED</t>
  </si>
  <si>
    <t>Starbucks</t>
  </si>
  <si>
    <t>382 Island Hwy E @ Mills St</t>
  </si>
  <si>
    <t>ERRINGTON</t>
  </si>
  <si>
    <t>INFORMATION</t>
  </si>
  <si>
    <t>Englishman River Provincial Park</t>
  </si>
  <si>
    <t>Parking lot, end of Errington Rd</t>
  </si>
  <si>
    <t>Main sign to left of trail to falls</t>
  </si>
  <si>
    <t>Left panel "Things to do"</t>
  </si>
  <si>
    <t>"Playground near campsite __________"</t>
  </si>
  <si>
    <t>QUALICUM BEACH</t>
  </si>
  <si>
    <t>Little Qualicum River Regional Park</t>
  </si>
  <si>
    <t>Parking lot, 1505 Meadowood Way</t>
  </si>
  <si>
    <t>Face back on route, signpost on right</t>
  </si>
  <si>
    <t>"Don't be an ___________ target"</t>
  </si>
  <si>
    <t>COURTENAY</t>
  </si>
  <si>
    <t>BUSINESS</t>
  </si>
  <si>
    <t>D's Café</t>
  </si>
  <si>
    <t>Airpark Marina,102A 20th St</t>
  </si>
  <si>
    <t>CUMBERLAND</t>
  </si>
  <si>
    <t>Cumberland Lake Park Campground</t>
  </si>
  <si>
    <t>1100 Comox Lake Rd</t>
  </si>
  <si>
    <t>Far end of lot, past picnic shelter</t>
  </si>
  <si>
    <t>Ginger Goodwin Story' sign</t>
  </si>
  <si>
    <t>"…on Miners _____________Day…"</t>
  </si>
  <si>
    <t>QUALICUM BAY</t>
  </si>
  <si>
    <t>Cone Zone</t>
  </si>
  <si>
    <t>5970 Island Hwy W</t>
  </si>
  <si>
    <t>Shell Gas</t>
  </si>
  <si>
    <t>370 Island Hwy E @ McVickers St</t>
  </si>
  <si>
    <t>‭+1 (250) 792-3126‬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</si>
</sst>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2">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49" fontId="5" fillId="0" borderId="14" xfId="0" quotePrefix="1" applyNumberFormat="1" applyFont="1" applyBorder="1" applyAlignment="1" applyProtection="1">
      <alignment horizontal="center"/>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0" zoomScaleNormal="140" zoomScalePageLayoutView="135" workbookViewId="0">
      <selection activeCell="G8" sqref="G8"/>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7" t="s">
        <v>55</v>
      </c>
      <c r="B1" s="107"/>
      <c r="C1" s="107"/>
      <c r="D1" s="107"/>
      <c r="E1" s="107"/>
      <c r="F1" s="107"/>
      <c r="G1" s="107"/>
      <c r="H1" s="40" t="s">
        <v>53</v>
      </c>
      <c r="Q1" s="109" t="s">
        <v>71</v>
      </c>
      <c r="R1" s="109"/>
      <c r="S1" s="109"/>
      <c r="T1" s="109"/>
      <c r="U1" s="109"/>
      <c r="V1" s="109"/>
      <c r="W1" s="109"/>
      <c r="X1" s="109"/>
      <c r="Y1" s="109"/>
      <c r="Z1" s="109"/>
      <c r="AA1" s="109"/>
      <c r="AB1" s="109"/>
      <c r="AC1" s="109"/>
      <c r="AD1" s="109"/>
      <c r="AE1" s="109"/>
      <c r="AF1" s="109"/>
      <c r="AG1" s="88"/>
    </row>
    <row r="2" spans="1:33" ht="13" customHeight="1" thickBot="1" x14ac:dyDescent="0.2">
      <c r="H2" s="44"/>
      <c r="I2" s="44"/>
      <c r="Q2" s="109"/>
      <c r="R2" s="109"/>
      <c r="S2" s="109"/>
      <c r="T2" s="109"/>
      <c r="U2" s="109"/>
      <c r="V2" s="109"/>
      <c r="W2" s="109"/>
      <c r="X2" s="109"/>
      <c r="Y2" s="109"/>
      <c r="Z2" s="109"/>
      <c r="AA2" s="109"/>
      <c r="AB2" s="109"/>
      <c r="AC2" s="109"/>
      <c r="AD2" s="109"/>
      <c r="AE2" s="109"/>
      <c r="AF2" s="109"/>
      <c r="AG2" s="88"/>
    </row>
    <row r="3" spans="1:33" s="48" customFormat="1" ht="13" customHeight="1" thickBot="1" x14ac:dyDescent="0.2">
      <c r="A3" s="47" t="s">
        <v>52</v>
      </c>
      <c r="B3" s="72">
        <v>45428</v>
      </c>
      <c r="H3" s="49"/>
      <c r="I3" s="49"/>
      <c r="Q3" s="109"/>
      <c r="R3" s="109"/>
      <c r="S3" s="109"/>
      <c r="T3" s="109"/>
      <c r="U3" s="109"/>
      <c r="V3" s="109"/>
      <c r="W3" s="109"/>
      <c r="X3" s="109"/>
      <c r="Y3" s="109"/>
      <c r="Z3" s="109"/>
      <c r="AA3" s="109"/>
      <c r="AB3" s="109"/>
      <c r="AC3" s="109"/>
      <c r="AD3" s="109"/>
      <c r="AE3" s="109"/>
      <c r="AF3" s="109"/>
      <c r="AG3" s="88"/>
    </row>
    <row r="4" spans="1:33" ht="13" customHeight="1" x14ac:dyDescent="0.15">
      <c r="A4" s="43" t="s">
        <v>54</v>
      </c>
      <c r="B4" s="46">
        <v>45516</v>
      </c>
      <c r="C4"/>
      <c r="H4" s="44"/>
      <c r="I4" s="44"/>
      <c r="Q4" s="109"/>
      <c r="R4" s="109"/>
      <c r="S4" s="109"/>
      <c r="T4" s="109"/>
      <c r="U4" s="109"/>
      <c r="V4" s="109"/>
      <c r="W4" s="109"/>
      <c r="X4" s="109"/>
      <c r="Y4" s="109"/>
      <c r="Z4" s="109"/>
      <c r="AA4" s="109"/>
      <c r="AB4" s="109"/>
      <c r="AC4" s="109"/>
      <c r="AD4" s="109"/>
      <c r="AE4" s="109"/>
      <c r="AF4" s="109"/>
      <c r="AG4" s="88"/>
    </row>
    <row r="5" spans="1:33" ht="7" customHeight="1" thickBot="1" x14ac:dyDescent="0.2">
      <c r="H5" s="44"/>
      <c r="I5" s="44"/>
      <c r="Q5" s="88"/>
      <c r="R5" s="88"/>
      <c r="S5" s="88"/>
      <c r="T5" s="88"/>
      <c r="U5" s="88"/>
      <c r="V5" s="88"/>
      <c r="W5" s="88"/>
      <c r="X5" s="88"/>
      <c r="Y5" s="88"/>
      <c r="Z5" s="88"/>
      <c r="AA5" s="88"/>
      <c r="AB5" s="88"/>
      <c r="AC5" s="88"/>
      <c r="AD5" s="88"/>
      <c r="AE5" s="88"/>
      <c r="AF5" s="88"/>
      <c r="AG5" s="88"/>
    </row>
    <row r="6" spans="1:33" ht="18" x14ac:dyDescent="0.2">
      <c r="A6" s="10" t="s">
        <v>15</v>
      </c>
      <c r="B6" s="30">
        <v>200</v>
      </c>
      <c r="C6">
        <f>IF(Brevet_Length&gt;=1200,Brevet_Length,IF(Brevet_Length&gt;=1000,1000,IF(Brevet_Length&gt;=600,600,IF(Brevet_Length&gt;=400,400,IF(Brevet_Length&gt;=300,300,IF(Brevet_Length&gt;=200,200,100))))))</f>
        <v>200</v>
      </c>
      <c r="J6" s="110" t="s">
        <v>40</v>
      </c>
      <c r="K6" s="110"/>
      <c r="Q6" s="86" t="s">
        <v>41</v>
      </c>
      <c r="R6" s="86"/>
      <c r="S6" s="86"/>
      <c r="T6" s="86"/>
      <c r="U6" s="86"/>
      <c r="V6" s="86"/>
      <c r="W6" s="86"/>
      <c r="X6" s="87"/>
      <c r="Y6" s="87"/>
      <c r="Z6" s="87"/>
    </row>
    <row r="7" spans="1:33" ht="14" x14ac:dyDescent="0.15">
      <c r="A7" s="11" t="s">
        <v>16</v>
      </c>
      <c r="B7" s="84">
        <f>IF(brevet=1200,90,IF(brevet=1000,75,IF(brevet=600,40,IF(brevet=400,27,IF(brevet=300,20,IF(brevet=200,13.5,IF(brevet&lt;200,L7,0)))))))</f>
        <v>13.5</v>
      </c>
      <c r="L7">
        <f>IF(Brevet_Length=150,10.5,IF(Brevet_Length=100,7,IF(Brevet_Length=50,3.5,IF(Brevet_Length=25, 2,0))))</f>
        <v>0</v>
      </c>
      <c r="Q7" s="87" t="s">
        <v>42</v>
      </c>
      <c r="R7" s="87"/>
      <c r="S7" s="87"/>
      <c r="T7" s="87"/>
      <c r="U7" s="87"/>
      <c r="V7" s="87"/>
      <c r="W7" s="87"/>
      <c r="X7" s="87"/>
      <c r="Y7" s="87"/>
      <c r="Z7" s="87"/>
    </row>
    <row r="8" spans="1:33" ht="18" x14ac:dyDescent="0.2">
      <c r="A8" s="83" t="s">
        <v>17</v>
      </c>
      <c r="B8" s="108" t="s">
        <v>74</v>
      </c>
      <c r="C8" s="108"/>
      <c r="D8" s="108"/>
      <c r="E8" s="108"/>
      <c r="F8" s="108"/>
      <c r="G8" s="85"/>
      <c r="H8" s="85"/>
      <c r="I8" s="16"/>
      <c r="J8" s="16"/>
      <c r="K8" s="16"/>
      <c r="Q8" s="86" t="s">
        <v>43</v>
      </c>
      <c r="R8" s="87"/>
      <c r="S8" s="87"/>
      <c r="T8" s="87"/>
      <c r="U8" s="87"/>
      <c r="V8" s="87"/>
      <c r="W8" s="87"/>
      <c r="X8" s="87"/>
      <c r="Y8" s="87"/>
      <c r="Z8" s="87"/>
    </row>
    <row r="9" spans="1:33" ht="18" x14ac:dyDescent="0.2">
      <c r="A9" s="11" t="s">
        <v>18</v>
      </c>
      <c r="B9" s="31">
        <v>5412</v>
      </c>
      <c r="C9" s="13"/>
      <c r="F9" s="14"/>
      <c r="G9" s="14"/>
      <c r="H9" s="14"/>
      <c r="I9" s="14"/>
      <c r="J9" s="14"/>
      <c r="K9" s="14"/>
      <c r="Q9" s="86" t="s">
        <v>44</v>
      </c>
      <c r="R9" s="87"/>
      <c r="S9" s="87"/>
      <c r="T9" s="87"/>
      <c r="U9" s="87"/>
      <c r="V9" s="87"/>
      <c r="W9" s="87"/>
      <c r="X9" s="87"/>
      <c r="Y9" s="87"/>
      <c r="Z9" s="87"/>
    </row>
    <row r="10" spans="1:33" ht="18" x14ac:dyDescent="0.2">
      <c r="A10" s="18" t="s">
        <v>32</v>
      </c>
      <c r="B10" s="32">
        <v>45521</v>
      </c>
      <c r="E10" s="80" t="s">
        <v>66</v>
      </c>
      <c r="F10" s="82" t="s">
        <v>106</v>
      </c>
      <c r="Q10" s="86" t="s">
        <v>45</v>
      </c>
      <c r="R10" s="87"/>
      <c r="S10" s="87"/>
      <c r="T10" s="87"/>
      <c r="U10" s="87"/>
      <c r="V10" s="87"/>
      <c r="W10" s="87"/>
      <c r="X10" s="87"/>
      <c r="Y10" s="87"/>
      <c r="Z10" s="87"/>
    </row>
    <row r="11" spans="1:33" ht="6" customHeight="1" x14ac:dyDescent="0.15">
      <c r="B11" s="45"/>
      <c r="Q11" s="87"/>
      <c r="R11" s="87"/>
      <c r="S11" s="87"/>
      <c r="T11" s="87"/>
      <c r="U11" s="87"/>
      <c r="V11" s="87"/>
      <c r="W11" s="87"/>
      <c r="X11" s="87"/>
      <c r="Y11" s="87"/>
      <c r="Z11" s="87"/>
    </row>
    <row r="12" spans="1:33" ht="18" customHeight="1" thickBot="1" x14ac:dyDescent="0.25">
      <c r="A12" s="41" t="s">
        <v>19</v>
      </c>
      <c r="B12" s="42">
        <v>45521</v>
      </c>
      <c r="Q12" s="86" t="s">
        <v>49</v>
      </c>
      <c r="R12" s="87"/>
      <c r="S12" s="87"/>
      <c r="T12" s="87"/>
      <c r="U12" s="87"/>
      <c r="V12" s="87"/>
      <c r="W12" s="87"/>
      <c r="X12" s="87"/>
      <c r="Y12" s="87"/>
      <c r="Z12" s="87"/>
    </row>
    <row r="13" spans="1:33" ht="19" thickBot="1" x14ac:dyDescent="0.25">
      <c r="A13" s="9" t="s">
        <v>20</v>
      </c>
      <c r="B13" s="33">
        <v>0.33333333333333331</v>
      </c>
      <c r="D13" s="103" t="s">
        <v>51</v>
      </c>
      <c r="E13" s="104"/>
      <c r="F13" s="104"/>
      <c r="G13" s="104"/>
      <c r="H13" s="104"/>
      <c r="I13" s="105" t="s">
        <v>47</v>
      </c>
      <c r="J13" s="104"/>
      <c r="K13" s="106"/>
      <c r="Q13" s="86" t="s">
        <v>48</v>
      </c>
      <c r="R13" s="87"/>
      <c r="S13" s="87"/>
      <c r="T13" s="87"/>
      <c r="U13" s="87"/>
      <c r="V13" s="87"/>
      <c r="W13" s="87"/>
      <c r="X13" s="87"/>
      <c r="Y13" s="87"/>
      <c r="Z13" s="87"/>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6" t="s">
        <v>67</v>
      </c>
      <c r="R14" s="87"/>
      <c r="S14" s="87"/>
      <c r="T14" s="87"/>
      <c r="U14" s="87"/>
      <c r="V14" s="87"/>
      <c r="W14" s="87"/>
      <c r="X14" s="87"/>
      <c r="Y14" s="87"/>
      <c r="Z14" s="87"/>
    </row>
    <row r="15" spans="1:33" ht="17" customHeight="1" x14ac:dyDescent="0.15">
      <c r="C15" s="2" t="s">
        <v>4</v>
      </c>
      <c r="D15" s="15">
        <v>0</v>
      </c>
      <c r="E15" s="34" t="s">
        <v>75</v>
      </c>
      <c r="F15" s="35" t="s">
        <v>76</v>
      </c>
      <c r="G15" s="35" t="s">
        <v>77</v>
      </c>
      <c r="H15" s="35" t="s">
        <v>78</v>
      </c>
      <c r="I15" s="35"/>
      <c r="J15" s="35"/>
      <c r="K15" s="36"/>
      <c r="L15" s="3">
        <f>Start_date+Start_time</f>
        <v>45521.333333333336</v>
      </c>
      <c r="M15" s="3">
        <f>L15+"1:00"</f>
        <v>45521.375</v>
      </c>
      <c r="N15" s="4">
        <f>IF(ISBLANK(Distance),"",Open Control_1)</f>
        <v>45521.333333333336</v>
      </c>
      <c r="O15" s="4">
        <f>IF(ISBLANK(Distance),"",Close Control_1)</f>
        <v>45521.375</v>
      </c>
      <c r="Q15" s="86" t="s">
        <v>72</v>
      </c>
      <c r="R15" s="87"/>
      <c r="S15" s="87"/>
      <c r="T15" s="87"/>
      <c r="U15" s="87"/>
      <c r="V15" s="87"/>
      <c r="W15" s="87"/>
      <c r="X15" s="87"/>
      <c r="Y15" s="87"/>
      <c r="Z15" s="87"/>
    </row>
    <row r="16" spans="1:33" ht="17" customHeight="1" x14ac:dyDescent="0.15">
      <c r="B16" s="38"/>
      <c r="C16" s="2" t="s">
        <v>5</v>
      </c>
      <c r="D16" s="15">
        <v>22</v>
      </c>
      <c r="E16" s="34" t="s">
        <v>79</v>
      </c>
      <c r="F16" s="35" t="s">
        <v>80</v>
      </c>
      <c r="G16" s="35" t="s">
        <v>81</v>
      </c>
      <c r="H16" s="35" t="s">
        <v>82</v>
      </c>
      <c r="I16" s="35" t="s">
        <v>83</v>
      </c>
      <c r="J16" s="35" t="s">
        <v>84</v>
      </c>
      <c r="K16" s="36" t="s">
        <v>85</v>
      </c>
      <c r="L16">
        <f>IF(ISBLANK(Distance),"",IF(Distance&gt;1000,(Distance-1000)/26+33.0847,(IF(Distance&gt;600,(Distance-600)/28+18.799,(IF(Distance&gt;400,(Distance-400)/30+12.1324,(IF(Distance&gt;200,(Distance-200)/32+5.8824,Distance/34))))))))</f>
        <v>0.6470588235294118</v>
      </c>
      <c r="M16">
        <f>IF(ISBLANK(Distance),"",IF(Distance&gt;=brevet,D16200IF(brevet&gt;1200,(brevet-1200)*75/1000+90,Max_time),IF(Distance&gt;1200,(Distance-1200)*75/1000+90,IF(Distance&gt;1000,(Distance-1000)/(1000/75)+75,IF(Distance&gt;600,(Distance-600)/(400/35)+40,IF(Distance&lt;=60,(Distance/20+1),Distance/15))))))</f>
        <v>2.1</v>
      </c>
      <c r="N16" s="4">
        <f>IF(ISBLANK(Distance),"",Open_time Control_1+(INT(Open)&amp;":"&amp;IF(ROUND(((Open-INT(Open))*60),0)&lt;10,0,"")&amp;ROUND(((Open-INT(Open))*60),0)))</f>
        <v>45521.36041666667</v>
      </c>
      <c r="O16" s="4">
        <f>IF(ISBLANK(Distance),"",Open_time Control_1+(INT(Close)&amp;":"&amp;IF(ROUND(((Close-INT(Close))*60),0)&lt;10,0,"")&amp;ROUND(((Close-INT(Close))*60),0)))</f>
        <v>45521.420833333337</v>
      </c>
      <c r="Q16" s="86" t="s">
        <v>68</v>
      </c>
      <c r="R16" s="87"/>
      <c r="S16" s="87"/>
      <c r="T16" s="87"/>
      <c r="U16" s="87"/>
      <c r="V16" s="87"/>
      <c r="W16" s="87"/>
      <c r="X16" s="87"/>
      <c r="Y16" s="87"/>
      <c r="Z16" s="87"/>
    </row>
    <row r="17" spans="2:26" ht="17" customHeight="1" x14ac:dyDescent="0.15">
      <c r="B17" s="38"/>
      <c r="C17" s="2" t="s">
        <v>6</v>
      </c>
      <c r="D17" s="15">
        <v>44.5</v>
      </c>
      <c r="E17" s="34" t="s">
        <v>86</v>
      </c>
      <c r="F17" s="35" t="s">
        <v>80</v>
      </c>
      <c r="G17" s="35" t="s">
        <v>87</v>
      </c>
      <c r="H17" s="35" t="s">
        <v>88</v>
      </c>
      <c r="I17" s="35" t="s">
        <v>89</v>
      </c>
      <c r="J17" s="35"/>
      <c r="K17" s="36" t="s">
        <v>90</v>
      </c>
      <c r="L17">
        <f>IF(ISBLANK(Distance),"",IF(Distance&gt;1000,(Distance-1000)/26+33.0847,(IF(Distance&gt;600,(Distance-600)/28+18.799,(IF(Distance&gt;400,(Distance-400)/30+12.1324,(IF(Distance&gt;200,(Distance-200)/32+5.8824,Distance/34))))))))</f>
        <v>1.3088235294117647</v>
      </c>
      <c r="M17">
        <f t="shared" ref="M17:M24" si="0">IF(ISBLANK(Distance),"",IF(Distance&gt;=brevet,IF(brevet&gt;1200,(brevet-1200)*75/1000+90,Max_time),IF(Distance&gt;1200,(Distance-1200)*75/1000+90,IF(Distance&gt;1000,(Distance-1000)/(1000/75)+75,IF(Distance&gt;600,(Distance-600)/(400/35)+40,IF(Distance&lt;=60,(Distance/20+1),Distance/15))))))</f>
        <v>3.2250000000000001</v>
      </c>
      <c r="N17" s="4">
        <f>IF(ISBLANK(Distance),"",Open_time Control_1+(INT(Open)&amp;":"&amp;IF(ROUND(((Open-INT(Open))*60),0)&lt;10,0,"")&amp;ROUND(((Open-INT(Open))*60),0)))</f>
        <v>45521.388194444444</v>
      </c>
      <c r="O17" s="4">
        <f>IF(ISBLANK(Distance),"",Open_time Control_1+(INT(Close)&amp;":"&amp;IF(ROUND(((Close-INT(Close))*60),0)&lt;10,0,"")&amp;ROUND(((Close-INT(Close))*60),0)))</f>
        <v>45521.468055555561</v>
      </c>
      <c r="Q17" s="86" t="s">
        <v>46</v>
      </c>
      <c r="R17" s="87"/>
      <c r="S17" s="87"/>
      <c r="T17" s="87"/>
      <c r="U17" s="87"/>
      <c r="V17" s="87"/>
      <c r="W17" s="87"/>
      <c r="X17" s="87"/>
      <c r="Y17" s="87"/>
      <c r="Z17" s="87"/>
    </row>
    <row r="18" spans="2:26" ht="17" customHeight="1" x14ac:dyDescent="0.15">
      <c r="B18" s="38"/>
      <c r="C18" s="2" t="s">
        <v>7</v>
      </c>
      <c r="D18" s="15">
        <v>104</v>
      </c>
      <c r="E18" s="34" t="s">
        <v>91</v>
      </c>
      <c r="F18" s="35" t="s">
        <v>92</v>
      </c>
      <c r="G18" s="35" t="s">
        <v>93</v>
      </c>
      <c r="H18" s="35" t="s">
        <v>94</v>
      </c>
      <c r="I18" s="35"/>
      <c r="J18" s="35"/>
      <c r="K18" s="36"/>
      <c r="L18">
        <f t="shared" ref="L18:L24" si="1">IF(ISBLANK(Distance),"",IF(Distance&gt;1000,(Distance-1000)/26+33.0847,(IF(Distance&gt;600,(Distance-600)/28+18.799,(IF(Distance&gt;400,(Distance-400)/30+12.1324,(IF(Distance&gt;200,(Distance-200)/32+5.8824,Distance/34))))))))</f>
        <v>3.0588235294117645</v>
      </c>
      <c r="M18">
        <f t="shared" si="0"/>
        <v>6.9333333333333336</v>
      </c>
      <c r="N18" s="4">
        <f>IF(ISBLANK(Distance),"",Open_time Control_1+(INT(Open)&amp;":"&amp;IF(ROUND(((Open-INT(Open))*60),0)&lt;10,0,"")&amp;ROUND(((Open-INT(Open))*60),0)))</f>
        <v>45521.461111111115</v>
      </c>
      <c r="O18" s="4">
        <f>IF(ISBLANK(Distance),"",Open_time Control_1+(INT(Close)&amp;":"&amp;IF(ROUND(((Close-INT(Close))*60),0)&lt;10,0,"")&amp;ROUND(((Close-INT(Close))*60),0)))</f>
        <v>45521.622222222228</v>
      </c>
    </row>
    <row r="19" spans="2:26" ht="17" customHeight="1" x14ac:dyDescent="0.15">
      <c r="B19" s="38"/>
      <c r="C19" s="2" t="s">
        <v>8</v>
      </c>
      <c r="D19" s="15">
        <v>119.4</v>
      </c>
      <c r="E19" s="34" t="s">
        <v>95</v>
      </c>
      <c r="F19" s="35" t="s">
        <v>80</v>
      </c>
      <c r="G19" s="35" t="s">
        <v>96</v>
      </c>
      <c r="H19" s="35" t="s">
        <v>97</v>
      </c>
      <c r="I19" s="35" t="s">
        <v>98</v>
      </c>
      <c r="J19" s="141" t="s">
        <v>99</v>
      </c>
      <c r="K19" s="36" t="s">
        <v>100</v>
      </c>
      <c r="L19">
        <f t="shared" si="1"/>
        <v>3.5117647058823529</v>
      </c>
      <c r="M19">
        <f t="shared" si="0"/>
        <v>7.96</v>
      </c>
      <c r="N19" s="4">
        <f>IF(ISBLANK(Distance),"",Open_time Control_1+(INT(Open)&amp;":"&amp;IF(ROUND(((Open-INT(Open))*60),0)&lt;10,0,"")&amp;ROUND(((Open-INT(Open))*60),0)))</f>
        <v>45521.479861111111</v>
      </c>
      <c r="O19" s="4">
        <f>IF(ISBLANK(Distance),"",Open_time Control_1+(INT(Close)&amp;":"&amp;IF(ROUND(((Close-INT(Close))*60),0)&lt;10,0,"")&amp;ROUND(((Close-INT(Close))*60),0)))</f>
        <v>45521.665277777778</v>
      </c>
      <c r="Q19" s="40"/>
    </row>
    <row r="20" spans="2:26" ht="17" customHeight="1" x14ac:dyDescent="0.15">
      <c r="B20" s="38"/>
      <c r="C20" s="2" t="s">
        <v>9</v>
      </c>
      <c r="D20" s="15">
        <v>171</v>
      </c>
      <c r="E20" s="34" t="s">
        <v>101</v>
      </c>
      <c r="F20" s="35" t="s">
        <v>92</v>
      </c>
      <c r="G20" s="35" t="s">
        <v>102</v>
      </c>
      <c r="H20" s="35" t="s">
        <v>103</v>
      </c>
      <c r="I20" s="35"/>
      <c r="J20" s="35"/>
      <c r="K20" s="36"/>
      <c r="L20">
        <f t="shared" si="1"/>
        <v>5.0294117647058822</v>
      </c>
      <c r="M20">
        <f t="shared" si="0"/>
        <v>11.4</v>
      </c>
      <c r="N20" s="4">
        <f>IF(ISBLANK(Distance),"",Open_time Control_1+(INT(Open)&amp;":"&amp;IF(ROUND(((Open-INT(Open))*60),0)&lt;10,0,"")&amp;ROUND(((Open-INT(Open))*60),0)))</f>
        <v>45521.543055555558</v>
      </c>
      <c r="O20" s="4">
        <f>IF(ISBLANK(Distance),"",Open_time Control_1+(INT(Close)&amp;":"&amp;IF(ROUND(((Close-INT(Close))*60),0)&lt;10,0,"")&amp;ROUND(((Close-INT(Close))*60),0)))</f>
        <v>45521.808333333334</v>
      </c>
    </row>
    <row r="21" spans="2:26" ht="17" customHeight="1" x14ac:dyDescent="0.15">
      <c r="B21" s="38"/>
      <c r="C21" s="2" t="s">
        <v>10</v>
      </c>
      <c r="D21" s="15">
        <v>202.1</v>
      </c>
      <c r="E21" s="34" t="s">
        <v>75</v>
      </c>
      <c r="F21" s="35" t="s">
        <v>92</v>
      </c>
      <c r="G21" s="35" t="s">
        <v>104</v>
      </c>
      <c r="H21" s="35" t="s">
        <v>105</v>
      </c>
      <c r="I21" s="35"/>
      <c r="J21" s="35"/>
      <c r="K21" s="36"/>
      <c r="L21">
        <f t="shared" si="1"/>
        <v>5.9480249999999995</v>
      </c>
      <c r="M21">
        <f t="shared" si="0"/>
        <v>13.5</v>
      </c>
      <c r="N21" s="4">
        <f>IF(ISBLANK(Distance),"",Open_time Control_1+(INT(Open)&amp;":"&amp;IF(ROUND(((Open-INT(Open))*60),0)&lt;10,0,"")&amp;ROUND(((Open-INT(Open))*60),0)))</f>
        <v>45521.581250000003</v>
      </c>
      <c r="O21" s="4">
        <f>IF(ISBLANK(Distance),"",Open_time Control_1+(INT(Close)&amp;":"&amp;IF(ROUND(((Close-INT(Close))*60),0)&lt;10,0,"")&amp;ROUND(((Close-INT(Close))*60),0)))</f>
        <v>45521.895833333336</v>
      </c>
    </row>
    <row r="22" spans="2:26" ht="17" customHeight="1" x14ac:dyDescent="0.15">
      <c r="B22" s="38"/>
      <c r="C22" s="2" t="s">
        <v>11</v>
      </c>
      <c r="D22" s="15"/>
      <c r="E22" s="34"/>
      <c r="F22" s="35"/>
      <c r="G22" s="35"/>
      <c r="H22" s="36"/>
      <c r="I22" s="36"/>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38"/>
      <c r="C23" s="2" t="s">
        <v>12</v>
      </c>
      <c r="D23" s="15"/>
      <c r="E23" s="34"/>
      <c r="F23" s="35"/>
      <c r="G23" s="35"/>
      <c r="H23" s="35"/>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3" t="s">
        <v>69</v>
      </c>
      <c r="E26" s="104"/>
      <c r="F26" s="104"/>
      <c r="G26" s="104"/>
      <c r="H26" s="104"/>
      <c r="I26" s="105" t="s">
        <v>70</v>
      </c>
      <c r="J26" s="104"/>
      <c r="K26" s="106"/>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D8qywzNb40cUiVle2DcjUmxCsRIaO5HEQS3AFyML+XvcGNrr85HZL3oGkY7bVUKDPJKALNXAjH4Ou+WV1jzmcg==" saltValue="7U8Wfb5GFDUrDvVAN8Jer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zoomScale="115" zoomScaleNormal="115" zoomScalePageLayoutView="75" workbookViewId="0">
      <selection activeCell="D11" sqref="D11"/>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0" t="s">
        <v>33</v>
      </c>
      <c r="D2" s="130"/>
      <c r="E2" s="130"/>
      <c r="F2" s="130"/>
      <c r="G2" s="55"/>
      <c r="H2" s="55"/>
      <c r="I2" s="78" t="s">
        <v>58</v>
      </c>
      <c r="J2" s="79">
        <f>'Control Entry'!B4</f>
        <v>45516</v>
      </c>
      <c r="K2" s="55"/>
      <c r="L2" s="55"/>
    </row>
    <row r="3" spans="2:15" ht="45" customHeight="1" x14ac:dyDescent="0.45">
      <c r="D3" s="12"/>
      <c r="E3" s="139" t="s">
        <v>29</v>
      </c>
      <c r="F3" s="139"/>
      <c r="G3" s="139"/>
      <c r="H3" s="139"/>
      <c r="I3" s="66" t="s">
        <v>60</v>
      </c>
      <c r="J3" s="71">
        <f>IF(ISBLANK(Brevet_Number),"",Brevet_Number)</f>
        <v>5412</v>
      </c>
      <c r="K3" s="39"/>
      <c r="L3" s="39"/>
    </row>
    <row r="4" spans="2:15" ht="20" customHeight="1" x14ac:dyDescent="0.15">
      <c r="C4" s="12"/>
      <c r="E4" s="140" t="str">
        <f>IF(ISBLANK(Brevet_Length),"",Brevet_Length&amp;" km Randonnée")</f>
        <v>200 km Randonnée</v>
      </c>
      <c r="F4" s="140"/>
      <c r="G4" s="140"/>
      <c r="H4" s="140"/>
      <c r="K4" s="51"/>
      <c r="L4" s="51"/>
    </row>
    <row r="5" spans="2:15" ht="20" customHeight="1" x14ac:dyDescent="0.2">
      <c r="D5" s="52"/>
      <c r="E5" s="138" t="str">
        <f>IF(ISBLANK(Brevet_Description),"",Brevet_Description)</f>
        <v>Coombs Cumberland Explorer</v>
      </c>
      <c r="F5" s="138"/>
      <c r="G5" s="138"/>
      <c r="H5" s="138"/>
      <c r="I5" s="74"/>
      <c r="J5" s="52"/>
      <c r="K5" s="52"/>
      <c r="L5" s="52"/>
    </row>
    <row r="6" spans="2:15" ht="20" x14ac:dyDescent="0.2">
      <c r="D6" s="67"/>
      <c r="E6" s="138"/>
      <c r="F6" s="138"/>
      <c r="G6" s="138"/>
      <c r="H6" s="138"/>
      <c r="I6" s="74"/>
      <c r="J6" s="67"/>
      <c r="K6" s="52"/>
      <c r="L6" s="52"/>
    </row>
    <row r="7" spans="2:15" ht="25" customHeight="1" x14ac:dyDescent="0.15">
      <c r="C7" s="134"/>
      <c r="D7" s="134"/>
      <c r="E7" s="134"/>
      <c r="F7" s="134"/>
      <c r="H7" s="136"/>
    </row>
    <row r="8" spans="2:15" ht="21" thickBot="1" x14ac:dyDescent="0.25">
      <c r="B8" s="17" t="s">
        <v>61</v>
      </c>
      <c r="C8" s="135"/>
      <c r="D8" s="135"/>
      <c r="E8" s="135"/>
      <c r="F8" s="135"/>
      <c r="G8" s="17" t="s">
        <v>31</v>
      </c>
      <c r="H8" s="137"/>
      <c r="I8" s="53"/>
      <c r="J8" s="53"/>
      <c r="K8" s="53"/>
    </row>
    <row r="9" spans="2:15" ht="22" customHeight="1" x14ac:dyDescent="0.15">
      <c r="B9" s="58"/>
      <c r="C9" s="58"/>
      <c r="D9" s="58"/>
      <c r="E9" s="58"/>
      <c r="F9" s="54"/>
      <c r="G9" s="60"/>
      <c r="H9" s="60"/>
      <c r="I9" s="60"/>
      <c r="J9" s="54"/>
    </row>
    <row r="10" spans="2:15" ht="20" customHeight="1" x14ac:dyDescent="0.15">
      <c r="B10" s="132" t="s">
        <v>34</v>
      </c>
      <c r="C10" s="132"/>
      <c r="D10" s="64" t="s">
        <v>35</v>
      </c>
      <c r="E10" s="133" t="s">
        <v>57</v>
      </c>
      <c r="F10" s="133"/>
      <c r="G10" s="133"/>
      <c r="H10" s="70"/>
      <c r="I10" s="59"/>
      <c r="J10" s="59"/>
      <c r="K10" s="19"/>
      <c r="L10" s="111"/>
      <c r="M10" s="111"/>
      <c r="N10" s="111"/>
      <c r="O10" s="111"/>
    </row>
    <row r="11" spans="2:15" ht="23" x14ac:dyDescent="0.15">
      <c r="B11" s="58"/>
      <c r="C11" s="58" t="s">
        <v>73</v>
      </c>
      <c r="D11" s="58"/>
      <c r="E11" s="58"/>
      <c r="F11" s="54"/>
      <c r="G11" s="60"/>
      <c r="H11" s="60"/>
      <c r="I11" s="60"/>
      <c r="J11" s="54"/>
    </row>
    <row r="12" spans="2:15" ht="22" thickBot="1" x14ac:dyDescent="0.25">
      <c r="D12" s="127" t="s">
        <v>19</v>
      </c>
      <c r="E12" s="127"/>
      <c r="F12" s="69">
        <f>IF(ISBLANK('Control Entry'!B12),"",'Control Entry'!B12)</f>
        <v>45521</v>
      </c>
      <c r="G12" s="73"/>
      <c r="H12" s="17" t="s">
        <v>63</v>
      </c>
      <c r="I12" s="68">
        <f>IF(ISBLANK('Control Entry'!B13),"",'Control Entry'!B13)</f>
        <v>0.33333333333333331</v>
      </c>
      <c r="J12" s="23"/>
    </row>
    <row r="13" spans="2:15" ht="20" x14ac:dyDescent="0.2">
      <c r="D13" s="22"/>
      <c r="E13" s="22"/>
      <c r="F13" s="21"/>
      <c r="G13" s="21"/>
      <c r="H13" s="21"/>
      <c r="L13" s="23"/>
      <c r="M13" s="23"/>
      <c r="N13" s="23"/>
    </row>
    <row r="14" spans="2:15" ht="21" thickBot="1" x14ac:dyDescent="0.25">
      <c r="D14" s="127" t="s">
        <v>62</v>
      </c>
      <c r="E14" s="12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28" t="s">
        <v>14</v>
      </c>
      <c r="D17" s="128"/>
      <c r="E17" s="128"/>
      <c r="F17" s="128"/>
      <c r="G17" s="19"/>
      <c r="H17" s="19"/>
      <c r="I17" s="129"/>
      <c r="J17" s="129"/>
      <c r="K17" s="19"/>
      <c r="L17" s="111"/>
      <c r="M17" s="111"/>
      <c r="N17" s="111"/>
      <c r="O17" s="111"/>
    </row>
    <row r="18" spans="2:15" ht="6" customHeight="1" thickBot="1" x14ac:dyDescent="0.2">
      <c r="B18" s="61"/>
      <c r="C18" s="61"/>
      <c r="D18" s="61"/>
      <c r="E18" s="61"/>
      <c r="F18" s="62"/>
      <c r="G18" s="63"/>
      <c r="H18" s="63"/>
      <c r="I18" s="63"/>
      <c r="J18" s="62"/>
    </row>
    <row r="19" spans="2:15" ht="22" thickTop="1" thickBot="1" x14ac:dyDescent="0.2">
      <c r="B19" s="131" t="s">
        <v>50</v>
      </c>
      <c r="C19" s="131"/>
      <c r="D19" s="131"/>
      <c r="E19" s="131"/>
      <c r="F19" s="131"/>
      <c r="G19" s="131"/>
      <c r="H19" s="131"/>
      <c r="I19" s="131"/>
      <c r="J19" s="131"/>
    </row>
    <row r="20" spans="2:15" ht="20" thickBot="1" x14ac:dyDescent="0.25">
      <c r="B20" s="50" t="s">
        <v>26</v>
      </c>
      <c r="C20" s="8" t="s">
        <v>0</v>
      </c>
      <c r="D20" s="8" t="s">
        <v>1</v>
      </c>
      <c r="E20" s="8" t="s">
        <v>22</v>
      </c>
      <c r="F20" s="8" t="s">
        <v>27</v>
      </c>
      <c r="G20" s="124" t="s">
        <v>36</v>
      </c>
      <c r="H20" s="125"/>
      <c r="I20" s="126"/>
      <c r="J20" s="50" t="s">
        <v>28</v>
      </c>
    </row>
    <row r="21" spans="2:15" ht="40" customHeight="1" x14ac:dyDescent="0.25">
      <c r="B21" s="89"/>
      <c r="C21" s="101">
        <f>Control_1 Open_time</f>
        <v>45521.333333333336</v>
      </c>
      <c r="D21" s="101">
        <f>Control_1 Close_time</f>
        <v>45521.375</v>
      </c>
      <c r="E21" s="90"/>
      <c r="F21" s="91" t="str">
        <f>IF(ISBLANK(Control_1 Establishment_1),"",Control_1 Establishment_1)</f>
        <v>STAFFED</v>
      </c>
      <c r="G21" s="114" t="str">
        <f>IF(ISBLANK('Control Entry'!I15),"",'Control Entry'!I15)</f>
        <v/>
      </c>
      <c r="H21" s="115"/>
      <c r="I21" s="116"/>
      <c r="J21" s="92"/>
    </row>
    <row r="22" spans="2:15" ht="40" customHeight="1" x14ac:dyDescent="0.25">
      <c r="B22" s="93">
        <f>IF(ISBLANK(Distance Control_1),"",Control_1 Distance)</f>
        <v>0</v>
      </c>
      <c r="C22" s="94">
        <f>Control_1 Open_time</f>
        <v>45521.333333333336</v>
      </c>
      <c r="D22" s="94">
        <f>Control_1 Close_time</f>
        <v>45521.375</v>
      </c>
      <c r="E22" s="91" t="str">
        <f>IF(ISBLANK(Locale Control_1),"",Locale Control_1)</f>
        <v>PARKSVILLE</v>
      </c>
      <c r="F22" s="91" t="str">
        <f>IF(ISBLANK(Control_1 Establishment_2),"",Control_1 Establishment_2)</f>
        <v>Starbucks</v>
      </c>
      <c r="G22" s="117" t="str">
        <f>IF(ISBLANK('Control Entry'!J15),"",'Control Entry'!J15)</f>
        <v/>
      </c>
      <c r="H22" s="118"/>
      <c r="I22" s="119"/>
      <c r="J22" s="95"/>
    </row>
    <row r="23" spans="2:15" ht="40" customHeight="1" thickBot="1" x14ac:dyDescent="0.3">
      <c r="B23" s="96"/>
      <c r="C23" s="102">
        <f>Control_1 Open_time</f>
        <v>45521.333333333336</v>
      </c>
      <c r="D23" s="102">
        <f>Control_1 Close_time</f>
        <v>45521.375</v>
      </c>
      <c r="E23" s="97"/>
      <c r="F23" s="98" t="str">
        <f>IF(ISBLANK(Control_1 Establishment_3),"",Control_1 Establishment_3)</f>
        <v>382 Island Hwy E @ Mills St</v>
      </c>
      <c r="G23" s="120" t="str">
        <f>IF(ISBLANK('Control Entry'!K15),"",'Control Entry'!K15)</f>
        <v/>
      </c>
      <c r="H23" s="121"/>
      <c r="I23" s="122"/>
      <c r="J23" s="99"/>
    </row>
    <row r="24" spans="2:15" ht="40" customHeight="1" x14ac:dyDescent="0.25">
      <c r="B24" s="89"/>
      <c r="C24" s="101">
        <f>Control_2 Open_time</f>
        <v>45521.36041666667</v>
      </c>
      <c r="D24" s="101">
        <f>Control_2 Close_time</f>
        <v>45521.420833333337</v>
      </c>
      <c r="E24" s="100"/>
      <c r="F24" s="91" t="str">
        <f>IF(ISBLANK(Control_2 Establishment_1),"",Control_2 Establishment_1)</f>
        <v>INFORMATION</v>
      </c>
      <c r="G24" s="114" t="str">
        <f>IF(ISBLANK('Control Entry'!I16),"",'Control Entry'!I16)</f>
        <v>Main sign to left of trail to falls</v>
      </c>
      <c r="H24" s="115"/>
      <c r="I24" s="116"/>
      <c r="J24" s="92"/>
    </row>
    <row r="25" spans="2:15" ht="40" customHeight="1" x14ac:dyDescent="0.25">
      <c r="B25" s="93">
        <f>IF(ISBLANK(Distance Control_2),"",Control_2 Distance)</f>
        <v>22</v>
      </c>
      <c r="C25" s="94">
        <f>Control_2 Open_time</f>
        <v>45521.36041666667</v>
      </c>
      <c r="D25" s="94">
        <f>Control_2 Close_time</f>
        <v>45521.420833333337</v>
      </c>
      <c r="E25" s="91" t="str">
        <f>IF(ISBLANK(Locale Control_2),"",Locale Control_2)</f>
        <v>ERRINGTON</v>
      </c>
      <c r="F25" s="91" t="str">
        <f>IF(ISBLANK(Control_2 Establishment_2),"",Control_2 Establishment_2)</f>
        <v>Englishman River Provincial Park</v>
      </c>
      <c r="G25" s="117" t="str">
        <f>IF(ISBLANK('Control Entry'!J16),"",'Control Entry'!J16)</f>
        <v>Left panel "Things to do"</v>
      </c>
      <c r="H25" s="118"/>
      <c r="I25" s="119"/>
      <c r="J25" s="95"/>
    </row>
    <row r="26" spans="2:15" ht="40" customHeight="1" thickBot="1" x14ac:dyDescent="0.3">
      <c r="B26" s="96"/>
      <c r="C26" s="102">
        <f>Control_2 Open_time</f>
        <v>45521.36041666667</v>
      </c>
      <c r="D26" s="102">
        <f>Control_2 Close_time</f>
        <v>45521.420833333337</v>
      </c>
      <c r="E26" s="97"/>
      <c r="F26" s="98" t="str">
        <f>IF(ISBLANK(Control_2 Establishment_3),"",Control_2 Establishment_3)</f>
        <v>Parking lot, end of Errington Rd</v>
      </c>
      <c r="G26" s="120" t="str">
        <f>IF(ISBLANK('Control Entry'!K16),"",'Control Entry'!K16)</f>
        <v>"Playground near campsite __________"</v>
      </c>
      <c r="H26" s="121"/>
      <c r="I26" s="122"/>
      <c r="J26" s="99"/>
    </row>
    <row r="27" spans="2:15" ht="40" customHeight="1" x14ac:dyDescent="0.25">
      <c r="B27" s="89"/>
      <c r="C27" s="101">
        <f>Control_3 Open_time</f>
        <v>45521.388194444444</v>
      </c>
      <c r="D27" s="101">
        <f>Control_3 Close_time</f>
        <v>45521.468055555561</v>
      </c>
      <c r="E27" s="100"/>
      <c r="F27" s="91" t="str">
        <f>IF(ISBLANK(Control_3 Establishment_1),"",Control_3 Establishment_1)</f>
        <v>INFORMATION</v>
      </c>
      <c r="G27" s="114" t="str">
        <f>IF(ISBLANK('Control Entry'!I17),"",'Control Entry'!I17)</f>
        <v>Face back on route, signpost on right</v>
      </c>
      <c r="H27" s="115"/>
      <c r="I27" s="116"/>
      <c r="J27" s="92"/>
    </row>
    <row r="28" spans="2:15" ht="40" customHeight="1" x14ac:dyDescent="0.25">
      <c r="B28" s="93">
        <f>IF(ISBLANK(Distance Control_3),"",Control_3 Distance)</f>
        <v>44.5</v>
      </c>
      <c r="C28" s="94">
        <f>Control_3 Open_time</f>
        <v>45521.388194444444</v>
      </c>
      <c r="D28" s="94">
        <f>Control_3 Close_time</f>
        <v>45521.468055555561</v>
      </c>
      <c r="E28" s="91" t="str">
        <f>IF(ISBLANK(Locale Control_3),"",Locale Control_3)</f>
        <v>QUALICUM BEACH</v>
      </c>
      <c r="F28" s="91" t="str">
        <f>IF(ISBLANK(Control_3 Establishment_2),"",Control_3 Establishment_2)</f>
        <v>Little Qualicum River Regional Park</v>
      </c>
      <c r="G28" s="117" t="str">
        <f>IF(ISBLANK('Control Entry'!J17),"",'Control Entry'!J17)</f>
        <v/>
      </c>
      <c r="H28" s="118"/>
      <c r="I28" s="119"/>
      <c r="J28" s="95"/>
    </row>
    <row r="29" spans="2:15" ht="40" customHeight="1" thickBot="1" x14ac:dyDescent="0.3">
      <c r="B29" s="96"/>
      <c r="C29" s="102">
        <f>Control_3 Open_time</f>
        <v>45521.388194444444</v>
      </c>
      <c r="D29" s="102">
        <f>Control_3 Close_time</f>
        <v>45521.468055555561</v>
      </c>
      <c r="E29" s="97"/>
      <c r="F29" s="98" t="str">
        <f>IF(ISBLANK(Control_3 Establishment_3),"",Control_3 Establishment_3)</f>
        <v>Parking lot, 1505 Meadowood Way</v>
      </c>
      <c r="G29" s="120" t="str">
        <f>IF(ISBLANK('Control Entry'!K17),"",'Control Entry'!K17)</f>
        <v>"Don't be an ___________ target"</v>
      </c>
      <c r="H29" s="121"/>
      <c r="I29" s="122"/>
      <c r="J29" s="99"/>
    </row>
    <row r="30" spans="2:15" ht="40" customHeight="1" x14ac:dyDescent="0.25">
      <c r="B30" s="89"/>
      <c r="C30" s="101">
        <f>Control_4 Open_time</f>
        <v>45521.461111111115</v>
      </c>
      <c r="D30" s="101">
        <f>Control_4 Close_time</f>
        <v>45521.622222222228</v>
      </c>
      <c r="E30" s="100"/>
      <c r="F30" s="91" t="str">
        <f>IF(ISBLANK(Control_4 Establishment_1),"",Control_4 Establishment_1)</f>
        <v>BUSINESS</v>
      </c>
      <c r="G30" s="114" t="str">
        <f>IF(ISBLANK('Control Entry'!I18),"",'Control Entry'!I18)</f>
        <v/>
      </c>
      <c r="H30" s="115"/>
      <c r="I30" s="116"/>
      <c r="J30" s="92"/>
    </row>
    <row r="31" spans="2:15" ht="40" customHeight="1" x14ac:dyDescent="0.25">
      <c r="B31" s="93">
        <f>IF(ISBLANK(Distance Control_4),"",Control_4 Distance)</f>
        <v>104</v>
      </c>
      <c r="C31" s="94">
        <f>Control_4 Open_time</f>
        <v>45521.461111111115</v>
      </c>
      <c r="D31" s="94">
        <f>Control_4 Close_time</f>
        <v>45521.622222222228</v>
      </c>
      <c r="E31" s="91" t="str">
        <f>IF(ISBLANK(Locale Control_4),"",Locale Control_4)</f>
        <v>COURTENAY</v>
      </c>
      <c r="F31" s="91" t="str">
        <f>IF(ISBLANK(Control_4 Establishment_2),"",Control_4 Establishment_2)</f>
        <v>D's Café</v>
      </c>
      <c r="G31" s="117" t="str">
        <f>IF(ISBLANK('Control Entry'!J18),"",'Control Entry'!J18)</f>
        <v/>
      </c>
      <c r="H31" s="118"/>
      <c r="I31" s="119"/>
      <c r="J31" s="95"/>
    </row>
    <row r="32" spans="2:15" ht="40" customHeight="1" thickBot="1" x14ac:dyDescent="0.3">
      <c r="B32" s="96"/>
      <c r="C32" s="102">
        <f>Control_4 Open_time</f>
        <v>45521.461111111115</v>
      </c>
      <c r="D32" s="102">
        <f>Control_4 Close_time</f>
        <v>45521.622222222228</v>
      </c>
      <c r="E32" s="97"/>
      <c r="F32" s="98" t="str">
        <f>IF(ISBLANK(Control_4 Establishment_3),"",Control_4 Establishment_3)</f>
        <v>Airpark Marina,102A 20th St</v>
      </c>
      <c r="G32" s="120" t="str">
        <f>IF(ISBLANK('Control Entry'!K18),"",'Control Entry'!K18)</f>
        <v/>
      </c>
      <c r="H32" s="121"/>
      <c r="I32" s="122"/>
      <c r="J32" s="99"/>
    </row>
    <row r="33" spans="2:10" ht="40" customHeight="1" x14ac:dyDescent="0.25">
      <c r="B33" s="89"/>
      <c r="C33" s="101">
        <f>Control_5 Open_time</f>
        <v>45521.479861111111</v>
      </c>
      <c r="D33" s="101">
        <f>Control_5 Close_time</f>
        <v>45521.665277777778</v>
      </c>
      <c r="E33" s="100"/>
      <c r="F33" s="91" t="str">
        <f>IF(ISBLANK(Control_5 Establishment_1),"",Control_5 Establishment_1)</f>
        <v>INFORMATION</v>
      </c>
      <c r="G33" s="114" t="str">
        <f>IF(ISBLANK('Control Entry'!I19),"",'Control Entry'!I19)</f>
        <v>Far end of lot, past picnic shelter</v>
      </c>
      <c r="H33" s="115"/>
      <c r="I33" s="116"/>
      <c r="J33" s="92"/>
    </row>
    <row r="34" spans="2:10" ht="40" customHeight="1" x14ac:dyDescent="0.25">
      <c r="B34" s="93">
        <f>IF(ISBLANK(Distance Control_5),"",Control_5 Distance)</f>
        <v>119.4</v>
      </c>
      <c r="C34" s="94">
        <f>Control_5 Open_time</f>
        <v>45521.479861111111</v>
      </c>
      <c r="D34" s="94">
        <f>Control_5 Close_time</f>
        <v>45521.665277777778</v>
      </c>
      <c r="E34" s="91" t="str">
        <f>IF(ISBLANK(Locale Control_5),"",Locale Control_5)</f>
        <v>CUMBERLAND</v>
      </c>
      <c r="F34" s="91" t="str">
        <f>IF(ISBLANK(Control_5 Establishment_2),"",Control_5 Establishment_2)</f>
        <v>Cumberland Lake Park Campground</v>
      </c>
      <c r="G34" s="117" t="str">
        <f>IF(ISBLANK('Control Entry'!J19),"",'Control Entry'!J19)</f>
        <v>Ginger Goodwin Story' sign</v>
      </c>
      <c r="H34" s="118"/>
      <c r="I34" s="119"/>
      <c r="J34" s="95"/>
    </row>
    <row r="35" spans="2:10" ht="40" customHeight="1" thickBot="1" x14ac:dyDescent="0.3">
      <c r="B35" s="96"/>
      <c r="C35" s="102">
        <f>Control_5 Open_time</f>
        <v>45521.479861111111</v>
      </c>
      <c r="D35" s="102">
        <f>Control_5 Close_time</f>
        <v>45521.665277777778</v>
      </c>
      <c r="E35" s="97"/>
      <c r="F35" s="98" t="str">
        <f>IF(ISBLANK(Control_5 Establishment_3),"",Control_5 Establishment_3)</f>
        <v>1100 Comox Lake Rd</v>
      </c>
      <c r="G35" s="120" t="str">
        <f>IF(ISBLANK('Control Entry'!K19),"",'Control Entry'!K19)</f>
        <v>"…on Miners _____________Day…"</v>
      </c>
      <c r="H35" s="121"/>
      <c r="I35" s="122"/>
      <c r="J35" s="99"/>
    </row>
    <row r="36" spans="2:10" ht="40" customHeight="1" x14ac:dyDescent="0.25">
      <c r="B36" s="89"/>
      <c r="C36" s="101">
        <f>Control_6 Open_time</f>
        <v>45521.543055555558</v>
      </c>
      <c r="D36" s="101">
        <f>Control_6 Close_time</f>
        <v>45521.808333333334</v>
      </c>
      <c r="E36" s="100"/>
      <c r="F36" s="91" t="str">
        <f>IF(ISBLANK(Control_6 Establishment_1),"",Control_6 Establishment_1)</f>
        <v>BUSINESS</v>
      </c>
      <c r="G36" s="114" t="str">
        <f>IF(ISBLANK('Control Entry'!I20),"",'Control Entry'!I20)</f>
        <v/>
      </c>
      <c r="H36" s="115"/>
      <c r="I36" s="116"/>
      <c r="J36" s="92"/>
    </row>
    <row r="37" spans="2:10" ht="40" customHeight="1" x14ac:dyDescent="0.25">
      <c r="B37" s="93">
        <f>IF(ISBLANK(Distance Control_6),"",Control_6 Distance)</f>
        <v>171</v>
      </c>
      <c r="C37" s="94">
        <f>Control_6 Open_time</f>
        <v>45521.543055555558</v>
      </c>
      <c r="D37" s="94">
        <f>Control_6 Close_time</f>
        <v>45521.808333333334</v>
      </c>
      <c r="E37" s="91" t="str">
        <f>IF(ISBLANK(Locale Control_6),"",Locale Control_6)</f>
        <v>QUALICUM BAY</v>
      </c>
      <c r="F37" s="91" t="str">
        <f>IF(ISBLANK(Control_6 Establishment_2),"",Control_6 Establishment_2)</f>
        <v>Cone Zone</v>
      </c>
      <c r="G37" s="117" t="str">
        <f>IF(ISBLANK('Control Entry'!J20),"",'Control Entry'!J20)</f>
        <v/>
      </c>
      <c r="H37" s="118"/>
      <c r="I37" s="119"/>
      <c r="J37" s="95"/>
    </row>
    <row r="38" spans="2:10" ht="40" customHeight="1" thickBot="1" x14ac:dyDescent="0.3">
      <c r="B38" s="96"/>
      <c r="C38" s="102">
        <f>Control_6 Open_time</f>
        <v>45521.543055555558</v>
      </c>
      <c r="D38" s="102">
        <f>Control_6 Close_time</f>
        <v>45521.808333333334</v>
      </c>
      <c r="E38" s="97"/>
      <c r="F38" s="98" t="str">
        <f>IF(ISBLANK(Control_6 Establishment_3),"",Control_6 Establishment_3)</f>
        <v>5970 Island Hwy W</v>
      </c>
      <c r="G38" s="120" t="str">
        <f>IF(ISBLANK('Control Entry'!K20),"",'Control Entry'!K20)</f>
        <v/>
      </c>
      <c r="H38" s="121"/>
      <c r="I38" s="122"/>
      <c r="J38" s="99"/>
    </row>
    <row r="39" spans="2:10" ht="40" customHeight="1" x14ac:dyDescent="0.25">
      <c r="B39" s="89"/>
      <c r="C39" s="101">
        <f>Control_7 Open_time</f>
        <v>45521.581250000003</v>
      </c>
      <c r="D39" s="101">
        <f>Control_7 Close_time</f>
        <v>45521.895833333336</v>
      </c>
      <c r="E39" s="100"/>
      <c r="F39" s="91" t="str">
        <f>IF(ISBLANK(Control_7 Establishment_1),"",Control_7 Establishment_1)</f>
        <v>BUSINESS</v>
      </c>
      <c r="G39" s="114" t="str">
        <f>IF(ISBLANK('Control Entry'!I21),"",'Control Entry'!I21)</f>
        <v/>
      </c>
      <c r="H39" s="115"/>
      <c r="I39" s="116"/>
      <c r="J39" s="92"/>
    </row>
    <row r="40" spans="2:10" ht="40" customHeight="1" x14ac:dyDescent="0.25">
      <c r="B40" s="93">
        <f>IF(ISBLANK(Distance Control_7),"",Control_7 Distance)</f>
        <v>202.1</v>
      </c>
      <c r="C40" s="94">
        <f>Control_7 Open_time</f>
        <v>45521.581250000003</v>
      </c>
      <c r="D40" s="94">
        <f>Control_7 Close_time</f>
        <v>45521.895833333336</v>
      </c>
      <c r="E40" s="91" t="str">
        <f>IF(ISBLANK(Locale Control_7),"",Locale Control_7)</f>
        <v>PARKSVILLE</v>
      </c>
      <c r="F40" s="91" t="str">
        <f>IF(ISBLANK(Control_7 Establishment_2),"",Control_7 Establishment_2)</f>
        <v>Shell Gas</v>
      </c>
      <c r="G40" s="117" t="str">
        <f>IF(ISBLANK('Control Entry'!J21),"",'Control Entry'!J21)</f>
        <v/>
      </c>
      <c r="H40" s="118"/>
      <c r="I40" s="119"/>
      <c r="J40" s="95"/>
    </row>
    <row r="41" spans="2:10" ht="40" customHeight="1" thickBot="1" x14ac:dyDescent="0.3">
      <c r="B41" s="96"/>
      <c r="C41" s="102">
        <f>Control_7 Open_time</f>
        <v>45521.581250000003</v>
      </c>
      <c r="D41" s="102">
        <f>Control_7 Close_time</f>
        <v>45521.895833333336</v>
      </c>
      <c r="E41" s="97"/>
      <c r="F41" s="98" t="str">
        <f>IF(ISBLANK(Control_7 Establishment_3),"",Control_7 Establishment_3)</f>
        <v>370 Island Hwy E @ McVickers St</v>
      </c>
      <c r="G41" s="120" t="str">
        <f>IF(ISBLANK('Control Entry'!K21),"",'Control Entry'!K21)</f>
        <v/>
      </c>
      <c r="H41" s="121"/>
      <c r="I41" s="122"/>
      <c r="J41" s="99"/>
    </row>
    <row r="42" spans="2:10" ht="40" customHeight="1" x14ac:dyDescent="0.25">
      <c r="B42" s="89"/>
      <c r="C42" s="101" t="str">
        <f>Control_8 Open_time</f>
        <v/>
      </c>
      <c r="D42" s="101" t="str">
        <f>Control_8 Close_time</f>
        <v/>
      </c>
      <c r="E42" s="100"/>
      <c r="F42" s="91" t="str">
        <f>IF(ISBLANK(Control_8 Establishment_1),"",Control_8 Establishment_1)</f>
        <v/>
      </c>
      <c r="G42" s="114" t="str">
        <f>IF(ISBLANK('Control Entry'!I22),"",'Control Entry'!I22)</f>
        <v/>
      </c>
      <c r="H42" s="115"/>
      <c r="I42" s="116"/>
      <c r="J42" s="92"/>
    </row>
    <row r="43" spans="2:10" ht="40" customHeight="1" x14ac:dyDescent="0.25">
      <c r="B43" s="93" t="str">
        <f>IF(ISBLANK(Distance Control_8),"",Control_8 Distance)</f>
        <v/>
      </c>
      <c r="C43" s="94" t="str">
        <f>Control_8 Open_time</f>
        <v/>
      </c>
      <c r="D43" s="94" t="str">
        <f>Control_8 Close_time</f>
        <v/>
      </c>
      <c r="E43" s="91" t="str">
        <f>IF(ISBLANK(Locale Control_8),"",Locale Control_8)</f>
        <v/>
      </c>
      <c r="F43" s="91" t="str">
        <f>IF(ISBLANK(Control_8 Establishment_2),"",Control_8 Establishment_2)</f>
        <v/>
      </c>
      <c r="G43" s="117" t="str">
        <f>IF(ISBLANK('Control Entry'!J22),"",'Control Entry'!J22)</f>
        <v/>
      </c>
      <c r="H43" s="118"/>
      <c r="I43" s="119"/>
      <c r="J43" s="95"/>
    </row>
    <row r="44" spans="2:10" ht="40" customHeight="1" thickBot="1" x14ac:dyDescent="0.3">
      <c r="B44" s="96"/>
      <c r="C44" s="102" t="str">
        <f>Control_8 Open_time</f>
        <v/>
      </c>
      <c r="D44" s="102" t="str">
        <f>Control_8 Close_time</f>
        <v/>
      </c>
      <c r="E44" s="97"/>
      <c r="F44" s="98" t="str">
        <f>IF(ISBLANK(Control_8 Establishment_3),"",Control_8 Establishment_3)</f>
        <v/>
      </c>
      <c r="G44" s="120" t="str">
        <f>IF(ISBLANK('Control Entry'!K22),"",'Control Entry'!K22)</f>
        <v/>
      </c>
      <c r="H44" s="121"/>
      <c r="I44" s="122"/>
      <c r="J44" s="99"/>
    </row>
    <row r="45" spans="2:10" ht="40" customHeight="1" x14ac:dyDescent="0.25">
      <c r="B45" s="89"/>
      <c r="C45" s="101" t="str">
        <f>Control_9 Open_time</f>
        <v/>
      </c>
      <c r="D45" s="101" t="str">
        <f>Control_9 Close_time</f>
        <v/>
      </c>
      <c r="E45" s="100"/>
      <c r="F45" s="91" t="str">
        <f>IF(ISBLANK(Control_9 Establishment_1),"",Control_9 Establishment_1)</f>
        <v/>
      </c>
      <c r="G45" s="114" t="str">
        <f>IF(ISBLANK('Control Entry'!I23),"",'Control Entry'!I23)</f>
        <v/>
      </c>
      <c r="H45" s="115"/>
      <c r="I45" s="116"/>
      <c r="J45" s="92"/>
    </row>
    <row r="46" spans="2:10" ht="40" customHeight="1" x14ac:dyDescent="0.25">
      <c r="B46" s="93" t="str">
        <f>IF(ISBLANK(Distance Control_9),"",Control_9 Distance)</f>
        <v/>
      </c>
      <c r="C46" s="94" t="str">
        <f>Control_9 Open_time</f>
        <v/>
      </c>
      <c r="D46" s="94" t="str">
        <f>Control_9 Close_time</f>
        <v/>
      </c>
      <c r="E46" s="91" t="str">
        <f>IF(ISBLANK(Locale Control_9),"",Locale Control_9)</f>
        <v/>
      </c>
      <c r="F46" s="91" t="str">
        <f>IF(ISBLANK(Control_9 Establishment_2),"",Control_9 Establishment_2)</f>
        <v/>
      </c>
      <c r="G46" s="117" t="str">
        <f>IF(ISBLANK('Control Entry'!J23),"",'Control Entry'!J23)</f>
        <v/>
      </c>
      <c r="H46" s="118"/>
      <c r="I46" s="119"/>
      <c r="J46" s="95"/>
    </row>
    <row r="47" spans="2:10" ht="40" customHeight="1" thickBot="1" x14ac:dyDescent="0.3">
      <c r="B47" s="96"/>
      <c r="C47" s="102" t="str">
        <f>Control_9 Open_time</f>
        <v/>
      </c>
      <c r="D47" s="102" t="str">
        <f>Control_9 Close_time</f>
        <v/>
      </c>
      <c r="E47" s="97"/>
      <c r="F47" s="98" t="str">
        <f>IF(ISBLANK(Control_9 Establishment_3),"",Control_9 Establishment_3)</f>
        <v/>
      </c>
      <c r="G47" s="120" t="str">
        <f>IF(ISBLANK('Control Entry'!K23),"",'Control Entry'!K23)</f>
        <v/>
      </c>
      <c r="H47" s="121"/>
      <c r="I47" s="122"/>
      <c r="J47" s="99"/>
    </row>
    <row r="48" spans="2:10" ht="40" customHeight="1" x14ac:dyDescent="0.25">
      <c r="B48" s="89"/>
      <c r="C48" s="101" t="str">
        <f>Control_10 Open_time</f>
        <v/>
      </c>
      <c r="D48" s="101" t="str">
        <f>Control_10 Close_time</f>
        <v/>
      </c>
      <c r="E48" s="100"/>
      <c r="F48" s="91" t="str">
        <f>IF(ISBLANK(Control_10 Establishment_1),"",Control_10 Establishment_1)</f>
        <v/>
      </c>
      <c r="G48" s="114" t="str">
        <f>IF(ISBLANK('Control Entry'!I24),"",'Control Entry'!I24)</f>
        <v/>
      </c>
      <c r="H48" s="115"/>
      <c r="I48" s="116"/>
      <c r="J48" s="92"/>
    </row>
    <row r="49" spans="2:11" ht="40" customHeight="1" x14ac:dyDescent="0.25">
      <c r="B49" s="93" t="str">
        <f>IF(ISBLANK(Distance Control_10),"",Control_10 Distance)</f>
        <v/>
      </c>
      <c r="C49" s="94" t="str">
        <f>Control_10 Open_time</f>
        <v/>
      </c>
      <c r="D49" s="94" t="str">
        <f>Control_10 Close_time</f>
        <v/>
      </c>
      <c r="E49" s="91" t="str">
        <f>IF(ISBLANK(Locale Control_10),"",Locale Control_10)</f>
        <v/>
      </c>
      <c r="F49" s="91" t="str">
        <f>IF(ISBLANK(Control_10 Establishment_2),"",Control_10 Establishment_2)</f>
        <v/>
      </c>
      <c r="G49" s="117" t="str">
        <f>IF(ISBLANK('Control Entry'!J24),"",'Control Entry'!J24)</f>
        <v/>
      </c>
      <c r="H49" s="118"/>
      <c r="I49" s="119"/>
      <c r="J49" s="95"/>
    </row>
    <row r="50" spans="2:11" ht="40" customHeight="1" thickBot="1" x14ac:dyDescent="0.3">
      <c r="B50" s="96"/>
      <c r="C50" s="102" t="str">
        <f>Control_10 Open_time</f>
        <v/>
      </c>
      <c r="D50" s="102" t="str">
        <f>Control_10 Close_time</f>
        <v/>
      </c>
      <c r="E50" s="97"/>
      <c r="F50" s="98" t="str">
        <f>IF(ISBLANK(Control_10 Establishment_3),"",Control_10 Establishment_3)</f>
        <v/>
      </c>
      <c r="G50" s="120" t="str">
        <f>IF(ISBLANK('Control Entry'!K24),"",'Control Entry'!K24)</f>
        <v/>
      </c>
      <c r="H50" s="121"/>
      <c r="I50" s="122"/>
      <c r="J50" s="99"/>
    </row>
    <row r="52" spans="2:11" ht="24" customHeight="1" x14ac:dyDescent="0.15">
      <c r="B52" s="123" t="s">
        <v>30</v>
      </c>
      <c r="C52" s="123"/>
      <c r="D52" s="123"/>
      <c r="E52" s="123"/>
      <c r="F52" s="123"/>
      <c r="I52" s="58" t="s">
        <v>56</v>
      </c>
      <c r="J52" s="81" t="str">
        <f>IF(ISBLANK('Control Entry'!F10),"",'Control Entry'!F10)</f>
        <v>‭+1 (250) 792-3126‬</v>
      </c>
      <c r="K52" s="54"/>
    </row>
    <row r="54" spans="2:11" x14ac:dyDescent="0.15">
      <c r="B54" s="76" t="s">
        <v>59</v>
      </c>
      <c r="C54" s="77">
        <f>'Control Entry'!B3</f>
        <v>45428</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2"/>
      <c r="G57" s="113"/>
      <c r="H57" s="113"/>
      <c r="I57" s="113"/>
      <c r="J57" s="113"/>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0" t="s">
        <v>33</v>
      </c>
      <c r="D2" s="130"/>
      <c r="E2" s="130"/>
      <c r="F2" s="130"/>
      <c r="G2" s="55"/>
      <c r="H2" s="55"/>
      <c r="I2" s="78" t="s">
        <v>58</v>
      </c>
      <c r="J2" s="79">
        <f>'Control Entry'!B4</f>
        <v>45516</v>
      </c>
      <c r="K2" s="55"/>
      <c r="L2" s="55"/>
    </row>
    <row r="3" spans="2:15" ht="45" customHeight="1" x14ac:dyDescent="0.45">
      <c r="D3" s="12"/>
      <c r="E3" s="139" t="s">
        <v>29</v>
      </c>
      <c r="F3" s="139"/>
      <c r="G3" s="139"/>
      <c r="H3" s="139"/>
      <c r="I3" s="66" t="s">
        <v>60</v>
      </c>
      <c r="J3" s="71">
        <f>IF(ISBLANK(Brevet_Number),"",Brevet_Number)</f>
        <v>5412</v>
      </c>
      <c r="K3" s="39"/>
      <c r="L3" s="39"/>
    </row>
    <row r="4" spans="2:15" ht="20" customHeight="1" x14ac:dyDescent="0.15">
      <c r="C4" s="12"/>
      <c r="E4" s="140" t="str">
        <f>IF(ISBLANK(Brevet_Length),"",Brevet_Length&amp;" km Randonnée")</f>
        <v>200 km Randonnée</v>
      </c>
      <c r="F4" s="140"/>
      <c r="G4" s="140"/>
      <c r="H4" s="140"/>
      <c r="K4" s="51"/>
      <c r="L4" s="51"/>
    </row>
    <row r="5" spans="2:15" ht="20" customHeight="1" x14ac:dyDescent="0.2">
      <c r="D5" s="52"/>
      <c r="E5" s="138" t="str">
        <f>IF(ISBLANK(Brevet_Description),"",Brevet_Description)</f>
        <v>Coombs Cumberland Explorer</v>
      </c>
      <c r="F5" s="138"/>
      <c r="G5" s="138"/>
      <c r="H5" s="138"/>
      <c r="I5" s="74"/>
      <c r="J5" s="52"/>
      <c r="K5" s="52"/>
      <c r="L5" s="52"/>
    </row>
    <row r="6" spans="2:15" ht="20" x14ac:dyDescent="0.2">
      <c r="D6" s="67"/>
      <c r="E6" s="138"/>
      <c r="F6" s="138"/>
      <c r="G6" s="138"/>
      <c r="H6" s="138"/>
      <c r="I6" s="74"/>
      <c r="J6" s="67"/>
      <c r="K6" s="52"/>
      <c r="L6" s="52"/>
    </row>
    <row r="7" spans="2:15" ht="25" customHeight="1" x14ac:dyDescent="0.15">
      <c r="C7" s="134"/>
      <c r="D7" s="134"/>
      <c r="E7" s="134"/>
      <c r="F7" s="134"/>
      <c r="H7" s="136"/>
    </row>
    <row r="8" spans="2:15" ht="21" thickBot="1" x14ac:dyDescent="0.25">
      <c r="B8" s="17" t="s">
        <v>61</v>
      </c>
      <c r="C8" s="135"/>
      <c r="D8" s="135"/>
      <c r="E8" s="135"/>
      <c r="F8" s="135"/>
      <c r="G8" s="17" t="s">
        <v>31</v>
      </c>
      <c r="H8" s="137"/>
      <c r="I8" s="53"/>
      <c r="J8" s="53"/>
      <c r="K8" s="53"/>
    </row>
    <row r="9" spans="2:15" ht="22" customHeight="1" x14ac:dyDescent="0.15">
      <c r="B9" s="58"/>
      <c r="C9" s="58"/>
      <c r="D9" s="58"/>
      <c r="E9" s="58"/>
      <c r="F9" s="54"/>
      <c r="G9" s="60"/>
      <c r="H9" s="60"/>
      <c r="I9" s="60"/>
      <c r="J9" s="54"/>
    </row>
    <row r="10" spans="2:15" ht="20" customHeight="1" x14ac:dyDescent="0.15">
      <c r="B10" s="132" t="s">
        <v>34</v>
      </c>
      <c r="C10" s="132"/>
      <c r="D10" s="64" t="s">
        <v>35</v>
      </c>
      <c r="E10" s="133" t="s">
        <v>57</v>
      </c>
      <c r="F10" s="133"/>
      <c r="G10" s="133"/>
      <c r="H10" s="70"/>
      <c r="I10" s="59"/>
      <c r="J10" s="59"/>
      <c r="K10" s="19"/>
      <c r="L10" s="111"/>
      <c r="M10" s="111"/>
      <c r="N10" s="111"/>
      <c r="O10" s="111"/>
    </row>
    <row r="11" spans="2:15" ht="23" x14ac:dyDescent="0.15">
      <c r="B11" s="58"/>
      <c r="C11" s="58" t="s">
        <v>73</v>
      </c>
      <c r="D11" s="58"/>
      <c r="E11" s="58"/>
      <c r="F11" s="54"/>
      <c r="G11" s="60"/>
      <c r="H11" s="60"/>
      <c r="I11" s="60"/>
      <c r="J11" s="54"/>
    </row>
    <row r="12" spans="2:15" ht="22" thickBot="1" x14ac:dyDescent="0.25">
      <c r="D12" s="127" t="s">
        <v>19</v>
      </c>
      <c r="E12" s="127"/>
      <c r="F12" s="69">
        <f>IF(ISBLANK('Control Entry'!B12),"",'Control Entry'!B12)</f>
        <v>45521</v>
      </c>
      <c r="G12" s="73"/>
      <c r="H12" s="17" t="s">
        <v>63</v>
      </c>
      <c r="I12" s="68">
        <f>IF(ISBLANK('Control Entry'!B13),"",'Control Entry'!B13)</f>
        <v>0.33333333333333331</v>
      </c>
      <c r="J12" s="23"/>
    </row>
    <row r="13" spans="2:15" ht="20" x14ac:dyDescent="0.2">
      <c r="D13" s="22"/>
      <c r="E13" s="22"/>
      <c r="F13" s="21"/>
      <c r="G13" s="21"/>
      <c r="H13" s="21"/>
      <c r="L13" s="23"/>
      <c r="M13" s="23"/>
      <c r="N13" s="23"/>
    </row>
    <row r="14" spans="2:15" ht="21" thickBot="1" x14ac:dyDescent="0.25">
      <c r="D14" s="127" t="s">
        <v>62</v>
      </c>
      <c r="E14" s="12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28" t="s">
        <v>14</v>
      </c>
      <c r="D17" s="128"/>
      <c r="E17" s="128"/>
      <c r="F17" s="128"/>
      <c r="G17" s="19"/>
      <c r="H17" s="19"/>
      <c r="I17" s="129"/>
      <c r="J17" s="129"/>
      <c r="K17" s="19"/>
      <c r="L17" s="111"/>
      <c r="M17" s="111"/>
      <c r="N17" s="111"/>
      <c r="O17" s="111"/>
    </row>
    <row r="18" spans="2:15" ht="6" customHeight="1" thickBot="1" x14ac:dyDescent="0.2">
      <c r="B18" s="61"/>
      <c r="C18" s="61"/>
      <c r="D18" s="61"/>
      <c r="E18" s="61"/>
      <c r="F18" s="62"/>
      <c r="G18" s="63"/>
      <c r="H18" s="63"/>
      <c r="I18" s="63"/>
      <c r="J18" s="62"/>
    </row>
    <row r="19" spans="2:15" ht="22" thickTop="1" thickBot="1" x14ac:dyDescent="0.2">
      <c r="B19" s="131" t="s">
        <v>50</v>
      </c>
      <c r="C19" s="131"/>
      <c r="D19" s="131"/>
      <c r="E19" s="131"/>
      <c r="F19" s="131"/>
      <c r="G19" s="131"/>
      <c r="H19" s="131"/>
      <c r="I19" s="131"/>
      <c r="J19" s="131"/>
    </row>
    <row r="20" spans="2:15" ht="20" thickBot="1" x14ac:dyDescent="0.25">
      <c r="B20" s="50" t="s">
        <v>26</v>
      </c>
      <c r="C20" s="8" t="s">
        <v>0</v>
      </c>
      <c r="D20" s="8" t="s">
        <v>1</v>
      </c>
      <c r="E20" s="8" t="s">
        <v>22</v>
      </c>
      <c r="F20" s="8" t="s">
        <v>27</v>
      </c>
      <c r="G20" s="124" t="s">
        <v>36</v>
      </c>
      <c r="H20" s="125"/>
      <c r="I20" s="126"/>
      <c r="J20" s="50" t="s">
        <v>28</v>
      </c>
    </row>
    <row r="21" spans="2:15" ht="40" customHeight="1" x14ac:dyDescent="0.25">
      <c r="B21" s="89"/>
      <c r="C21" s="101" t="str">
        <f>'Control Entry'!N$28</f>
        <v/>
      </c>
      <c r="D21" s="101" t="str">
        <f>'Control Entry'!O$28</f>
        <v/>
      </c>
      <c r="E21" s="90"/>
      <c r="F21" s="91" t="str">
        <f>IF(ISBLANK('Control Entry'!F$28),"",'Control Entry'!F$28)</f>
        <v/>
      </c>
      <c r="G21" s="114" t="str">
        <f>IF(ISBLANK('Control Entry'!I$28),"",'Control Entry'!I$28)</f>
        <v/>
      </c>
      <c r="H21" s="115"/>
      <c r="I21" s="116"/>
      <c r="J21" s="92"/>
    </row>
    <row r="22" spans="2:15" ht="40" customHeight="1" x14ac:dyDescent="0.25">
      <c r="B22" s="93" t="str">
        <f>IF(ISBLANK('Control Entry'!D$28),"",'Control Entry'!D$28)</f>
        <v/>
      </c>
      <c r="C22" s="94" t="str">
        <f>'Control Entry'!N$28</f>
        <v/>
      </c>
      <c r="D22" s="94" t="str">
        <f>'Control Entry'!O$28</f>
        <v/>
      </c>
      <c r="E22" s="91" t="str">
        <f>IF(ISBLANK('Control Entry'!E$28),"",'Control Entry'!E$28)</f>
        <v/>
      </c>
      <c r="F22" s="91" t="str">
        <f>IF(ISBLANK('Control Entry'!G$28),"",'Control Entry'!G$28)</f>
        <v/>
      </c>
      <c r="G22" s="117" t="str">
        <f>IF(ISBLANK('Control Entry'!J$28),"",'Control Entry'!J$28)</f>
        <v/>
      </c>
      <c r="H22" s="118"/>
      <c r="I22" s="119"/>
      <c r="J22" s="95"/>
    </row>
    <row r="23" spans="2:15" ht="40" customHeight="1" thickBot="1" x14ac:dyDescent="0.3">
      <c r="B23" s="96"/>
      <c r="C23" s="102" t="str">
        <f>'Control Entry'!N$28</f>
        <v/>
      </c>
      <c r="D23" s="102" t="str">
        <f>'Control Entry'!O$28</f>
        <v/>
      </c>
      <c r="E23" s="97"/>
      <c r="F23" s="98" t="str">
        <f>IF(ISBLANK('Control Entry'!H$28),"",'Control Entry'!H$28)</f>
        <v/>
      </c>
      <c r="G23" s="120" t="str">
        <f>IF(ISBLANK('Control Entry'!K$28),"",'Control Entry'!K$28)</f>
        <v/>
      </c>
      <c r="H23" s="121"/>
      <c r="I23" s="122"/>
      <c r="J23" s="99"/>
    </row>
    <row r="24" spans="2:15" ht="40" customHeight="1" x14ac:dyDescent="0.25">
      <c r="B24" s="89"/>
      <c r="C24" s="101" t="str">
        <f>'Control Entry'!N$29</f>
        <v/>
      </c>
      <c r="D24" s="101" t="str">
        <f>'Control Entry'!O$29</f>
        <v/>
      </c>
      <c r="E24" s="90"/>
      <c r="F24" s="91" t="str">
        <f>IF(ISBLANK('Control Entry'!F$29),"",'Control Entry'!F$29)</f>
        <v/>
      </c>
      <c r="G24" s="114" t="str">
        <f>IF(ISBLANK('Control Entry'!I$29),"",'Control Entry'!I$29)</f>
        <v/>
      </c>
      <c r="H24" s="115"/>
      <c r="I24" s="116"/>
      <c r="J24" s="92"/>
    </row>
    <row r="25" spans="2:15" ht="40" customHeight="1" x14ac:dyDescent="0.25">
      <c r="B25" s="93" t="str">
        <f>IF(ISBLANK('Control Entry'!D$29),"",'Control Entry'!D$29)</f>
        <v/>
      </c>
      <c r="C25" s="94" t="str">
        <f>'Control Entry'!N$29</f>
        <v/>
      </c>
      <c r="D25" s="94" t="str">
        <f>'Control Entry'!O$29</f>
        <v/>
      </c>
      <c r="E25" s="91" t="str">
        <f>IF(ISBLANK('Control Entry'!E$29),"",'Control Entry'!E$29)</f>
        <v/>
      </c>
      <c r="F25" s="91" t="str">
        <f>IF(ISBLANK('Control Entry'!G$29),"",'Control Entry'!G$29)</f>
        <v/>
      </c>
      <c r="G25" s="117" t="str">
        <f>IF(ISBLANK('Control Entry'!J$29),"",'Control Entry'!J$29)</f>
        <v/>
      </c>
      <c r="H25" s="118"/>
      <c r="I25" s="119"/>
      <c r="J25" s="95"/>
    </row>
    <row r="26" spans="2:15" ht="40" customHeight="1" thickBot="1" x14ac:dyDescent="0.3">
      <c r="B26" s="96"/>
      <c r="C26" s="102" t="str">
        <f>'Control Entry'!N$29</f>
        <v/>
      </c>
      <c r="D26" s="102" t="str">
        <f>'Control Entry'!O$29</f>
        <v/>
      </c>
      <c r="E26" s="97"/>
      <c r="F26" s="98" t="str">
        <f>IF(ISBLANK('Control Entry'!H$29),"",'Control Entry'!H$29)</f>
        <v/>
      </c>
      <c r="G26" s="120" t="str">
        <f>IF(ISBLANK('Control Entry'!K$29),"",'Control Entry'!K$29)</f>
        <v/>
      </c>
      <c r="H26" s="121"/>
      <c r="I26" s="122"/>
      <c r="J26" s="99"/>
    </row>
    <row r="27" spans="2:15" ht="40" customHeight="1" x14ac:dyDescent="0.25">
      <c r="B27" s="89"/>
      <c r="C27" s="101" t="str">
        <f>'Control Entry'!N$30</f>
        <v/>
      </c>
      <c r="D27" s="101" t="str">
        <f>'Control Entry'!O$30</f>
        <v/>
      </c>
      <c r="E27" s="90"/>
      <c r="F27" s="91" t="str">
        <f>IF(ISBLANK('Control Entry'!F$30),"",'Control Entry'!F$30)</f>
        <v/>
      </c>
      <c r="G27" s="114" t="str">
        <f>IF(ISBLANK('Control Entry'!I$30),"",'Control Entry'!I$30)</f>
        <v/>
      </c>
      <c r="H27" s="115"/>
      <c r="I27" s="116"/>
      <c r="J27" s="92"/>
    </row>
    <row r="28" spans="2:15" ht="40" customHeight="1" x14ac:dyDescent="0.25">
      <c r="B28" s="93" t="str">
        <f>IF(ISBLANK('Control Entry'!D$30),"",'Control Entry'!D$30)</f>
        <v/>
      </c>
      <c r="C28" s="94" t="str">
        <f>'Control Entry'!N$30</f>
        <v/>
      </c>
      <c r="D28" s="94" t="str">
        <f>'Control Entry'!O$30</f>
        <v/>
      </c>
      <c r="E28" s="91" t="str">
        <f>IF(ISBLANK('Control Entry'!E$30),"",'Control Entry'!E$30)</f>
        <v/>
      </c>
      <c r="F28" s="91" t="str">
        <f>IF(ISBLANK('Control Entry'!G$30),"",'Control Entry'!G$30)</f>
        <v/>
      </c>
      <c r="G28" s="117" t="str">
        <f>IF(ISBLANK('Control Entry'!J$30),"",'Control Entry'!J$30)</f>
        <v/>
      </c>
      <c r="H28" s="118"/>
      <c r="I28" s="119"/>
      <c r="J28" s="95"/>
    </row>
    <row r="29" spans="2:15" ht="40" customHeight="1" thickBot="1" x14ac:dyDescent="0.3">
      <c r="B29" s="96"/>
      <c r="C29" s="102" t="str">
        <f>'Control Entry'!N$30</f>
        <v/>
      </c>
      <c r="D29" s="102" t="str">
        <f>'Control Entry'!O$30</f>
        <v/>
      </c>
      <c r="E29" s="97"/>
      <c r="F29" s="98" t="str">
        <f>IF(ISBLANK('Control Entry'!H$30),"",'Control Entry'!H$30)</f>
        <v/>
      </c>
      <c r="G29" s="120" t="str">
        <f>IF(ISBLANK('Control Entry'!K$30),"",'Control Entry'!K$30)</f>
        <v/>
      </c>
      <c r="H29" s="121"/>
      <c r="I29" s="122"/>
      <c r="J29" s="99"/>
    </row>
    <row r="30" spans="2:15" ht="40" customHeight="1" x14ac:dyDescent="0.25">
      <c r="B30" s="89"/>
      <c r="C30" s="101" t="str">
        <f>'Control Entry'!N$31</f>
        <v/>
      </c>
      <c r="D30" s="101" t="str">
        <f>'Control Entry'!O$31</f>
        <v/>
      </c>
      <c r="E30" s="90"/>
      <c r="F30" s="91" t="str">
        <f>IF(ISBLANK('Control Entry'!F$31),"",'Control Entry'!F$31)</f>
        <v/>
      </c>
      <c r="G30" s="114" t="str">
        <f>IF(ISBLANK('Control Entry'!I$31),"",'Control Entry'!I$31)</f>
        <v/>
      </c>
      <c r="H30" s="115"/>
      <c r="I30" s="116"/>
      <c r="J30" s="92"/>
    </row>
    <row r="31" spans="2:15" ht="40" customHeight="1" x14ac:dyDescent="0.25">
      <c r="B31" s="93" t="str">
        <f>IF(ISBLANK('Control Entry'!D$31),"",'Control Entry'!D$31)</f>
        <v/>
      </c>
      <c r="C31" s="94" t="str">
        <f>'Control Entry'!N$31</f>
        <v/>
      </c>
      <c r="D31" s="94" t="str">
        <f>'Control Entry'!O$31</f>
        <v/>
      </c>
      <c r="E31" s="91" t="str">
        <f>IF(ISBLANK('Control Entry'!E$31),"",'Control Entry'!E$31)</f>
        <v/>
      </c>
      <c r="F31" s="91" t="str">
        <f>IF(ISBLANK('Control Entry'!G$31),"",'Control Entry'!G$31)</f>
        <v/>
      </c>
      <c r="G31" s="117" t="str">
        <f>IF(ISBLANK('Control Entry'!J$31),"",'Control Entry'!J$31)</f>
        <v/>
      </c>
      <c r="H31" s="118"/>
      <c r="I31" s="119"/>
      <c r="J31" s="95"/>
    </row>
    <row r="32" spans="2:15" ht="40" customHeight="1" thickBot="1" x14ac:dyDescent="0.3">
      <c r="B32" s="96"/>
      <c r="C32" s="102" t="str">
        <f>'Control Entry'!N$31</f>
        <v/>
      </c>
      <c r="D32" s="102" t="str">
        <f>'Control Entry'!O$31</f>
        <v/>
      </c>
      <c r="E32" s="97"/>
      <c r="F32" s="98" t="str">
        <f>IF(ISBLANK('Control Entry'!H$31),"",'Control Entry'!H$31)</f>
        <v/>
      </c>
      <c r="G32" s="120" t="str">
        <f>IF(ISBLANK('Control Entry'!K$31),"",'Control Entry'!K$31)</f>
        <v/>
      </c>
      <c r="H32" s="121"/>
      <c r="I32" s="122"/>
      <c r="J32" s="99"/>
    </row>
    <row r="33" spans="2:10" ht="40" customHeight="1" x14ac:dyDescent="0.25">
      <c r="B33" s="89"/>
      <c r="C33" s="101" t="str">
        <f>'Control Entry'!N$32</f>
        <v/>
      </c>
      <c r="D33" s="101" t="str">
        <f>'Control Entry'!O$32</f>
        <v/>
      </c>
      <c r="E33" s="90"/>
      <c r="F33" s="91" t="str">
        <f>IF(ISBLANK('Control Entry'!F$32),"",'Control Entry'!F$32)</f>
        <v/>
      </c>
      <c r="G33" s="114" t="str">
        <f>IF(ISBLANK('Control Entry'!I$32),"",'Control Entry'!I$32)</f>
        <v/>
      </c>
      <c r="H33" s="115"/>
      <c r="I33" s="116"/>
      <c r="J33" s="92"/>
    </row>
    <row r="34" spans="2:10" ht="40" customHeight="1" x14ac:dyDescent="0.25">
      <c r="B34" s="93" t="str">
        <f>IF(ISBLANK('Control Entry'!D$32),"",'Control Entry'!D$32)</f>
        <v/>
      </c>
      <c r="C34" s="94" t="str">
        <f>'Control Entry'!N$32</f>
        <v/>
      </c>
      <c r="D34" s="94" t="str">
        <f>'Control Entry'!O$32</f>
        <v/>
      </c>
      <c r="E34" s="91" t="str">
        <f>IF(ISBLANK('Control Entry'!E$32),"",'Control Entry'!E$32)</f>
        <v/>
      </c>
      <c r="F34" s="91" t="str">
        <f>IF(ISBLANK('Control Entry'!G$32),"",'Control Entry'!G$32)</f>
        <v/>
      </c>
      <c r="G34" s="117" t="str">
        <f>IF(ISBLANK('Control Entry'!J$32),"",'Control Entry'!J$32)</f>
        <v/>
      </c>
      <c r="H34" s="118"/>
      <c r="I34" s="119"/>
      <c r="J34" s="95"/>
    </row>
    <row r="35" spans="2:10" ht="40" customHeight="1" thickBot="1" x14ac:dyDescent="0.3">
      <c r="B35" s="96"/>
      <c r="C35" s="102" t="str">
        <f>'Control Entry'!N$32</f>
        <v/>
      </c>
      <c r="D35" s="102" t="str">
        <f>'Control Entry'!O$32</f>
        <v/>
      </c>
      <c r="E35" s="97"/>
      <c r="F35" s="98" t="str">
        <f>IF(ISBLANK('Control Entry'!H$32),"",'Control Entry'!H$32)</f>
        <v/>
      </c>
      <c r="G35" s="120" t="str">
        <f>IF(ISBLANK('Control Entry'!K$32),"",'Control Entry'!K$32)</f>
        <v/>
      </c>
      <c r="H35" s="121"/>
      <c r="I35" s="122"/>
      <c r="J35" s="99"/>
    </row>
    <row r="36" spans="2:10" ht="40" customHeight="1" x14ac:dyDescent="0.25">
      <c r="B36" s="89"/>
      <c r="C36" s="101" t="str">
        <f>'Control Entry'!N$33</f>
        <v/>
      </c>
      <c r="D36" s="101" t="str">
        <f>'Control Entry'!O$33</f>
        <v/>
      </c>
      <c r="E36" s="90"/>
      <c r="F36" s="91" t="str">
        <f>IF(ISBLANK('Control Entry'!F$33),"",'Control Entry'!F$33)</f>
        <v/>
      </c>
      <c r="G36" s="114" t="str">
        <f>IF(ISBLANK('Control Entry'!I$33),"",'Control Entry'!I$33)</f>
        <v/>
      </c>
      <c r="H36" s="115"/>
      <c r="I36" s="116"/>
      <c r="J36" s="92"/>
    </row>
    <row r="37" spans="2:10" ht="40" customHeight="1" x14ac:dyDescent="0.25">
      <c r="B37" s="93" t="str">
        <f>IF(ISBLANK('Control Entry'!D$33),"",'Control Entry'!D$33)</f>
        <v/>
      </c>
      <c r="C37" s="94" t="str">
        <f>'Control Entry'!N$33</f>
        <v/>
      </c>
      <c r="D37" s="94" t="str">
        <f>'Control Entry'!O$33</f>
        <v/>
      </c>
      <c r="E37" s="91" t="str">
        <f>IF(ISBLANK('Control Entry'!E$33),"",'Control Entry'!E$33)</f>
        <v/>
      </c>
      <c r="F37" s="91" t="str">
        <f>IF(ISBLANK('Control Entry'!G$33),"",'Control Entry'!G$33)</f>
        <v/>
      </c>
      <c r="G37" s="117" t="str">
        <f>IF(ISBLANK('Control Entry'!J$33),"",'Control Entry'!J$33)</f>
        <v/>
      </c>
      <c r="H37" s="118"/>
      <c r="I37" s="119"/>
      <c r="J37" s="95"/>
    </row>
    <row r="38" spans="2:10" ht="40" customHeight="1" thickBot="1" x14ac:dyDescent="0.3">
      <c r="B38" s="96"/>
      <c r="C38" s="102" t="str">
        <f>'Control Entry'!N$33</f>
        <v/>
      </c>
      <c r="D38" s="102" t="str">
        <f>'Control Entry'!O$33</f>
        <v/>
      </c>
      <c r="E38" s="97"/>
      <c r="F38" s="98" t="str">
        <f>IF(ISBLANK('Control Entry'!H$33),"",'Control Entry'!H$33)</f>
        <v/>
      </c>
      <c r="G38" s="120" t="str">
        <f>IF(ISBLANK('Control Entry'!K$33),"",'Control Entry'!K$33)</f>
        <v/>
      </c>
      <c r="H38" s="121"/>
      <c r="I38" s="122"/>
      <c r="J38" s="99"/>
    </row>
    <row r="39" spans="2:10" ht="40" customHeight="1" x14ac:dyDescent="0.25">
      <c r="B39" s="89"/>
      <c r="C39" s="101" t="str">
        <f>'Control Entry'!N$34</f>
        <v/>
      </c>
      <c r="D39" s="101" t="str">
        <f>'Control Entry'!O$34</f>
        <v/>
      </c>
      <c r="E39" s="90"/>
      <c r="F39" s="91" t="str">
        <f>IF(ISBLANK('Control Entry'!F$34),"",'Control Entry'!F$34)</f>
        <v/>
      </c>
      <c r="G39" s="114" t="str">
        <f>IF(ISBLANK('Control Entry'!I$34),"",'Control Entry'!I$34)</f>
        <v/>
      </c>
      <c r="H39" s="115"/>
      <c r="I39" s="116"/>
      <c r="J39" s="92"/>
    </row>
    <row r="40" spans="2:10" ht="40" customHeight="1" x14ac:dyDescent="0.25">
      <c r="B40" s="93" t="str">
        <f>IF(ISBLANK('Control Entry'!D$34),"",'Control Entry'!D$34)</f>
        <v/>
      </c>
      <c r="C40" s="94" t="str">
        <f>'Control Entry'!N$34</f>
        <v/>
      </c>
      <c r="D40" s="94" t="str">
        <f>'Control Entry'!O$34</f>
        <v/>
      </c>
      <c r="E40" s="91" t="str">
        <f>IF(ISBLANK('Control Entry'!E$34),"",'Control Entry'!E$34)</f>
        <v/>
      </c>
      <c r="F40" s="91" t="str">
        <f>IF(ISBLANK('Control Entry'!G$34),"",'Control Entry'!G$34)</f>
        <v/>
      </c>
      <c r="G40" s="117" t="str">
        <f>IF(ISBLANK('Control Entry'!J$34),"",'Control Entry'!J$34)</f>
        <v/>
      </c>
      <c r="H40" s="118"/>
      <c r="I40" s="119"/>
      <c r="J40" s="95"/>
    </row>
    <row r="41" spans="2:10" ht="40" customHeight="1" thickBot="1" x14ac:dyDescent="0.3">
      <c r="B41" s="96"/>
      <c r="C41" s="102" t="str">
        <f>'Control Entry'!N$34</f>
        <v/>
      </c>
      <c r="D41" s="102" t="str">
        <f>'Control Entry'!O$34</f>
        <v/>
      </c>
      <c r="E41" s="97"/>
      <c r="F41" s="98" t="str">
        <f>IF(ISBLANK('Control Entry'!H$34),"",'Control Entry'!H$34)</f>
        <v/>
      </c>
      <c r="G41" s="120" t="str">
        <f>IF(ISBLANK('Control Entry'!K$34),"",'Control Entry'!K$34)</f>
        <v/>
      </c>
      <c r="H41" s="121"/>
      <c r="I41" s="122"/>
      <c r="J41" s="99"/>
    </row>
    <row r="42" spans="2:10" ht="40" customHeight="1" x14ac:dyDescent="0.25">
      <c r="B42" s="89"/>
      <c r="C42" s="101" t="str">
        <f>'Control Entry'!N$35</f>
        <v/>
      </c>
      <c r="D42" s="101" t="str">
        <f>'Control Entry'!O$35</f>
        <v/>
      </c>
      <c r="E42" s="90"/>
      <c r="F42" s="91" t="str">
        <f>IF(ISBLANK('Control Entry'!F$35),"",'Control Entry'!F$35)</f>
        <v/>
      </c>
      <c r="G42" s="114" t="str">
        <f>IF(ISBLANK('Control Entry'!I$35),"",'Control Entry'!I$35)</f>
        <v/>
      </c>
      <c r="H42" s="115"/>
      <c r="I42" s="116"/>
      <c r="J42" s="92"/>
    </row>
    <row r="43" spans="2:10" ht="40" customHeight="1" x14ac:dyDescent="0.25">
      <c r="B43" s="93" t="str">
        <f>IF(ISBLANK('Control Entry'!D$35),"",'Control Entry'!D$35)</f>
        <v/>
      </c>
      <c r="C43" s="94" t="str">
        <f>'Control Entry'!N$35</f>
        <v/>
      </c>
      <c r="D43" s="94" t="str">
        <f>'Control Entry'!O$35</f>
        <v/>
      </c>
      <c r="E43" s="91" t="str">
        <f>IF(ISBLANK('Control Entry'!E$35),"",'Control Entry'!E$35)</f>
        <v/>
      </c>
      <c r="F43" s="91" t="str">
        <f>IF(ISBLANK('Control Entry'!G$35),"",'Control Entry'!G$35)</f>
        <v/>
      </c>
      <c r="G43" s="117" t="str">
        <f>IF(ISBLANK('Control Entry'!J$35),"",'Control Entry'!J$35)</f>
        <v/>
      </c>
      <c r="H43" s="118"/>
      <c r="I43" s="119"/>
      <c r="J43" s="95"/>
    </row>
    <row r="44" spans="2:10" ht="40" customHeight="1" thickBot="1" x14ac:dyDescent="0.3">
      <c r="B44" s="96"/>
      <c r="C44" s="102" t="str">
        <f>'Control Entry'!N$35</f>
        <v/>
      </c>
      <c r="D44" s="102" t="str">
        <f>'Control Entry'!O$35</f>
        <v/>
      </c>
      <c r="E44" s="97"/>
      <c r="F44" s="98" t="str">
        <f>IF(ISBLANK('Control Entry'!H$35),"",'Control Entry'!H$35)</f>
        <v/>
      </c>
      <c r="G44" s="120" t="str">
        <f>IF(ISBLANK('Control Entry'!K$35),"",'Control Entry'!K$35)</f>
        <v/>
      </c>
      <c r="H44" s="121"/>
      <c r="I44" s="122"/>
      <c r="J44" s="99"/>
    </row>
    <row r="45" spans="2:10" ht="40" customHeight="1" x14ac:dyDescent="0.25">
      <c r="B45" s="89"/>
      <c r="C45" s="101" t="str">
        <f>'Control Entry'!N$36</f>
        <v/>
      </c>
      <c r="D45" s="101" t="str">
        <f>'Control Entry'!O$36</f>
        <v/>
      </c>
      <c r="E45" s="90"/>
      <c r="F45" s="91" t="str">
        <f>IF(ISBLANK('Control Entry'!F$36),"",'Control Entry'!F$36)</f>
        <v/>
      </c>
      <c r="G45" s="114" t="str">
        <f>IF(ISBLANK('Control Entry'!I$36),"",'Control Entry'!I$36)</f>
        <v/>
      </c>
      <c r="H45" s="115"/>
      <c r="I45" s="116"/>
      <c r="J45" s="92"/>
    </row>
    <row r="46" spans="2:10" ht="40" customHeight="1" x14ac:dyDescent="0.25">
      <c r="B46" s="93" t="str">
        <f>IF(ISBLANK('Control Entry'!D$36),"",'Control Entry'!D$36)</f>
        <v/>
      </c>
      <c r="C46" s="94" t="str">
        <f>'Control Entry'!N$36</f>
        <v/>
      </c>
      <c r="D46" s="94" t="str">
        <f>'Control Entry'!O$36</f>
        <v/>
      </c>
      <c r="E46" s="91" t="str">
        <f>IF(ISBLANK('Control Entry'!E$36),"",'Control Entry'!E$36)</f>
        <v/>
      </c>
      <c r="F46" s="91" t="str">
        <f>IF(ISBLANK('Control Entry'!G$36),"",'Control Entry'!G$36)</f>
        <v/>
      </c>
      <c r="G46" s="117" t="str">
        <f>IF(ISBLANK('Control Entry'!J$36),"",'Control Entry'!J$36)</f>
        <v/>
      </c>
      <c r="H46" s="118"/>
      <c r="I46" s="119"/>
      <c r="J46" s="95"/>
    </row>
    <row r="47" spans="2:10" ht="40" customHeight="1" thickBot="1" x14ac:dyDescent="0.3">
      <c r="B47" s="96"/>
      <c r="C47" s="102" t="str">
        <f>'Control Entry'!N$36</f>
        <v/>
      </c>
      <c r="D47" s="102" t="str">
        <f>'Control Entry'!O$36</f>
        <v/>
      </c>
      <c r="E47" s="97"/>
      <c r="F47" s="98" t="str">
        <f>IF(ISBLANK('Control Entry'!H$36),"",'Control Entry'!H$36)</f>
        <v/>
      </c>
      <c r="G47" s="120" t="str">
        <f>IF(ISBLANK('Control Entry'!K$36),"",'Control Entry'!K$36)</f>
        <v/>
      </c>
      <c r="H47" s="121"/>
      <c r="I47" s="122"/>
      <c r="J47" s="99"/>
    </row>
    <row r="48" spans="2:10" ht="40" customHeight="1" x14ac:dyDescent="0.25">
      <c r="B48" s="89"/>
      <c r="C48" s="101" t="str">
        <f>'Control Entry'!N$37</f>
        <v/>
      </c>
      <c r="D48" s="101" t="str">
        <f>'Control Entry'!O$37</f>
        <v/>
      </c>
      <c r="E48" s="90"/>
      <c r="F48" s="91" t="str">
        <f>IF(ISBLANK('Control Entry'!F$37),"",'Control Entry'!F$37)</f>
        <v/>
      </c>
      <c r="G48" s="114" t="str">
        <f>IF(ISBLANK('Control Entry'!I$37),"",'Control Entry'!I$37)</f>
        <v/>
      </c>
      <c r="H48" s="115"/>
      <c r="I48" s="116"/>
      <c r="J48" s="92"/>
    </row>
    <row r="49" spans="2:11" ht="40" customHeight="1" x14ac:dyDescent="0.25">
      <c r="B49" s="93" t="str">
        <f>IF(ISBLANK('Control Entry'!D$37),"",'Control Entry'!D$37)</f>
        <v/>
      </c>
      <c r="C49" s="94" t="str">
        <f>'Control Entry'!N$37</f>
        <v/>
      </c>
      <c r="D49" s="94" t="str">
        <f>'Control Entry'!O$37</f>
        <v/>
      </c>
      <c r="E49" s="91" t="str">
        <f>IF(ISBLANK('Control Entry'!E$37),"",'Control Entry'!E$37)</f>
        <v/>
      </c>
      <c r="F49" s="91" t="str">
        <f>IF(ISBLANK('Control Entry'!G$37),"",'Control Entry'!G$37)</f>
        <v/>
      </c>
      <c r="G49" s="117" t="str">
        <f>IF(ISBLANK('Control Entry'!J$37),"",'Control Entry'!J$37)</f>
        <v/>
      </c>
      <c r="H49" s="118"/>
      <c r="I49" s="119"/>
      <c r="J49" s="95"/>
    </row>
    <row r="50" spans="2:11" ht="40" customHeight="1" thickBot="1" x14ac:dyDescent="0.3">
      <c r="B50" s="96"/>
      <c r="C50" s="102" t="str">
        <f>'Control Entry'!N$37</f>
        <v/>
      </c>
      <c r="D50" s="102" t="str">
        <f>'Control Entry'!O$37</f>
        <v/>
      </c>
      <c r="E50" s="97"/>
      <c r="F50" s="98" t="str">
        <f>IF(ISBLANK('Control Entry'!H$37),"",'Control Entry'!H$37)</f>
        <v/>
      </c>
      <c r="G50" s="120" t="str">
        <f>IF(ISBLANK('Control Entry'!K$37),"",'Control Entry'!K$37)</f>
        <v/>
      </c>
      <c r="H50" s="121"/>
      <c r="I50" s="122"/>
      <c r="J50" s="99"/>
    </row>
    <row r="52" spans="2:11" ht="24" customHeight="1" x14ac:dyDescent="0.15">
      <c r="B52" s="123" t="s">
        <v>30</v>
      </c>
      <c r="C52" s="123"/>
      <c r="D52" s="123"/>
      <c r="E52" s="123"/>
      <c r="F52" s="123"/>
      <c r="I52" s="58" t="s">
        <v>56</v>
      </c>
      <c r="J52" s="81" t="str">
        <f>IF(ISBLANK('Control Entry'!F10),"",'Control Entry'!F10)</f>
        <v>‭+1 (250) 792-3126‬</v>
      </c>
      <c r="K52" s="54"/>
    </row>
    <row r="54" spans="2:11" x14ac:dyDescent="0.15">
      <c r="B54" s="76" t="s">
        <v>59</v>
      </c>
      <c r="C54" s="77">
        <f>'Control Entry'!B3</f>
        <v>45428</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2"/>
      <c r="G57" s="113"/>
      <c r="H57" s="113"/>
      <c r="I57" s="113"/>
      <c r="J57" s="113"/>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2023-08-24T23:38:36Z</cp:lastPrinted>
  <dcterms:created xsi:type="dcterms:W3CDTF">1997-11-12T04:43:39Z</dcterms:created>
  <dcterms:modified xsi:type="dcterms:W3CDTF">2024-08-13T02:07:28Z</dcterms:modified>
</cp:coreProperties>
</file>