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8"/>
  <workbookPr showInkAnnotation="0" autoCompressPictures="0"/>
  <mc:AlternateContent xmlns:mc="http://schemas.openxmlformats.org/markup-compatibility/2006">
    <mc:Choice Requires="x15">
      <x15ac:absPath xmlns:x15ac="http://schemas.microsoft.com/office/spreadsheetml/2010/11/ac" url="/Users/stephencarol/Documents/BCR/2025/5490 Once Over/"/>
    </mc:Choice>
  </mc:AlternateContent>
  <xr:revisionPtr revIDLastSave="0" documentId="13_ncr:1_{9AB1C141-0ADC-7649-B06B-601CB879A1D3}" xr6:coauthVersionLast="47" xr6:coauthVersionMax="47" xr10:uidLastSave="{00000000-0000-0000-0000-000000000000}"/>
  <bookViews>
    <workbookView xWindow="0" yWindow="760" windowWidth="29400" windowHeight="18360" tabRatio="509" xr2:uid="{00000000-000D-0000-FFFF-FFFF00000000}"/>
  </bookViews>
  <sheets>
    <sheet name="Control Entry" sheetId="1" r:id="rId1"/>
    <sheet name="Card #1" sheetId="7" r:id="rId2"/>
  </sheets>
  <definedNames>
    <definedName name="Address_1" localSheetId="1">#REF!</definedName>
    <definedName name="Address_1">#REF!</definedName>
    <definedName name="Address_2" localSheetId="1">#REF!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'Control Entry'!#REF!</definedName>
    <definedName name="Control_12" localSheetId="1">'Control Entry'!#REF!</definedName>
    <definedName name="Control_12">'Control Entry'!#REF!</definedName>
    <definedName name="Control_13" localSheetId="1">'Control Entry'!#REF!</definedName>
    <definedName name="Control_13">'Control Entry'!#REF!</definedName>
    <definedName name="Control_14" localSheetId="1">'Control Entry'!#REF!</definedName>
    <definedName name="Control_14">'Control Entry'!#REF!</definedName>
    <definedName name="Control_15" localSheetId="1">'Control Entry'!#REF!</definedName>
    <definedName name="Control_15">'Control Entry'!#REF!</definedName>
    <definedName name="Control_16" localSheetId="1">'Control Entry'!#REF!</definedName>
    <definedName name="Control_16">'Control Entry'!#REF!</definedName>
    <definedName name="Control_17" localSheetId="1">'Control Entry'!#REF!</definedName>
    <definedName name="Control_17">'Control Entry'!#REF!</definedName>
    <definedName name="Control_18" localSheetId="1">'Control Entry'!#REF!</definedName>
    <definedName name="Control_18">'Control Entry'!#REF!</definedName>
    <definedName name="Control_19" localSheetId="1">'Control Entry'!#REF!</definedName>
    <definedName name="Control_19">'Control Entry'!#REF!</definedName>
    <definedName name="Control_2">'Control Entry'!$D$16:$O$16</definedName>
    <definedName name="Control_20" localSheetId="1">'Control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#REF!</definedName>
    <definedName name="Distance">'Control Entry'!$D$15:$D$24</definedName>
    <definedName name="email" localSheetId="1">#REF!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#REF!</definedName>
    <definedName name="First_Name" localSheetId="1">#REF!</definedName>
    <definedName name="First_Name">#REF!</definedName>
    <definedName name="Home_telephone" localSheetId="1">#REF!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#REF!</definedName>
    <definedName name="_xlnm.Print_Area" localSheetId="1">'Card #1'!$A$1:$K$55</definedName>
    <definedName name="Province_State" localSheetId="1">#REF!</definedName>
    <definedName name="Province_State">#REF!</definedName>
    <definedName name="Start_date">'Control Entry'!$B$12</definedName>
    <definedName name="Start_time">'Control Entry'!$B$13</definedName>
    <definedName name="surname" localSheetId="1">#REF!</definedName>
    <definedName name="surname">#REF!</definedName>
    <definedName name="Work_telephone" localSheetId="1">#REF!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7" i="1" l="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M16" i="1" l="1"/>
  <c r="O16" i="1" s="1"/>
  <c r="C22" i="7"/>
  <c r="C23" i="7"/>
  <c r="C21" i="7"/>
  <c r="B7" i="1"/>
  <c r="M21" i="1" s="1"/>
  <c r="O21" i="1" s="1"/>
  <c r="M19" i="1"/>
  <c r="O19" i="1" s="1"/>
  <c r="M18" i="1"/>
  <c r="O18" i="1" s="1"/>
  <c r="M17" i="1"/>
  <c r="O17" i="1" s="1"/>
  <c r="M15" i="1"/>
  <c r="O15" i="1" s="1"/>
  <c r="N18" i="1"/>
  <c r="N22" i="1"/>
  <c r="N17" i="1"/>
  <c r="N21" i="1"/>
  <c r="N24" i="1"/>
  <c r="N16" i="1"/>
  <c r="N20" i="1"/>
  <c r="N19" i="1"/>
  <c r="N23" i="1"/>
  <c r="M24" i="1" l="1"/>
  <c r="O24" i="1" s="1"/>
  <c r="D50" i="7" s="1"/>
  <c r="M23" i="1"/>
  <c r="O23" i="1" s="1"/>
  <c r="D47" i="7" s="1"/>
  <c r="M20" i="1"/>
  <c r="O20" i="1" s="1"/>
  <c r="D37" i="7" s="1"/>
  <c r="M22" i="1"/>
  <c r="O22" i="1" s="1"/>
  <c r="D44" i="7"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48" i="7" l="1"/>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DBBE6BF5-BE3D-A740-A8BD-65419D8BA800}">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<sst xmlns="http://schemas.openxmlformats.org/spreadsheetml/2006/main" count="113" uniqueCount="102">
  <si>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</si>
  <si>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</si>
  <si>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</si>
  <si>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</si>
  <si>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</si>
  <si>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</si>
  <si>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</si>
  <si>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</si>
  <si>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</si>
  <si>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</si>
  <si>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</si>
  <si>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</si>
  <si>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</si>
  <si>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</si>
  <si>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</si>
  <si>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</si>
  <si>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</si>
  <si>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</si>
  <si>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</si>
  <si>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</si>
  <si>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</si>
  <si>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</si>
  <si>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</si>
  <si>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</si>
  <si>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</si>
  <si>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</si>
  <si>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</si>
  <si>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</si>
  <si>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</si>
  <si>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</si>
  <si>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</si>
  <si>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</si>
  <si>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</si>
  <si>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</si>
  <si>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</si>
  <si>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</si>
  <si>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</si>
  <si>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</si>
  <si>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</si>
  <si>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</si>
  <si>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</si>
  <si>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</si>
  <si>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</si>
  <si>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</si>
  <si>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</si>
  <si>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</si>
  <si>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</si>
  <si>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</si>
  <si>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</si>
  <si>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</si>
  <si>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</si>
  <si>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</si>
  <si>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</si>
  <si>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</si>
  <si>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</si>
  <si>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</si>
  <si>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</si>
  <si>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</si>
  <si>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</si>
  <si>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</si>
  <si>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</si>
  <si>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</si>
  <si>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</si>
  <si>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</si>
  <si>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</si>
  <si>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</si>
  <si>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</si>
  <si>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</si>
  <si>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</si>
  <si>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</si>
  <si>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Fill in the control distance.  The opening and closing times will be automatically calculated based on the start time and the brevet distance.  If you need more than 10 controls, or need an alternate start loction, use card #2, otherwise leave that section blank. (Similarly for cards #3 and #4.)</t>
  </si>
  <si>
    <t>PORT RENFREW</t>
  </si>
  <si>
    <t>Parkinson Rd</t>
  </si>
  <si>
    <t>INFORMATION</t>
  </si>
  <si>
    <t>BUSINESS</t>
  </si>
  <si>
    <t>The Once Over</t>
  </si>
  <si>
    <t>(250) 580-0085‬</t>
  </si>
  <si>
    <t>VIEW ROYAL</t>
  </si>
  <si>
    <t>STAFFED</t>
  </si>
  <si>
    <t>SHAWNIGAN LAKE</t>
  </si>
  <si>
    <t>CROFTON</t>
  </si>
  <si>
    <t>SALTAIR</t>
  </si>
  <si>
    <t>METCHOSIN</t>
  </si>
  <si>
    <t>Atkins Rd Park</t>
  </si>
  <si>
    <t>Galloping Goose Trail</t>
  </si>
  <si>
    <t>West Shawnigan Lk PP</t>
  </si>
  <si>
    <t>3rd Wave Coffee</t>
  </si>
  <si>
    <t>1532 Chaplin St</t>
  </si>
  <si>
    <t>General Store</t>
  </si>
  <si>
    <t xml:space="preserve">Kangaroo Rd @ Rocky Pt Rd </t>
  </si>
  <si>
    <t>self sign</t>
  </si>
  <si>
    <t>Parking lot outhouses</t>
  </si>
  <si>
    <t>WOMEN.       BOTH.      MEN</t>
  </si>
  <si>
    <t>Victoria Rd stop sign @ Chemainus Rd</t>
  </si>
  <si>
    <t xml:space="preserve">Pole beside stop sign.  </t>
  </si>
  <si>
    <t>Dog walking sign</t>
  </si>
  <si>
    <t>"The curious ___?___crew"</t>
  </si>
  <si>
    <t>Driveway across Rocky Point</t>
  </si>
  <si>
    <t>1.      3.      5</t>
  </si>
  <si>
    <t>Outhouse on right side of trail is for whom?</t>
  </si>
  <si>
    <t>Number of small geese?</t>
  </si>
  <si>
    <t>Trail sign arrow.  Beneath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</si>
</sst>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8"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b/>
      <sz val="12"/>
      <name val="Arial"/>
      <family val="2"/>
    </font>
    <font>
      <b/>
      <sz val="18"/>
      <name val="Arial Narrow"/>
      <family val="2"/>
    </font>
  </fonts>
  <fills count="3">
    <fill>
      <patternFill patternType="none"/>
    </fill>
    <fill>
      <patternFill patternType="gray125"/>
    </fill>
    <fill>
      <patternFill patternType="solid">
        <fgColor indexed="22"/>
        <bgColor indexed="64"/>
      </patternFill>
    </fill>
  </fills>
  <borders count="32">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
      <left/>
      <right style="medium">
        <color auto="1"/>
      </right>
      <top style="thin">
        <color auto="1"/>
      </top>
      <bottom style="medium">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7">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169" fontId="5" fillId="0" borderId="25" xfId="0" applyNumberFormat="1" applyFont="1" applyBorder="1" applyAlignment="1" applyProtection="1">
      <alignment horizontal="left"/>
      <protection locked="0"/>
    </xf>
    <xf numFmtId="0" fontId="37" fillId="0" borderId="7" xfId="0" applyFont="1" applyBorder="1" applyAlignment="1">
      <alignment horizontal="center" vertical="center" wrapText="1"/>
    </xf>
    <xf numFmtId="49" fontId="5" fillId="0" borderId="24" xfId="0" applyNumberFormat="1" applyFont="1" applyBorder="1" applyAlignment="1" applyProtection="1">
      <alignment horizontal="center"/>
      <protection locked="0"/>
    </xf>
    <xf numFmtId="49" fontId="5" fillId="0" borderId="31" xfId="0" applyNumberFormat="1" applyFont="1" applyBorder="1" applyAlignment="1" applyProtection="1">
      <alignment horizontal="center"/>
      <protection locked="0"/>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right" vertical="center"/>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10" fillId="0" borderId="0" xfId="0" applyFont="1" applyAlignment="1">
      <alignment horizontal="center"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36" fillId="0" borderId="20" xfId="0" applyFont="1" applyBorder="1" applyAlignment="1">
      <alignment horizontal="center" vertical="top"/>
    </xf>
    <xf numFmtId="15" fontId="0" fillId="0" borderId="0" xfId="0" applyNumberFormat="1" applyAlignment="1">
      <alignment horizontal="left" vertical="top"/>
    </xf>
    <xf numFmtId="0" fontId="0" fillId="0" borderId="0" xfId="0" applyAlignment="1">
      <alignment horizontal="left" vertical="top"/>
    </xf>
    <xf numFmtId="0" fontId="35" fillId="0" borderId="6" xfId="0" applyFont="1" applyBorder="1" applyAlignment="1" applyProtection="1">
      <alignment horizontal="center" vertical="top" wrapText="1"/>
      <protection locked="0"/>
    </xf>
    <xf numFmtId="0" fontId="35" fillId="0" borderId="0" xfId="0" applyFont="1" applyAlignment="1" applyProtection="1">
      <alignment horizontal="center" vertical="top" wrapText="1"/>
      <protection locked="0"/>
    </xf>
    <xf numFmtId="0" fontId="35" fillId="0" borderId="17" xfId="0" applyFont="1" applyBorder="1" applyAlignment="1" applyProtection="1">
      <alignment horizontal="center" vertical="top" wrapText="1"/>
      <protection locked="0"/>
    </xf>
    <xf numFmtId="0" fontId="29" fillId="0" borderId="0" xfId="0" applyFont="1" applyAlignment="1">
      <alignment horizontal="left" vertical="center"/>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5"/>
  <sheetViews>
    <sheetView showGridLines="0" tabSelected="1" zoomScale="140" zoomScaleNormal="140" zoomScalePageLayoutView="135" workbookViewId="0">
      <selection activeCell="B4" sqref="B4"/>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6" t="s">
        <v>56</v>
      </c>
      <c r="B1" s="106"/>
      <c r="C1" s="106"/>
      <c r="D1" s="106"/>
      <c r="E1" s="106"/>
      <c r="F1" s="106"/>
      <c r="G1" s="106"/>
      <c r="H1" s="40" t="s">
        <v>53</v>
      </c>
      <c r="Q1" s="108" t="s">
        <v>55</v>
      </c>
      <c r="R1" s="108"/>
      <c r="S1" s="108"/>
      <c r="T1" s="108"/>
      <c r="U1" s="108"/>
      <c r="V1" s="108"/>
      <c r="W1" s="108"/>
      <c r="X1" s="108"/>
      <c r="Y1" s="108"/>
      <c r="Z1" s="108"/>
      <c r="AA1" s="108"/>
      <c r="AB1" s="108"/>
      <c r="AC1" s="108"/>
      <c r="AD1" s="108"/>
      <c r="AE1" s="108"/>
      <c r="AF1" s="108"/>
      <c r="AG1" s="87"/>
    </row>
    <row r="2" spans="1:33" ht="13" customHeight="1" thickBot="1" x14ac:dyDescent="0.2">
      <c r="H2" s="44"/>
      <c r="I2" s="44"/>
      <c r="Q2" s="108"/>
      <c r="R2" s="108"/>
      <c r="S2" s="108"/>
      <c r="T2" s="108"/>
      <c r="U2" s="108"/>
      <c r="V2" s="108"/>
      <c r="W2" s="108"/>
      <c r="X2" s="108"/>
      <c r="Y2" s="108"/>
      <c r="Z2" s="108"/>
      <c r="AA2" s="108"/>
      <c r="AB2" s="108"/>
      <c r="AC2" s="108"/>
      <c r="AD2" s="108"/>
      <c r="AE2" s="108"/>
      <c r="AF2" s="108"/>
      <c r="AG2" s="87"/>
    </row>
    <row r="3" spans="1:33" s="48" customFormat="1" ht="13" customHeight="1" thickBot="1" x14ac:dyDescent="0.2">
      <c r="A3" s="47" t="s">
        <v>52</v>
      </c>
      <c r="B3" s="72">
        <v>45167</v>
      </c>
      <c r="H3" s="49"/>
      <c r="I3" s="49"/>
      <c r="Q3" s="108"/>
      <c r="R3" s="108"/>
      <c r="S3" s="108"/>
      <c r="T3" s="108"/>
      <c r="U3" s="108"/>
      <c r="V3" s="108"/>
      <c r="W3" s="108"/>
      <c r="X3" s="108"/>
      <c r="Y3" s="108"/>
      <c r="Z3" s="108"/>
      <c r="AA3" s="108"/>
      <c r="AB3" s="108"/>
      <c r="AC3" s="108"/>
      <c r="AD3" s="108"/>
      <c r="AE3" s="108"/>
      <c r="AF3" s="108"/>
      <c r="AG3" s="87"/>
    </row>
    <row r="4" spans="1:33" ht="13" customHeight="1" x14ac:dyDescent="0.15">
      <c r="A4" s="43" t="s">
        <v>54</v>
      </c>
      <c r="B4" s="46">
        <v>45847</v>
      </c>
      <c r="C4"/>
      <c r="H4" s="44"/>
      <c r="I4" s="44"/>
      <c r="Q4" s="108"/>
      <c r="R4" s="108"/>
      <c r="S4" s="108"/>
      <c r="T4" s="108"/>
      <c r="U4" s="108"/>
      <c r="V4" s="108"/>
      <c r="W4" s="108"/>
      <c r="X4" s="108"/>
      <c r="Y4" s="108"/>
      <c r="Z4" s="108"/>
      <c r="AA4" s="108"/>
      <c r="AB4" s="108"/>
      <c r="AC4" s="108"/>
      <c r="AD4" s="108"/>
      <c r="AE4" s="108"/>
      <c r="AF4" s="108"/>
      <c r="AG4" s="87"/>
    </row>
    <row r="5" spans="1:33" ht="7" customHeight="1" thickBot="1" x14ac:dyDescent="0.2">
      <c r="H5" s="44"/>
      <c r="I5" s="44"/>
      <c r="Q5" s="87"/>
      <c r="R5" s="87"/>
      <c r="S5" s="87"/>
      <c r="T5" s="87"/>
      <c r="U5" s="87"/>
      <c r="V5" s="87"/>
      <c r="W5" s="87"/>
      <c r="X5" s="87"/>
      <c r="Y5" s="87"/>
      <c r="Z5" s="87"/>
      <c r="AA5" s="87"/>
      <c r="AB5" s="87"/>
      <c r="AC5" s="87"/>
      <c r="AD5" s="87"/>
      <c r="AE5" s="87"/>
      <c r="AF5" s="87"/>
      <c r="AG5" s="87"/>
    </row>
    <row r="6" spans="1:33" ht="18" x14ac:dyDescent="0.2">
      <c r="A6" s="10" t="s">
        <v>15</v>
      </c>
      <c r="B6" s="30">
        <v>300</v>
      </c>
      <c r="C6">
        <f>IF(Brevet_Length&gt;=1200,Brevet_Length,IF(Brevet_Length&gt;=1000,1000,IF(Brevet_Length&gt;=600,600,IF(Brevet_Length&gt;=400,400,IF(Brevet_Length&gt;=300,300,IF(Brevet_Length&gt;=200,200,100))))))</f>
        <v>300</v>
      </c>
      <c r="J6" s="109" t="s">
        <v>40</v>
      </c>
      <c r="K6" s="109"/>
      <c r="Q6" s="85" t="s">
        <v>41</v>
      </c>
      <c r="R6" s="85"/>
      <c r="S6" s="85"/>
      <c r="T6" s="85"/>
      <c r="U6" s="85"/>
      <c r="V6" s="85"/>
      <c r="W6" s="85"/>
      <c r="X6" s="86"/>
      <c r="Y6" s="86"/>
      <c r="Z6" s="86"/>
    </row>
    <row r="7" spans="1:33" ht="14" x14ac:dyDescent="0.15">
      <c r="A7" s="11" t="s">
        <v>16</v>
      </c>
      <c r="B7" s="83">
        <f>IF(brevet=1200,90,IF(brevet=1000,75,IF(brevet=600,40,IF(brevet=400,27,IF(brevet=300,20,IF(brevet=200,13.5,IF(brevet&lt;200,L7,0)))))))</f>
        <v>20</v>
      </c>
      <c r="L7">
        <f>IF(Brevet_Length=150,10.5,IF(Brevet_Length=100,7,IF(Brevet_Length=50,3.5,IF(Brevet_Length=25, 2,0))))</f>
        <v>0</v>
      </c>
      <c r="Q7" s="86" t="s">
        <v>42</v>
      </c>
      <c r="R7" s="86"/>
      <c r="S7" s="86"/>
      <c r="T7" s="86"/>
      <c r="U7" s="86"/>
      <c r="V7" s="86"/>
      <c r="W7" s="86"/>
      <c r="X7" s="86"/>
      <c r="Y7" s="86"/>
      <c r="Z7" s="86"/>
    </row>
    <row r="8" spans="1:33" ht="18" x14ac:dyDescent="0.2">
      <c r="A8" s="82" t="s">
        <v>17</v>
      </c>
      <c r="B8" s="107" t="s">
        <v>75</v>
      </c>
      <c r="C8" s="107"/>
      <c r="D8" s="107"/>
      <c r="E8" s="107"/>
      <c r="F8" s="107"/>
      <c r="G8" s="84"/>
      <c r="H8" s="84"/>
      <c r="I8" s="16"/>
      <c r="J8" s="16"/>
      <c r="K8" s="16"/>
      <c r="Q8" s="85" t="s">
        <v>43</v>
      </c>
      <c r="R8" s="86"/>
      <c r="S8" s="86"/>
      <c r="T8" s="86"/>
      <c r="U8" s="86"/>
      <c r="V8" s="86"/>
      <c r="W8" s="86"/>
      <c r="X8" s="86"/>
      <c r="Y8" s="86"/>
      <c r="Z8" s="86"/>
    </row>
    <row r="9" spans="1:33" ht="18" x14ac:dyDescent="0.2">
      <c r="A9" s="11" t="s">
        <v>18</v>
      </c>
      <c r="B9" s="31">
        <v>5490</v>
      </c>
      <c r="C9" s="13"/>
      <c r="F9" s="14"/>
      <c r="G9" s="14"/>
      <c r="H9" s="14"/>
      <c r="I9" s="14"/>
      <c r="J9" s="14"/>
      <c r="K9" s="14"/>
      <c r="Q9" s="85" t="s">
        <v>44</v>
      </c>
      <c r="R9" s="86"/>
      <c r="S9" s="86"/>
      <c r="T9" s="86"/>
      <c r="U9" s="86"/>
      <c r="V9" s="86"/>
      <c r="W9" s="86"/>
      <c r="X9" s="86"/>
      <c r="Y9" s="86"/>
      <c r="Z9" s="86"/>
    </row>
    <row r="10" spans="1:33" ht="18" x14ac:dyDescent="0.2">
      <c r="A10" s="18" t="s">
        <v>32</v>
      </c>
      <c r="B10" s="32">
        <v>45857</v>
      </c>
      <c r="E10" s="80" t="s">
        <v>67</v>
      </c>
      <c r="F10" s="102" t="s">
        <v>76</v>
      </c>
      <c r="Q10" s="85" t="s">
        <v>45</v>
      </c>
      <c r="R10" s="86"/>
      <c r="S10" s="86"/>
      <c r="T10" s="86"/>
      <c r="U10" s="86"/>
      <c r="V10" s="86"/>
      <c r="W10" s="86"/>
      <c r="X10" s="86"/>
      <c r="Y10" s="86"/>
      <c r="Z10" s="86"/>
    </row>
    <row r="11" spans="1:33" ht="6" customHeight="1" x14ac:dyDescent="0.15">
      <c r="B11" s="45"/>
      <c r="Q11" s="86"/>
      <c r="R11" s="86"/>
      <c r="S11" s="86"/>
      <c r="T11" s="86"/>
      <c r="U11" s="86"/>
      <c r="V11" s="86"/>
      <c r="W11" s="86"/>
      <c r="X11" s="86"/>
      <c r="Y11" s="86"/>
      <c r="Z11" s="86"/>
    </row>
    <row r="12" spans="1:33" ht="18" customHeight="1" thickBot="1" x14ac:dyDescent="0.25">
      <c r="A12" s="41" t="s">
        <v>19</v>
      </c>
      <c r="B12" s="42">
        <v>45857</v>
      </c>
      <c r="Q12" s="85" t="s">
        <v>49</v>
      </c>
      <c r="R12" s="86"/>
      <c r="S12" s="86"/>
      <c r="T12" s="86"/>
      <c r="U12" s="86"/>
      <c r="V12" s="86"/>
      <c r="W12" s="86"/>
      <c r="X12" s="86"/>
      <c r="Y12" s="86"/>
      <c r="Z12" s="86"/>
    </row>
    <row r="13" spans="1:33" ht="19" thickBot="1" x14ac:dyDescent="0.25">
      <c r="A13" s="9" t="s">
        <v>20</v>
      </c>
      <c r="B13" s="33">
        <v>0.25</v>
      </c>
      <c r="D13" s="110" t="s">
        <v>51</v>
      </c>
      <c r="E13" s="111"/>
      <c r="F13" s="111"/>
      <c r="G13" s="111"/>
      <c r="H13" s="111"/>
      <c r="I13" s="112" t="s">
        <v>47</v>
      </c>
      <c r="J13" s="111"/>
      <c r="K13" s="113"/>
      <c r="Q13" s="85" t="s">
        <v>48</v>
      </c>
      <c r="R13" s="86"/>
      <c r="S13" s="86"/>
      <c r="T13" s="86"/>
      <c r="U13" s="86"/>
      <c r="V13" s="86"/>
      <c r="W13" s="86"/>
      <c r="X13" s="86"/>
      <c r="Y13" s="86"/>
      <c r="Z13" s="86"/>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5" t="s">
        <v>68</v>
      </c>
      <c r="R14" s="86"/>
      <c r="S14" s="86"/>
      <c r="T14" s="86"/>
      <c r="U14" s="86"/>
      <c r="V14" s="86"/>
      <c r="W14" s="86"/>
      <c r="X14" s="86"/>
      <c r="Y14" s="86"/>
      <c r="Z14" s="86"/>
    </row>
    <row r="15" spans="1:33" ht="17" customHeight="1" x14ac:dyDescent="0.15">
      <c r="C15" s="2" t="s">
        <v>4</v>
      </c>
      <c r="D15" s="15">
        <v>0</v>
      </c>
      <c r="E15" s="34" t="s">
        <v>77</v>
      </c>
      <c r="F15" s="35" t="s">
        <v>78</v>
      </c>
      <c r="G15" s="35" t="s">
        <v>83</v>
      </c>
      <c r="H15" s="36" t="s">
        <v>84</v>
      </c>
      <c r="I15" s="35"/>
      <c r="J15" s="35"/>
      <c r="K15" s="36"/>
      <c r="L15" s="3">
        <f>Start_date+Start_time</f>
        <v>45857.25</v>
      </c>
      <c r="M15" s="3">
        <f>L15+"1:00"</f>
        <v>45857.291666666664</v>
      </c>
      <c r="N15" s="4">
        <f>IF(ISBLANK(Distance),"",Open Control_1)</f>
        <v>45857.25</v>
      </c>
      <c r="O15" s="4">
        <f>IF(ISBLANK(Distance),"",Close Control_1)</f>
        <v>45857.291666666664</v>
      </c>
      <c r="Q15" s="85" t="s">
        <v>70</v>
      </c>
      <c r="R15" s="86"/>
      <c r="S15" s="86"/>
      <c r="T15" s="86"/>
      <c r="U15" s="86"/>
      <c r="V15" s="86"/>
      <c r="W15" s="86"/>
      <c r="X15" s="86"/>
      <c r="Y15" s="86"/>
      <c r="Z15" s="86"/>
    </row>
    <row r="16" spans="1:33" ht="17" customHeight="1" x14ac:dyDescent="0.15">
      <c r="B16" s="38"/>
      <c r="C16" s="2" t="s">
        <v>5</v>
      </c>
      <c r="D16" s="15">
        <v>34.299999999999997</v>
      </c>
      <c r="E16" s="34" t="s">
        <v>79</v>
      </c>
      <c r="F16" s="35" t="s">
        <v>73</v>
      </c>
      <c r="G16" s="35" t="s">
        <v>85</v>
      </c>
      <c r="H16" s="36" t="s">
        <v>91</v>
      </c>
      <c r="I16" s="35" t="s">
        <v>99</v>
      </c>
      <c r="J16" s="35"/>
      <c r="K16" s="36" t="s">
        <v>92</v>
      </c>
      <c r="L16">
        <f>IF(ISBLANK(Distance),"",IF(Distance&gt;1000,(Distance-1000)/26+33.0847,(IF(Distance&gt;600,(Distance-600)/28+18.799,(IF(Distance&gt;400,(Distance-400)/30+12.1324,(IF(Distance&gt;200,(Distance-200)/32+5.8824,Distance/34))))))))</f>
        <v>1.0088235294117647</v>
      </c>
      <c r="M16">
        <f>IF(ISBLANK(Distance),"",IF(Distance&gt;=brevet,D16200IF(brevet&gt;1200,(brevet-1200)*75/1000+90,Max_time),IF(Distance&gt;1200,(Distance-1200)*75/1000+90,IF(Distance&gt;1000,(Distance-1000)/(1000/75)+75,IF(Distance&gt;600,(Distance-600)/(400/35)+40,IF(Distance&lt;=60,(Distance/20+1),Distance/15))))))</f>
        <v>2.7149999999999999</v>
      </c>
      <c r="N16" s="4">
        <f>IF(ISBLANK(Distance),"",Open_time Control_1+(INT(Open)&amp;":"&amp;IF(ROUND(((Open-INT(Open))*60),0)&lt;10,0,"")&amp;ROUND(((Open-INT(Open))*60),0)))</f>
        <v>45857.292361111111</v>
      </c>
      <c r="O16" s="4">
        <f>IF(ISBLANK(Distance),"",Open_time Control_1+(INT(Close)&amp;":"&amp;IF(ROUND(((Close-INT(Close))*60),0)&lt;10,0,"")&amp;ROUND(((Close-INT(Close))*60),0)))</f>
        <v>45857.363194444442</v>
      </c>
      <c r="Q16" s="85" t="s">
        <v>69</v>
      </c>
      <c r="R16" s="86"/>
      <c r="S16" s="86"/>
      <c r="T16" s="86"/>
      <c r="U16" s="86"/>
      <c r="V16" s="86"/>
      <c r="W16" s="86"/>
      <c r="X16" s="86"/>
      <c r="Y16" s="86"/>
      <c r="Z16" s="86"/>
    </row>
    <row r="17" spans="2:26" ht="17" customHeight="1" x14ac:dyDescent="0.15">
      <c r="B17" s="38"/>
      <c r="C17" s="2" t="s">
        <v>6</v>
      </c>
      <c r="D17" s="15">
        <v>74.400000000000006</v>
      </c>
      <c r="E17" s="34" t="s">
        <v>80</v>
      </c>
      <c r="F17" s="35" t="s">
        <v>74</v>
      </c>
      <c r="G17" s="35" t="s">
        <v>86</v>
      </c>
      <c r="H17" s="36" t="s">
        <v>87</v>
      </c>
      <c r="I17" s="35"/>
      <c r="J17" s="35"/>
      <c r="K17" s="36"/>
      <c r="L17">
        <f>IF(ISBLANK(Distance),"",IF(Distance&gt;1000,(Distance-1000)/26+33.0847,(IF(Distance&gt;600,(Distance-600)/28+18.799,(IF(Distance&gt;400,(Distance-400)/30+12.1324,(IF(Distance&gt;200,(Distance-200)/32+5.8824,Distance/34))))))))</f>
        <v>2.1882352941176473</v>
      </c>
      <c r="M17">
        <f t="shared" ref="M17:M24" si="0">IF(ISBLANK(Distance),"",IF(Distance&gt;=brevet,IF(brevet&gt;1200,(brevet-1200)*75/1000+90,Max_time),IF(Distance&gt;1200,(Distance-1200)*75/1000+90,IF(Distance&gt;1000,(Distance-1000)/(1000/75)+75,IF(Distance&gt;600,(Distance-600)/(400/35)+40,IF(Distance&lt;=60,(Distance/20+1),Distance/15))))))</f>
        <v>4.96</v>
      </c>
      <c r="N17" s="4">
        <f>IF(ISBLANK(Distance),"",Open_time Control_1+(INT(Open)&amp;":"&amp;IF(ROUND(((Open-INT(Open))*60),0)&lt;10,0,"")&amp;ROUND(((Open-INT(Open))*60),0)))</f>
        <v>45857.34097222222</v>
      </c>
      <c r="O17" s="4">
        <f>IF(ISBLANK(Distance),"",Open_time Control_1+(INT(Close)&amp;":"&amp;IF(ROUND(((Close-INT(Close))*60),0)&lt;10,0,"")&amp;ROUND(((Close-INT(Close))*60),0)))</f>
        <v>45857.456944444442</v>
      </c>
      <c r="Q17" s="85" t="s">
        <v>46</v>
      </c>
      <c r="R17" s="86"/>
      <c r="S17" s="86"/>
      <c r="T17" s="86"/>
      <c r="U17" s="86"/>
      <c r="V17" s="86"/>
      <c r="W17" s="86"/>
      <c r="X17" s="86"/>
      <c r="Y17" s="86"/>
      <c r="Z17" s="86"/>
    </row>
    <row r="18" spans="2:26" ht="17" customHeight="1" x14ac:dyDescent="0.15">
      <c r="B18" s="38"/>
      <c r="C18" s="2" t="s">
        <v>7</v>
      </c>
      <c r="D18" s="15">
        <v>88.2</v>
      </c>
      <c r="E18" s="34" t="s">
        <v>81</v>
      </c>
      <c r="F18" s="35" t="s">
        <v>73</v>
      </c>
      <c r="G18" s="35" t="s">
        <v>93</v>
      </c>
      <c r="H18" s="36" t="s">
        <v>94</v>
      </c>
      <c r="I18" s="35" t="s">
        <v>95</v>
      </c>
      <c r="J18" s="35"/>
      <c r="K18" s="36" t="s">
        <v>96</v>
      </c>
      <c r="L18">
        <f t="shared" ref="L18:L24" si="1">IF(ISBLANK(Distance),"",IF(Distance&gt;1000,(Distance-1000)/26+33.0847,(IF(Distance&gt;600,(Distance-600)/28+18.799,(IF(Distance&gt;400,(Distance-400)/30+12.1324,(IF(Distance&gt;200,(Distance-200)/32+5.8824,Distance/34))))))))</f>
        <v>2.5941176470588236</v>
      </c>
      <c r="M18">
        <f t="shared" si="0"/>
        <v>5.88</v>
      </c>
      <c r="N18" s="4">
        <f>IF(ISBLANK(Distance),"",Open_time Control_1+(INT(Open)&amp;":"&amp;IF(ROUND(((Open-INT(Open))*60),0)&lt;10,0,"")&amp;ROUND(((Open-INT(Open))*60),0)))</f>
        <v>45857.35833333333</v>
      </c>
      <c r="O18" s="4">
        <f>IF(ISBLANK(Distance),"",Open_time Control_1+(INT(Close)&amp;":"&amp;IF(ROUND(((Close-INT(Close))*60),0)&lt;10,0,"")&amp;ROUND(((Close-INT(Close))*60),0)))</f>
        <v>45857.495138888888</v>
      </c>
    </row>
    <row r="19" spans="2:26" ht="17" customHeight="1" x14ac:dyDescent="0.15">
      <c r="B19" s="38"/>
      <c r="C19" s="2" t="s">
        <v>8</v>
      </c>
      <c r="D19" s="15">
        <v>197.8</v>
      </c>
      <c r="E19" s="34" t="s">
        <v>71</v>
      </c>
      <c r="F19" s="35" t="s">
        <v>74</v>
      </c>
      <c r="G19" s="35" t="s">
        <v>88</v>
      </c>
      <c r="H19" s="36" t="s">
        <v>72</v>
      </c>
      <c r="I19" s="35"/>
      <c r="J19" s="35"/>
      <c r="K19" s="36"/>
      <c r="L19">
        <f t="shared" si="1"/>
        <v>5.8176470588235301</v>
      </c>
      <c r="M19">
        <f t="shared" si="0"/>
        <v>13.186666666666667</v>
      </c>
      <c r="N19" s="4">
        <f>IF(ISBLANK(Distance),"",Open_time Control_1+(INT(Open)&amp;":"&amp;IF(ROUND(((Open-INT(Open))*60),0)&lt;10,0,"")&amp;ROUND(((Open-INT(Open))*60),0)))</f>
        <v>45857.492361111108</v>
      </c>
      <c r="O19" s="4">
        <f>IF(ISBLANK(Distance),"",Open_time Control_1+(INT(Close)&amp;":"&amp;IF(ROUND(((Close-INT(Close))*60),0)&lt;10,0,"")&amp;ROUND(((Close-INT(Close))*60),0)))</f>
        <v>45857.799305555556</v>
      </c>
      <c r="Q19" s="40"/>
    </row>
    <row r="20" spans="2:26" ht="17" customHeight="1" x14ac:dyDescent="0.15">
      <c r="B20" s="38"/>
      <c r="C20" s="2" t="s">
        <v>9</v>
      </c>
      <c r="D20" s="15">
        <v>285.3</v>
      </c>
      <c r="E20" s="34" t="s">
        <v>82</v>
      </c>
      <c r="F20" s="35" t="s">
        <v>73</v>
      </c>
      <c r="G20" s="35" t="s">
        <v>89</v>
      </c>
      <c r="H20" s="36" t="s">
        <v>97</v>
      </c>
      <c r="I20" s="35" t="s">
        <v>101</v>
      </c>
      <c r="J20" s="35" t="s">
        <v>100</v>
      </c>
      <c r="K20" s="36" t="s">
        <v>98</v>
      </c>
      <c r="L20">
        <f t="shared" si="1"/>
        <v>8.5480249999999991</v>
      </c>
      <c r="M20">
        <f t="shared" si="0"/>
        <v>19.02</v>
      </c>
      <c r="N20" s="4">
        <f>IF(ISBLANK(Distance),"",Open_time Control_1+(INT(Open)&amp;":"&amp;IF(ROUND(((Open-INT(Open))*60),0)&lt;10,0,"")&amp;ROUND(((Open-INT(Open))*60),0)))</f>
        <v>45857.606249999997</v>
      </c>
      <c r="O20" s="4">
        <f>IF(ISBLANK(Distance),"",Open_time Control_1+(INT(Close)&amp;":"&amp;IF(ROUND(((Close-INT(Close))*60),0)&lt;10,0,"")&amp;ROUND(((Close-INT(Close))*60),0)))</f>
        <v>45858.042361111111</v>
      </c>
    </row>
    <row r="21" spans="2:26" ht="17" customHeight="1" x14ac:dyDescent="0.15">
      <c r="B21" s="38"/>
      <c r="C21" s="2" t="s">
        <v>10</v>
      </c>
      <c r="D21" s="15">
        <v>301.89999999999998</v>
      </c>
      <c r="E21" s="34" t="s">
        <v>77</v>
      </c>
      <c r="F21" s="35" t="s">
        <v>73</v>
      </c>
      <c r="G21" s="35" t="s">
        <v>83</v>
      </c>
      <c r="H21" s="36" t="s">
        <v>84</v>
      </c>
      <c r="I21" s="35" t="s">
        <v>90</v>
      </c>
      <c r="J21" s="35"/>
      <c r="K21" s="36"/>
      <c r="L21">
        <f t="shared" si="1"/>
        <v>9.0667749999999998</v>
      </c>
      <c r="M21">
        <f t="shared" si="0"/>
        <v>20</v>
      </c>
      <c r="N21" s="4">
        <f>IF(ISBLANK(Distance),"",Open_time Control_1+(INT(Open)&amp;":"&amp;IF(ROUND(((Open-INT(Open))*60),0)&lt;10,0,"")&amp;ROUND(((Open-INT(Open))*60),0)))</f>
        <v>45857.62777777778</v>
      </c>
      <c r="O21" s="4">
        <f>IF(ISBLANK(Distance),"",Open_time Control_1+(INT(Close)&amp;":"&amp;IF(ROUND(((Close-INT(Close))*60),0)&lt;10,0,"")&amp;ROUND(((Close-INT(Close))*60),0)))</f>
        <v>45858.083333333336</v>
      </c>
    </row>
    <row r="22" spans="2:26" ht="17" customHeight="1" x14ac:dyDescent="0.15">
      <c r="B22" s="38"/>
      <c r="C22" s="2" t="s">
        <v>11</v>
      </c>
      <c r="D22" s="15"/>
      <c r="E22" s="34"/>
      <c r="F22" s="35"/>
      <c r="G22" s="35"/>
      <c r="H22" s="36"/>
      <c r="I22" s="35"/>
      <c r="J22" s="35"/>
      <c r="K22" s="36"/>
      <c r="L22" t="str">
        <f t="shared" si="1"/>
        <v/>
      </c>
      <c r="M22" t="str">
        <f t="shared" si="0"/>
        <v/>
      </c>
      <c r="N22" s="4" t="str">
        <f>IF(ISBLANK(Distance),"",Open_time Control_1+(INT(Open)&amp;":"&amp;IF(ROUND(((Open-INT(Open))*60),0)&lt;10,0,"")&amp;ROUND(((Open-INT(Open))*60),0)))</f>
        <v/>
      </c>
      <c r="O22" s="4" t="str">
        <f>IF(ISBLANK(Distance),"",Open_time Control_1+(INT(Close)&amp;":"&amp;IF(ROUND(((Close-INT(Close))*60),0)&lt;10,0,"")&amp;ROUND(((Close-INT(Close))*60),0)))</f>
        <v/>
      </c>
    </row>
    <row r="23" spans="2:26" ht="17" customHeight="1" x14ac:dyDescent="0.15">
      <c r="B23" s="38"/>
      <c r="C23" s="2" t="s">
        <v>12</v>
      </c>
      <c r="D23" s="15"/>
      <c r="E23" s="34"/>
      <c r="F23" s="35"/>
      <c r="G23" s="35"/>
      <c r="H23" s="36"/>
      <c r="I23" s="35"/>
      <c r="J23" s="35"/>
      <c r="K23" s="36"/>
      <c r="L23" t="str">
        <f t="shared" si="1"/>
        <v/>
      </c>
      <c r="M23" t="str">
        <f t="shared" si="0"/>
        <v/>
      </c>
      <c r="N23" s="4" t="str">
        <f>IF(ISBLANK(Distance),"",Open_time Control_1+(INT(Open)&amp;":"&amp;IF(ROUND(((Open-INT(Open))*60),0)&lt;10,0,"")&amp;ROUND(((Open-INT(Open))*60),0)))</f>
        <v/>
      </c>
      <c r="O23" s="4" t="str">
        <f>IF(ISBLANK(Distance),"",Open_time Control_1+(INT(Close)&amp;":"&amp;IF(ROUND(((Close-INT(Close))*60),0)&lt;10,0,"")&amp;ROUND(((Close-INT(Close))*60),0)))</f>
        <v/>
      </c>
    </row>
    <row r="24" spans="2:26" ht="17" customHeight="1" thickBot="1" x14ac:dyDescent="0.2">
      <c r="B24" s="38"/>
      <c r="C24" s="2" t="s">
        <v>13</v>
      </c>
      <c r="D24" s="20"/>
      <c r="E24" s="37"/>
      <c r="F24" s="104"/>
      <c r="G24" s="104"/>
      <c r="H24" s="105"/>
      <c r="I24" s="104"/>
      <c r="J24" s="104"/>
      <c r="K24" s="105"/>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x14ac:dyDescent="0.25">
      <c r="D25" s="26"/>
      <c r="E25" s="27"/>
      <c r="F25" s="28"/>
      <c r="G25" s="28"/>
      <c r="H25" s="28"/>
      <c r="I25" s="28"/>
      <c r="J25" s="28"/>
      <c r="K25" s="29"/>
      <c r="N25" s="4"/>
      <c r="O25" s="4"/>
    </row>
  </sheetData>
  <sheetProtection formatCells="0" selectLockedCells="1"/>
  <mergeCells count="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view="pageLayout" zoomScale="75" zoomScaleNormal="115" zoomScalePageLayoutView="75" workbookViewId="0">
      <selection activeCell="G24" sqref="G24:I24"/>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14" t="s">
        <v>33</v>
      </c>
      <c r="D2" s="114"/>
      <c r="E2" s="114"/>
      <c r="F2" s="114"/>
      <c r="G2" s="55"/>
      <c r="H2" s="55"/>
      <c r="I2" s="78" t="s">
        <v>59</v>
      </c>
      <c r="J2" s="79">
        <f>'Control Entry'!B4</f>
        <v>45847</v>
      </c>
      <c r="K2" s="55"/>
      <c r="L2" s="55"/>
    </row>
    <row r="3" spans="2:15" ht="45" customHeight="1" x14ac:dyDescent="0.45">
      <c r="D3" s="12"/>
      <c r="E3" s="123" t="s">
        <v>29</v>
      </c>
      <c r="F3" s="123"/>
      <c r="G3" s="123"/>
      <c r="H3" s="123"/>
      <c r="I3" s="66" t="s">
        <v>61</v>
      </c>
      <c r="J3" s="71">
        <f>IF(ISBLANK(Brevet_Number),"",Brevet_Number)</f>
        <v>5490</v>
      </c>
      <c r="K3" s="39"/>
      <c r="L3" s="39"/>
    </row>
    <row r="4" spans="2:15" ht="20" customHeight="1" x14ac:dyDescent="0.15">
      <c r="C4" s="12"/>
      <c r="E4" s="124" t="str">
        <f>IF(ISBLANK(Brevet_Length),"",Brevet_Length&amp;" km Randonnée")</f>
        <v>300 km Randonnée</v>
      </c>
      <c r="F4" s="124"/>
      <c r="G4" s="124"/>
      <c r="H4" s="124"/>
      <c r="K4" s="51"/>
      <c r="L4" s="51"/>
    </row>
    <row r="5" spans="2:15" ht="20" customHeight="1" x14ac:dyDescent="0.2">
      <c r="D5" s="52"/>
      <c r="E5" s="122" t="str">
        <f>IF(ISBLANK(Brevet_Description),"",Brevet_Description)</f>
        <v>The Once Over</v>
      </c>
      <c r="F5" s="122"/>
      <c r="G5" s="122"/>
      <c r="H5" s="122"/>
      <c r="I5" s="74"/>
      <c r="J5" s="52"/>
      <c r="K5" s="52"/>
      <c r="L5" s="52"/>
    </row>
    <row r="6" spans="2:15" ht="20" x14ac:dyDescent="0.2">
      <c r="D6" s="67"/>
      <c r="E6" s="122"/>
      <c r="F6" s="122"/>
      <c r="G6" s="122"/>
      <c r="H6" s="122"/>
      <c r="I6" s="74"/>
      <c r="J6" s="67"/>
      <c r="K6" s="52"/>
      <c r="L6" s="52"/>
    </row>
    <row r="7" spans="2:15" ht="25" customHeight="1" x14ac:dyDescent="0.15">
      <c r="C7" s="118"/>
      <c r="D7" s="118"/>
      <c r="E7" s="118"/>
      <c r="F7" s="118"/>
      <c r="H7" s="120"/>
    </row>
    <row r="8" spans="2:15" ht="21" thickBot="1" x14ac:dyDescent="0.25">
      <c r="B8" s="17" t="s">
        <v>62</v>
      </c>
      <c r="C8" s="119"/>
      <c r="D8" s="119"/>
      <c r="E8" s="119"/>
      <c r="F8" s="119"/>
      <c r="G8" s="17" t="s">
        <v>31</v>
      </c>
      <c r="H8" s="121"/>
      <c r="I8" s="53"/>
      <c r="J8" s="53"/>
      <c r="K8" s="53"/>
    </row>
    <row r="9" spans="2:15" ht="22" customHeight="1" x14ac:dyDescent="0.15">
      <c r="B9" s="58"/>
      <c r="C9" s="58"/>
      <c r="D9" s="58"/>
      <c r="E9" s="58"/>
      <c r="F9" s="54"/>
      <c r="G9" s="60"/>
      <c r="H9" s="60"/>
      <c r="I9" s="60"/>
      <c r="J9" s="54"/>
    </row>
    <row r="10" spans="2:15" ht="20" customHeight="1" x14ac:dyDescent="0.15">
      <c r="B10" s="116" t="s">
        <v>34</v>
      </c>
      <c r="C10" s="116"/>
      <c r="D10" s="64" t="s">
        <v>35</v>
      </c>
      <c r="E10" s="117" t="s">
        <v>58</v>
      </c>
      <c r="F10" s="117"/>
      <c r="G10" s="117"/>
      <c r="H10" s="70"/>
      <c r="I10" s="59"/>
      <c r="J10" s="59"/>
      <c r="K10" s="19"/>
      <c r="L10" s="125"/>
      <c r="M10" s="125"/>
      <c r="N10" s="125"/>
      <c r="O10" s="125"/>
    </row>
    <row r="11" spans="2:15" ht="23" x14ac:dyDescent="0.15">
      <c r="B11" s="58"/>
      <c r="C11" s="58"/>
      <c r="D11" s="58"/>
      <c r="E11" s="58"/>
      <c r="F11" s="54"/>
      <c r="G11" s="60"/>
      <c r="H11" s="60"/>
      <c r="I11" s="60"/>
      <c r="J11" s="54"/>
    </row>
    <row r="12" spans="2:15" ht="21" thickBot="1" x14ac:dyDescent="0.25">
      <c r="D12" s="139" t="s">
        <v>19</v>
      </c>
      <c r="E12" s="139"/>
      <c r="F12" s="69">
        <f>IF(ISBLANK('Control Entry'!B12),"",'Control Entry'!B12)</f>
        <v>45857</v>
      </c>
      <c r="G12" s="73"/>
      <c r="H12" s="17" t="s">
        <v>64</v>
      </c>
      <c r="I12" s="68">
        <f>IF(ISBLANK('Control Entry'!B13),"",'Control Entry'!B13)</f>
        <v>0.25</v>
      </c>
      <c r="J12" s="23"/>
    </row>
    <row r="13" spans="2:15" ht="20" x14ac:dyDescent="0.2">
      <c r="D13" s="22"/>
      <c r="E13" s="22"/>
      <c r="F13" s="21"/>
      <c r="G13" s="21"/>
      <c r="H13" s="21"/>
      <c r="L13" s="23"/>
      <c r="M13" s="23"/>
      <c r="N13" s="23"/>
    </row>
    <row r="14" spans="2:15" ht="21" thickBot="1" x14ac:dyDescent="0.25">
      <c r="D14" s="139" t="s">
        <v>63</v>
      </c>
      <c r="E14" s="139"/>
      <c r="F14" s="69"/>
      <c r="G14" s="73"/>
      <c r="H14" s="17" t="s">
        <v>65</v>
      </c>
      <c r="I14" s="68"/>
      <c r="J14" s="23"/>
      <c r="L14" s="45"/>
      <c r="M14" s="45"/>
      <c r="N14" s="45"/>
    </row>
    <row r="15" spans="2:15" ht="20" x14ac:dyDescent="0.2">
      <c r="B15" s="22"/>
      <c r="C15" s="22"/>
      <c r="D15" s="21"/>
      <c r="E15" s="21"/>
      <c r="H15" s="21"/>
    </row>
    <row r="16" spans="2:15" ht="21" thickBot="1" x14ac:dyDescent="0.25">
      <c r="C16" s="65"/>
      <c r="D16" s="65"/>
      <c r="E16" s="65"/>
      <c r="F16" s="65"/>
      <c r="H16" s="17" t="s">
        <v>66</v>
      </c>
      <c r="I16" s="68"/>
      <c r="J16" s="23"/>
      <c r="L16" s="45"/>
      <c r="M16" s="45"/>
      <c r="N16" s="45"/>
    </row>
    <row r="17" spans="2:15" ht="20" x14ac:dyDescent="0.15">
      <c r="C17" s="140" t="s">
        <v>14</v>
      </c>
      <c r="D17" s="140"/>
      <c r="E17" s="140"/>
      <c r="F17" s="140"/>
      <c r="G17" s="19"/>
      <c r="H17" s="19"/>
      <c r="I17" s="135"/>
      <c r="J17" s="135"/>
      <c r="K17" s="19"/>
      <c r="L17" s="125"/>
      <c r="M17" s="125"/>
      <c r="N17" s="125"/>
      <c r="O17" s="125"/>
    </row>
    <row r="18" spans="2:15" ht="6" customHeight="1" thickBot="1" x14ac:dyDescent="0.2">
      <c r="B18" s="61"/>
      <c r="C18" s="61"/>
      <c r="D18" s="61"/>
      <c r="E18" s="61"/>
      <c r="F18" s="62"/>
      <c r="G18" s="63"/>
      <c r="H18" s="63"/>
      <c r="I18" s="63"/>
      <c r="J18" s="62"/>
    </row>
    <row r="19" spans="2:15" ht="22" thickTop="1" thickBot="1" x14ac:dyDescent="0.2">
      <c r="B19" s="115" t="s">
        <v>50</v>
      </c>
      <c r="C19" s="115"/>
      <c r="D19" s="115"/>
      <c r="E19" s="115"/>
      <c r="F19" s="115"/>
      <c r="G19" s="115"/>
      <c r="H19" s="115"/>
      <c r="I19" s="115"/>
      <c r="J19" s="115"/>
    </row>
    <row r="20" spans="2:15" ht="20" thickBot="1" x14ac:dyDescent="0.25">
      <c r="B20" s="50" t="s">
        <v>26</v>
      </c>
      <c r="C20" s="8" t="s">
        <v>0</v>
      </c>
      <c r="D20" s="8" t="s">
        <v>1</v>
      </c>
      <c r="E20" s="8" t="s">
        <v>22</v>
      </c>
      <c r="F20" s="8" t="s">
        <v>27</v>
      </c>
      <c r="G20" s="136" t="s">
        <v>36</v>
      </c>
      <c r="H20" s="137"/>
      <c r="I20" s="138"/>
      <c r="J20" s="50" t="s">
        <v>28</v>
      </c>
    </row>
    <row r="21" spans="2:15" ht="40" customHeight="1" x14ac:dyDescent="0.25">
      <c r="B21" s="88"/>
      <c r="C21" s="100">
        <f>Control_1 Open_time</f>
        <v>45857.25</v>
      </c>
      <c r="D21" s="100">
        <f>Control_1 Close_time</f>
        <v>45857.291666666664</v>
      </c>
      <c r="E21" s="89"/>
      <c r="F21" s="90" t="str">
        <f>IF(ISBLANK(Control_1 Establishment_1),"",Control_1 Establishment_1)</f>
        <v>STAFFED</v>
      </c>
      <c r="G21" s="129" t="str">
        <f>IF(ISBLANK('Control Entry'!I15),"",'Control Entry'!I15)</f>
        <v/>
      </c>
      <c r="H21" s="130"/>
      <c r="I21" s="131"/>
      <c r="J21" s="91"/>
    </row>
    <row r="22" spans="2:15" ht="40" customHeight="1" x14ac:dyDescent="0.25">
      <c r="B22" s="92">
        <f>IF(ISBLANK(Distance Control_1),"",Control_1 Distance)</f>
        <v>0</v>
      </c>
      <c r="C22" s="93">
        <f>Control_1 Open_time</f>
        <v>45857.25</v>
      </c>
      <c r="D22" s="93">
        <f>Control_1 Close_time</f>
        <v>45857.291666666664</v>
      </c>
      <c r="E22" s="90" t="str">
        <f>IF(ISBLANK(Locale Control_1),"",Locale Control_1)</f>
        <v>VIEW ROYAL</v>
      </c>
      <c r="F22" s="90" t="str">
        <f>IF(ISBLANK(Control_1 Establishment_2),"",Control_1 Establishment_2)</f>
        <v>Atkins Rd Park</v>
      </c>
      <c r="G22" s="132" t="str">
        <f>IF(ISBLANK('Control Entry'!J15),"",'Control Entry'!J15)</f>
        <v/>
      </c>
      <c r="H22" s="133"/>
      <c r="I22" s="134"/>
      <c r="J22" s="94"/>
    </row>
    <row r="23" spans="2:15" ht="40" customHeight="1" thickBot="1" x14ac:dyDescent="0.3">
      <c r="B23" s="95"/>
      <c r="C23" s="101">
        <f>Control_1 Open_time</f>
        <v>45857.25</v>
      </c>
      <c r="D23" s="101">
        <f>Control_1 Close_time</f>
        <v>45857.291666666664</v>
      </c>
      <c r="E23" s="96"/>
      <c r="F23" s="97" t="str">
        <f>IF(ISBLANK(Control_1 Establishment_3),"",Control_1 Establishment_3)</f>
        <v>Galloping Goose Trail</v>
      </c>
      <c r="G23" s="126" t="str">
        <f>IF(ISBLANK('Control Entry'!K15),"",'Control Entry'!K15)</f>
        <v/>
      </c>
      <c r="H23" s="127"/>
      <c r="I23" s="128"/>
      <c r="J23" s="98"/>
    </row>
    <row r="24" spans="2:15" ht="40" customHeight="1" x14ac:dyDescent="0.25">
      <c r="B24" s="88"/>
      <c r="C24" s="100">
        <f>Control_2 Open_time</f>
        <v>45857.292361111111</v>
      </c>
      <c r="D24" s="100">
        <f>Control_2 Close_time</f>
        <v>45857.363194444442</v>
      </c>
      <c r="E24" s="99"/>
      <c r="F24" s="90" t="str">
        <f>IF(ISBLANK(Control_2 Establishment_1),"",Control_2 Establishment_1)</f>
        <v>INFORMATION</v>
      </c>
      <c r="G24" s="129" t="str">
        <f>IF(ISBLANK('Control Entry'!I16),"",'Control Entry'!I16)</f>
        <v>Outhouse on right side of trail is for whom?</v>
      </c>
      <c r="H24" s="130"/>
      <c r="I24" s="131"/>
      <c r="J24" s="91"/>
    </row>
    <row r="25" spans="2:15" ht="40" customHeight="1" x14ac:dyDescent="0.25">
      <c r="B25" s="92">
        <f>IF(ISBLANK(Distance Control_2),"",Control_2 Distance)</f>
        <v>34.299999999999997</v>
      </c>
      <c r="C25" s="93">
        <f>Control_2 Open_time</f>
        <v>45857.292361111111</v>
      </c>
      <c r="D25" s="93">
        <f>Control_2 Close_time</f>
        <v>45857.363194444442</v>
      </c>
      <c r="E25" s="90" t="str">
        <f>IF(ISBLANK(Locale Control_2),"",Locale Control_2)</f>
        <v>SHAWNIGAN LAKE</v>
      </c>
      <c r="F25" s="90" t="str">
        <f>IF(ISBLANK(Control_2 Establishment_2),"",Control_2 Establishment_2)</f>
        <v>West Shawnigan Lk PP</v>
      </c>
      <c r="G25" s="132" t="str">
        <f>IF(ISBLANK('Control Entry'!J16),"",'Control Entry'!J16)</f>
        <v/>
      </c>
      <c r="H25" s="133"/>
      <c r="I25" s="134"/>
      <c r="J25" s="94"/>
    </row>
    <row r="26" spans="2:15" ht="40" customHeight="1" thickBot="1" x14ac:dyDescent="0.3">
      <c r="B26" s="95"/>
      <c r="C26" s="101">
        <f>Control_2 Open_time</f>
        <v>45857.292361111111</v>
      </c>
      <c r="D26" s="101">
        <f>Control_2 Close_time</f>
        <v>45857.363194444442</v>
      </c>
      <c r="E26" s="96"/>
      <c r="F26" s="97" t="str">
        <f>IF(ISBLANK(Control_2 Establishment_3),"",Control_2 Establishment_3)</f>
        <v>Parking lot outhouses</v>
      </c>
      <c r="G26" s="126" t="str">
        <f>IF(ISBLANK('Control Entry'!K16),"",'Control Entry'!K16)</f>
        <v>WOMEN.       BOTH.      MEN</v>
      </c>
      <c r="H26" s="127"/>
      <c r="I26" s="128"/>
      <c r="J26" s="98"/>
    </row>
    <row r="27" spans="2:15" ht="40" customHeight="1" x14ac:dyDescent="0.25">
      <c r="B27" s="88"/>
      <c r="C27" s="100">
        <f>Control_3 Open_time</f>
        <v>45857.34097222222</v>
      </c>
      <c r="D27" s="100">
        <f>Control_3 Close_time</f>
        <v>45857.456944444442</v>
      </c>
      <c r="E27" s="99"/>
      <c r="F27" s="90" t="str">
        <f>IF(ISBLANK(Control_3 Establishment_1),"",Control_3 Establishment_1)</f>
        <v>BUSINESS</v>
      </c>
      <c r="G27" s="129" t="str">
        <f>IF(ISBLANK('Control Entry'!I17),"",'Control Entry'!I17)</f>
        <v/>
      </c>
      <c r="H27" s="130"/>
      <c r="I27" s="131"/>
      <c r="J27" s="91"/>
    </row>
    <row r="28" spans="2:15" ht="40" customHeight="1" x14ac:dyDescent="0.25">
      <c r="B28" s="92">
        <f>IF(ISBLANK(Distance Control_3),"",Control_3 Distance)</f>
        <v>74.400000000000006</v>
      </c>
      <c r="C28" s="93">
        <f>Control_3 Open_time</f>
        <v>45857.34097222222</v>
      </c>
      <c r="D28" s="93">
        <f>Control_3 Close_time</f>
        <v>45857.456944444442</v>
      </c>
      <c r="E28" s="90" t="str">
        <f>IF(ISBLANK(Locale Control_3),"",Locale Control_3)</f>
        <v>CROFTON</v>
      </c>
      <c r="F28" s="90" t="str">
        <f>IF(ISBLANK(Control_3 Establishment_2),"",Control_3 Establishment_2)</f>
        <v>3rd Wave Coffee</v>
      </c>
      <c r="G28" s="132" t="str">
        <f>IF(ISBLANK('Control Entry'!J17),"",'Control Entry'!J17)</f>
        <v/>
      </c>
      <c r="H28" s="133"/>
      <c r="I28" s="134"/>
      <c r="J28" s="94"/>
    </row>
    <row r="29" spans="2:15" ht="40" customHeight="1" thickBot="1" x14ac:dyDescent="0.3">
      <c r="B29" s="95"/>
      <c r="C29" s="101">
        <f>Control_3 Open_time</f>
        <v>45857.34097222222</v>
      </c>
      <c r="D29" s="101">
        <f>Control_3 Close_time</f>
        <v>45857.456944444442</v>
      </c>
      <c r="E29" s="96"/>
      <c r="F29" s="97" t="str">
        <f>IF(ISBLANK(Control_3 Establishment_3),"",Control_3 Establishment_3)</f>
        <v>1532 Chaplin St</v>
      </c>
      <c r="G29" s="126" t="str">
        <f>IF(ISBLANK('Control Entry'!K17),"",'Control Entry'!K17)</f>
        <v/>
      </c>
      <c r="H29" s="127"/>
      <c r="I29" s="128"/>
      <c r="J29" s="98"/>
    </row>
    <row r="30" spans="2:15" ht="40" customHeight="1" x14ac:dyDescent="0.25">
      <c r="B30" s="88"/>
      <c r="C30" s="100">
        <f>Control_4 Open_time</f>
        <v>45857.35833333333</v>
      </c>
      <c r="D30" s="100">
        <f>Control_4 Close_time</f>
        <v>45857.495138888888</v>
      </c>
      <c r="E30" s="99"/>
      <c r="F30" s="90" t="str">
        <f>IF(ISBLANK(Control_4 Establishment_1),"",Control_4 Establishment_1)</f>
        <v>INFORMATION</v>
      </c>
      <c r="G30" s="129" t="str">
        <f>IF(ISBLANK('Control Entry'!I18),"",'Control Entry'!I18)</f>
        <v>Dog walking sign</v>
      </c>
      <c r="H30" s="130"/>
      <c r="I30" s="131"/>
      <c r="J30" s="91"/>
    </row>
    <row r="31" spans="2:15" ht="40" customHeight="1" x14ac:dyDescent="0.25">
      <c r="B31" s="92">
        <f>IF(ISBLANK(Distance Control_4),"",Control_4 Distance)</f>
        <v>88.2</v>
      </c>
      <c r="C31" s="93">
        <f>Control_4 Open_time</f>
        <v>45857.35833333333</v>
      </c>
      <c r="D31" s="93">
        <f>Control_4 Close_time</f>
        <v>45857.495138888888</v>
      </c>
      <c r="E31" s="90" t="str">
        <f>IF(ISBLANK(Locale Control_4),"",Locale Control_4)</f>
        <v>SALTAIR</v>
      </c>
      <c r="F31" s="90" t="str">
        <f>IF(ISBLANK(Control_4 Establishment_2),"",Control_4 Establishment_2)</f>
        <v>Victoria Rd stop sign @ Chemainus Rd</v>
      </c>
      <c r="G31" s="143" t="str">
        <f>IF(ISBLANK('Control Entry'!J18),"",'Control Entry'!J18)</f>
        <v/>
      </c>
      <c r="H31" s="144"/>
      <c r="I31" s="145"/>
      <c r="J31" s="94"/>
    </row>
    <row r="32" spans="2:15" ht="40" customHeight="1" thickBot="1" x14ac:dyDescent="0.3">
      <c r="B32" s="95"/>
      <c r="C32" s="101">
        <f>Control_4 Open_time</f>
        <v>45857.35833333333</v>
      </c>
      <c r="D32" s="101">
        <f>Control_4 Close_time</f>
        <v>45857.495138888888</v>
      </c>
      <c r="E32" s="96"/>
      <c r="F32" s="97" t="str">
        <f>IF(ISBLANK(Control_4 Establishment_3),"",Control_4 Establishment_3)</f>
        <v xml:space="preserve">Pole beside stop sign.  </v>
      </c>
      <c r="G32" s="126" t="str">
        <f>IF(ISBLANK('Control Entry'!K18),"",'Control Entry'!K18)</f>
        <v>"The curious ___?___crew"</v>
      </c>
      <c r="H32" s="127"/>
      <c r="I32" s="128"/>
      <c r="J32" s="98"/>
    </row>
    <row r="33" spans="2:10" ht="40" customHeight="1" x14ac:dyDescent="0.25">
      <c r="B33" s="88"/>
      <c r="C33" s="100">
        <f>Control_5 Open_time</f>
        <v>45857.492361111108</v>
      </c>
      <c r="D33" s="100">
        <f>Control_5 Close_time</f>
        <v>45857.799305555556</v>
      </c>
      <c r="E33" s="99"/>
      <c r="F33" s="90" t="str">
        <f>IF(ISBLANK(Control_5 Establishment_1),"",Control_5 Establishment_1)</f>
        <v>BUSINESS</v>
      </c>
      <c r="G33" s="129" t="str">
        <f>IF(ISBLANK('Control Entry'!I19),"",'Control Entry'!I19)</f>
        <v/>
      </c>
      <c r="H33" s="130"/>
      <c r="I33" s="131"/>
      <c r="J33" s="91"/>
    </row>
    <row r="34" spans="2:10" ht="40" customHeight="1" x14ac:dyDescent="0.25">
      <c r="B34" s="92">
        <f>IF(ISBLANK(Distance Control_5),"",Control_5 Distance)</f>
        <v>197.8</v>
      </c>
      <c r="C34" s="93">
        <f>Control_5 Open_time</f>
        <v>45857.492361111108</v>
      </c>
      <c r="D34" s="93">
        <f>Control_5 Close_time</f>
        <v>45857.799305555556</v>
      </c>
      <c r="E34" s="90" t="str">
        <f>IF(ISBLANK(Locale Control_5),"",Locale Control_5)</f>
        <v>PORT RENFREW</v>
      </c>
      <c r="F34" s="90" t="str">
        <f>IF(ISBLANK(Control_5 Establishment_2),"",Control_5 Establishment_2)</f>
        <v>General Store</v>
      </c>
      <c r="G34" s="132" t="str">
        <f>IF(ISBLANK('Control Entry'!J19),"",'Control Entry'!J19)</f>
        <v/>
      </c>
      <c r="H34" s="133"/>
      <c r="I34" s="134"/>
      <c r="J34" s="94"/>
    </row>
    <row r="35" spans="2:10" ht="40" customHeight="1" thickBot="1" x14ac:dyDescent="0.3">
      <c r="B35" s="95"/>
      <c r="C35" s="101">
        <f>Control_5 Open_time</f>
        <v>45857.492361111108</v>
      </c>
      <c r="D35" s="101">
        <f>Control_5 Close_time</f>
        <v>45857.799305555556</v>
      </c>
      <c r="E35" s="96"/>
      <c r="F35" s="103" t="str">
        <f>IF(ISBLANK(Control_5 Establishment_3),"",Control_5 Establishment_3)</f>
        <v>Parkinson Rd</v>
      </c>
      <c r="G35" s="126" t="str">
        <f>IF(ISBLANK('Control Entry'!K19),"",'Control Entry'!K19)</f>
        <v/>
      </c>
      <c r="H35" s="127"/>
      <c r="I35" s="128"/>
      <c r="J35" s="98"/>
    </row>
    <row r="36" spans="2:10" ht="40" customHeight="1" x14ac:dyDescent="0.25">
      <c r="B36" s="88"/>
      <c r="C36" s="100">
        <f>Control_6 Open_time</f>
        <v>45857.606249999997</v>
      </c>
      <c r="D36" s="100">
        <f>Control_6 Close_time</f>
        <v>45858.042361111111</v>
      </c>
      <c r="E36" s="99"/>
      <c r="F36" s="90" t="str">
        <f>IF(ISBLANK(Control_6 Establishment_1),"",Control_6 Establishment_1)</f>
        <v>INFORMATION</v>
      </c>
      <c r="G36" s="129" t="str">
        <f>IF(ISBLANK('Control Entry'!I20),"",'Control Entry'!I20)</f>
        <v>Trail sign arrow.  Beneath it.</v>
      </c>
      <c r="H36" s="130"/>
      <c r="I36" s="131"/>
      <c r="J36" s="91"/>
    </row>
    <row r="37" spans="2:10" ht="40" customHeight="1" x14ac:dyDescent="0.25">
      <c r="B37" s="92">
        <f>IF(ISBLANK(Distance Control_6),"",Control_6 Distance)</f>
        <v>285.3</v>
      </c>
      <c r="C37" s="93">
        <f>Control_6 Open_time</f>
        <v>45857.606249999997</v>
      </c>
      <c r="D37" s="93">
        <f>Control_6 Close_time</f>
        <v>45858.042361111111</v>
      </c>
      <c r="E37" s="90" t="str">
        <f>IF(ISBLANK(Locale Control_6),"",Locale Control_6)</f>
        <v>METCHOSIN</v>
      </c>
      <c r="F37" s="90" t="str">
        <f>IF(ISBLANK(Control_6 Establishment_2),"",Control_6 Establishment_2)</f>
        <v xml:space="preserve">Kangaroo Rd @ Rocky Pt Rd </v>
      </c>
      <c r="G37" s="132" t="str">
        <f>IF(ISBLANK('Control Entry'!J20),"",'Control Entry'!J20)</f>
        <v>Number of small geese?</v>
      </c>
      <c r="H37" s="133"/>
      <c r="I37" s="134"/>
      <c r="J37" s="94"/>
    </row>
    <row r="38" spans="2:10" ht="40" customHeight="1" thickBot="1" x14ac:dyDescent="0.3">
      <c r="B38" s="95"/>
      <c r="C38" s="101">
        <f>Control_6 Open_time</f>
        <v>45857.606249999997</v>
      </c>
      <c r="D38" s="101">
        <f>Control_6 Close_time</f>
        <v>45858.042361111111</v>
      </c>
      <c r="E38" s="96"/>
      <c r="F38" s="97" t="str">
        <f>IF(ISBLANK(Control_6 Establishment_3),"",Control_6 Establishment_3)</f>
        <v>Driveway across Rocky Point</v>
      </c>
      <c r="G38" s="126" t="str">
        <f>IF(ISBLANK('Control Entry'!K20),"",'Control Entry'!K20)</f>
        <v>1.      3.      5</v>
      </c>
      <c r="H38" s="127"/>
      <c r="I38" s="128"/>
      <c r="J38" s="98"/>
    </row>
    <row r="39" spans="2:10" ht="40" customHeight="1" x14ac:dyDescent="0.25">
      <c r="B39" s="88"/>
      <c r="C39" s="100">
        <f>Control_7 Open_time</f>
        <v>45857.62777777778</v>
      </c>
      <c r="D39" s="100">
        <f>Control_7 Close_time</f>
        <v>45858.083333333336</v>
      </c>
      <c r="E39" s="99"/>
      <c r="F39" s="90" t="str">
        <f>IF(ISBLANK(Control_7 Establishment_1),"",Control_7 Establishment_1)</f>
        <v>INFORMATION</v>
      </c>
      <c r="G39" s="129" t="str">
        <f>IF(ISBLANK('Control Entry'!I21),"",'Control Entry'!I21)</f>
        <v>self sign</v>
      </c>
      <c r="H39" s="130"/>
      <c r="I39" s="131"/>
      <c r="J39" s="91"/>
    </row>
    <row r="40" spans="2:10" ht="40" customHeight="1" x14ac:dyDescent="0.25">
      <c r="B40" s="92">
        <f>IF(ISBLANK(Distance Control_7),"",Control_7 Distance)</f>
        <v>301.89999999999998</v>
      </c>
      <c r="C40" s="93">
        <f>Control_7 Open_time</f>
        <v>45857.62777777778</v>
      </c>
      <c r="D40" s="93">
        <f>Control_7 Close_time</f>
        <v>45858.083333333336</v>
      </c>
      <c r="E40" s="90" t="str">
        <f>IF(ISBLANK(Locale Control_7),"",Locale Control_7)</f>
        <v>VIEW ROYAL</v>
      </c>
      <c r="F40" s="90" t="str">
        <f>IF(ISBLANK(Control_7 Establishment_2),"",Control_7 Establishment_2)</f>
        <v>Atkins Rd Park</v>
      </c>
      <c r="G40" s="132" t="str">
        <f>IF(ISBLANK('Control Entry'!J21),"",'Control Entry'!J21)</f>
        <v/>
      </c>
      <c r="H40" s="133"/>
      <c r="I40" s="134"/>
      <c r="J40" s="94"/>
    </row>
    <row r="41" spans="2:10" ht="40" customHeight="1" thickBot="1" x14ac:dyDescent="0.3">
      <c r="B41" s="95"/>
      <c r="C41" s="101">
        <f>Control_7 Open_time</f>
        <v>45857.62777777778</v>
      </c>
      <c r="D41" s="101">
        <f>Control_7 Close_time</f>
        <v>45858.083333333336</v>
      </c>
      <c r="E41" s="96"/>
      <c r="F41" s="97" t="str">
        <f>IF(ISBLANK(Control_7 Establishment_3),"",Control_7 Establishment_3)</f>
        <v>Galloping Goose Trail</v>
      </c>
      <c r="G41" s="126" t="str">
        <f>IF(ISBLANK('Control Entry'!K21),"",'Control Entry'!K21)</f>
        <v/>
      </c>
      <c r="H41" s="127"/>
      <c r="I41" s="128"/>
      <c r="J41" s="98"/>
    </row>
    <row r="42" spans="2:10" ht="40" customHeight="1" x14ac:dyDescent="0.25">
      <c r="B42" s="88"/>
      <c r="C42" s="100" t="str">
        <f>Control_8 Open_time</f>
        <v/>
      </c>
      <c r="D42" s="100" t="str">
        <f>Control_8 Close_time</f>
        <v/>
      </c>
      <c r="E42" s="99"/>
      <c r="F42" s="90" t="str">
        <f>IF(ISBLANK(Control_8 Establishment_1),"",Control_8 Establishment_1)</f>
        <v/>
      </c>
      <c r="G42" s="129" t="str">
        <f>IF(ISBLANK('Control Entry'!I22),"",'Control Entry'!I22)</f>
        <v/>
      </c>
      <c r="H42" s="130"/>
      <c r="I42" s="131"/>
      <c r="J42" s="91"/>
    </row>
    <row r="43" spans="2:10" ht="40" customHeight="1" x14ac:dyDescent="0.25">
      <c r="B43" s="92" t="str">
        <f>IF(ISBLANK(Distance Control_8),"",Control_8 Distance)</f>
        <v/>
      </c>
      <c r="C43" s="93" t="str">
        <f>Control_8 Open_time</f>
        <v/>
      </c>
      <c r="D43" s="93" t="str">
        <f>Control_8 Close_time</f>
        <v/>
      </c>
      <c r="E43" s="90" t="str">
        <f>IF(ISBLANK(Locale Control_8),"",Locale Control_8)</f>
        <v/>
      </c>
      <c r="F43" s="90" t="str">
        <f>IF(ISBLANK(Control_8 Establishment_2),"",Control_8 Establishment_2)</f>
        <v/>
      </c>
      <c r="G43" s="132" t="str">
        <f>IF(ISBLANK('Control Entry'!J22),"",'Control Entry'!J22)</f>
        <v/>
      </c>
      <c r="H43" s="133"/>
      <c r="I43" s="134"/>
      <c r="J43" s="94"/>
    </row>
    <row r="44" spans="2:10" ht="40" customHeight="1" thickBot="1" x14ac:dyDescent="0.3">
      <c r="B44" s="95"/>
      <c r="C44" s="101" t="str">
        <f>Control_8 Open_time</f>
        <v/>
      </c>
      <c r="D44" s="101" t="str">
        <f>Control_8 Close_time</f>
        <v/>
      </c>
      <c r="E44" s="96"/>
      <c r="F44" s="97" t="str">
        <f>IF(ISBLANK(Control_8 Establishment_3),"",Control_8 Establishment_3)</f>
        <v/>
      </c>
      <c r="G44" s="126" t="str">
        <f>IF(ISBLANK('Control Entry'!K22),"",'Control Entry'!K22)</f>
        <v/>
      </c>
      <c r="H44" s="127"/>
      <c r="I44" s="128"/>
      <c r="J44" s="98"/>
    </row>
    <row r="45" spans="2:10" ht="40" customHeight="1" x14ac:dyDescent="0.25">
      <c r="B45" s="88"/>
      <c r="C45" s="100" t="str">
        <f>Control_9 Open_time</f>
        <v/>
      </c>
      <c r="D45" s="100" t="str">
        <f>Control_9 Close_time</f>
        <v/>
      </c>
      <c r="E45" s="99"/>
      <c r="F45" s="90" t="str">
        <f>IF(ISBLANK(Control_9 Establishment_1),"",Control_9 Establishment_1)</f>
        <v/>
      </c>
      <c r="G45" s="129" t="str">
        <f>IF(ISBLANK('Control Entry'!I23),"",'Control Entry'!I23)</f>
        <v/>
      </c>
      <c r="H45" s="130"/>
      <c r="I45" s="131"/>
      <c r="J45" s="91"/>
    </row>
    <row r="46" spans="2:10" ht="40" customHeight="1" x14ac:dyDescent="0.25">
      <c r="B46" s="92" t="str">
        <f>IF(ISBLANK(Distance Control_9),"",Control_9 Distance)</f>
        <v/>
      </c>
      <c r="C46" s="93" t="str">
        <f>Control_9 Open_time</f>
        <v/>
      </c>
      <c r="D46" s="93" t="str">
        <f>Control_9 Close_time</f>
        <v/>
      </c>
      <c r="E46" s="90" t="str">
        <f>IF(ISBLANK(Locale Control_9),"",Locale Control_9)</f>
        <v/>
      </c>
      <c r="F46" s="90" t="str">
        <f>IF(ISBLANK(Control_9 Establishment_2),"",Control_9 Establishment_2)</f>
        <v/>
      </c>
      <c r="G46" s="132" t="str">
        <f>IF(ISBLANK('Control Entry'!J23),"",'Control Entry'!J23)</f>
        <v/>
      </c>
      <c r="H46" s="133"/>
      <c r="I46" s="134"/>
      <c r="J46" s="94"/>
    </row>
    <row r="47" spans="2:10" ht="40" customHeight="1" thickBot="1" x14ac:dyDescent="0.3">
      <c r="B47" s="95"/>
      <c r="C47" s="101" t="str">
        <f>Control_9 Open_time</f>
        <v/>
      </c>
      <c r="D47" s="101" t="str">
        <f>Control_9 Close_time</f>
        <v/>
      </c>
      <c r="E47" s="96"/>
      <c r="F47" s="97" t="str">
        <f>IF(ISBLANK(Control_9 Establishment_3),"",Control_9 Establishment_3)</f>
        <v/>
      </c>
      <c r="G47" s="126" t="str">
        <f>IF(ISBLANK('Control Entry'!K23),"",'Control Entry'!K23)</f>
        <v/>
      </c>
      <c r="H47" s="127"/>
      <c r="I47" s="128"/>
      <c r="J47" s="98"/>
    </row>
    <row r="48" spans="2:10" ht="40" customHeight="1" x14ac:dyDescent="0.25">
      <c r="B48" s="88"/>
      <c r="C48" s="100" t="str">
        <f>Control_10 Open_time</f>
        <v/>
      </c>
      <c r="D48" s="100" t="str">
        <f>Control_10 Close_time</f>
        <v/>
      </c>
      <c r="E48" s="99"/>
      <c r="F48" s="90" t="str">
        <f>IF(ISBLANK(Control_10 Establishment_1),"",Control_10 Establishment_1)</f>
        <v/>
      </c>
      <c r="G48" s="129" t="str">
        <f>IF(ISBLANK('Control Entry'!I24),"",'Control Entry'!I24)</f>
        <v/>
      </c>
      <c r="H48" s="130"/>
      <c r="I48" s="131"/>
      <c r="J48" s="91"/>
    </row>
    <row r="49" spans="2:11" ht="40" customHeight="1" x14ac:dyDescent="0.25">
      <c r="B49" s="92" t="str">
        <f>IF(ISBLANK(Distance Control_10),"",Control_10 Distance)</f>
        <v/>
      </c>
      <c r="C49" s="93" t="str">
        <f>Control_10 Open_time</f>
        <v/>
      </c>
      <c r="D49" s="93" t="str">
        <f>Control_10 Close_time</f>
        <v/>
      </c>
      <c r="E49" s="90" t="str">
        <f>IF(ISBLANK(Locale Control_10),"",Locale Control_10)</f>
        <v/>
      </c>
      <c r="F49" s="90" t="str">
        <f>IF(ISBLANK(Control_10 Establishment_2),"",Control_10 Establishment_2)</f>
        <v/>
      </c>
      <c r="G49" s="132" t="str">
        <f>IF(ISBLANK('Control Entry'!J24),"",'Control Entry'!J24)</f>
        <v/>
      </c>
      <c r="H49" s="133"/>
      <c r="I49" s="134"/>
      <c r="J49" s="94"/>
    </row>
    <row r="50" spans="2:11" ht="40" customHeight="1" thickBot="1" x14ac:dyDescent="0.3">
      <c r="B50" s="95"/>
      <c r="C50" s="101" t="str">
        <f>Control_10 Open_time</f>
        <v/>
      </c>
      <c r="D50" s="101" t="str">
        <f>Control_10 Close_time</f>
        <v/>
      </c>
      <c r="E50" s="96"/>
      <c r="F50" s="97" t="str">
        <f>IF(ISBLANK(Control_10 Establishment_3),"",Control_10 Establishment_3)</f>
        <v/>
      </c>
      <c r="G50" s="126" t="str">
        <f>IF(ISBLANK('Control Entry'!K24),"",'Control Entry'!K24)</f>
        <v/>
      </c>
      <c r="H50" s="127"/>
      <c r="I50" s="128"/>
      <c r="J50" s="98"/>
    </row>
    <row r="52" spans="2:11" ht="24" customHeight="1" x14ac:dyDescent="0.15">
      <c r="B52" s="146" t="s">
        <v>30</v>
      </c>
      <c r="C52" s="146"/>
      <c r="D52" s="146"/>
      <c r="E52" s="146"/>
      <c r="F52" s="146"/>
      <c r="I52" s="58" t="s">
        <v>57</v>
      </c>
      <c r="J52" s="81" t="str">
        <f>IF(ISBLANK('Control Entry'!F10),"",'Control Entry'!F10)</f>
        <v>(250) 580-0085‬</v>
      </c>
      <c r="K52" s="54"/>
    </row>
    <row r="54" spans="2:11" x14ac:dyDescent="0.15">
      <c r="B54" s="76" t="s">
        <v>60</v>
      </c>
      <c r="C54" s="77">
        <f>'Control Entry'!B3</f>
        <v>45167</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41"/>
      <c r="G57" s="142"/>
      <c r="H57" s="142"/>
      <c r="I57" s="142"/>
      <c r="J57" s="142"/>
    </row>
  </sheetData>
  <mergeCells count="50">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 ref="G47:I47"/>
    <mergeCell ref="G20:I20"/>
    <mergeCell ref="D12:E12"/>
    <mergeCell ref="D14:E14"/>
    <mergeCell ref="G27:I27"/>
    <mergeCell ref="G28:I28"/>
    <mergeCell ref="G26:I26"/>
    <mergeCell ref="C17:F17"/>
    <mergeCell ref="G37:I37"/>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C2:F2"/>
    <mergeCell ref="B19:J19"/>
    <mergeCell ref="B10:C10"/>
    <mergeCell ref="E10:G10"/>
    <mergeCell ref="C7:F8"/>
    <mergeCell ref="H7:H8"/>
    <mergeCell ref="E5:H6"/>
    <mergeCell ref="E3:H3"/>
    <mergeCell ref="E4:H4"/>
  </mergeCells>
  <printOptions horizontalCentered="1" verticalCentered="1"/>
  <pageMargins left="0.39370078740157483" right="0.39370078740157483" top="0.39370078740157483" bottom="0.39370078740157483" header="0.15748031496062992" footer="0.15748031496062992"/>
  <pageSetup scale="43"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Control Entry</vt:lpstr>
      <vt:lpstr>Card #1</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2025-07-07T22:10:32Z</cp:lastPrinted>
  <dcterms:created xsi:type="dcterms:W3CDTF">1997-11-12T04:43:39Z</dcterms:created>
  <dcterms:modified xsi:type="dcterms:W3CDTF">2025-07-09T08:21:19Z</dcterms:modified>
</cp:coreProperties>
</file>