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07"/>
  <workbookPr showInkAnnotation="0" autoCompressPictures="0"/>
  <mc:AlternateContent xmlns:mc="http://schemas.openxmlformats.org/markup-compatibility/2006">
    <mc:Choice Requires="x15">
      <x15ac:absPath xmlns:x15ac="http://schemas.microsoft.com/office/spreadsheetml/2010/11/ac" url="/Users/stephencarol/Documents/BCR/2025/5495 NYPop/"/>
    </mc:Choice>
  </mc:AlternateContent>
  <xr:revisionPtr revIDLastSave="0" documentId="13_ncr:1_{E0D4D7BE-E83F-7849-966C-68F3C01D2D67}" xr6:coauthVersionLast="47" xr6:coauthVersionMax="47" xr10:uidLastSave="{00000000-0000-0000-0000-000000000000}"/>
  <bookViews>
    <workbookView xWindow="40" yWindow="900" windowWidth="29400" windowHeight="18360" tabRatio="509" xr2:uid="{00000000-000D-0000-FFFF-FFFF00000000}"/>
  </bookViews>
  <sheets>
    <sheet name="Control Entry" sheetId="1" r:id="rId1"/>
    <sheet name="Card #1" sheetId="7" r:id="rId2"/>
    <sheet name="Card #2" sheetId="8" r:id="rId3"/>
  </sheets>
  <definedNames>
    <definedName name="Address_1" localSheetId="1">#REF!</definedName>
    <definedName name="Address_1" localSheetId="2">#REF!</definedName>
    <definedName name="Address_1">#REF!</definedName>
    <definedName name="Address_2" localSheetId="1">#REF!</definedName>
    <definedName name="Address_2" localSheetId="2">#REF!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2">#REF!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2">'Control Entry'!#REF!</definedName>
    <definedName name="Control_11">'Control Entry'!#REF!</definedName>
    <definedName name="Control_12" localSheetId="1">'Control Entry'!#REF!</definedName>
    <definedName name="Control_12" localSheetId="2">'Control Entry'!#REF!</definedName>
    <definedName name="Control_12">'Control Entry'!#REF!</definedName>
    <definedName name="Control_13" localSheetId="1">'Control Entry'!#REF!</definedName>
    <definedName name="Control_13" localSheetId="2">'Control Entry'!#REF!</definedName>
    <definedName name="Control_13">'Control Entry'!#REF!</definedName>
    <definedName name="Control_14" localSheetId="1">'Control Entry'!#REF!</definedName>
    <definedName name="Control_14" localSheetId="2">'Control Entry'!#REF!</definedName>
    <definedName name="Control_14">'Control Entry'!#REF!</definedName>
    <definedName name="Control_15" localSheetId="1">'Control Entry'!#REF!</definedName>
    <definedName name="Control_15" localSheetId="2">'Control Entry'!#REF!</definedName>
    <definedName name="Control_15">'Control Entry'!#REF!</definedName>
    <definedName name="Control_16" localSheetId="1">'Control Entry'!#REF!</definedName>
    <definedName name="Control_16" localSheetId="2">'Control Entry'!#REF!</definedName>
    <definedName name="Control_16">'Control Entry'!#REF!</definedName>
    <definedName name="Control_17" localSheetId="1">'Control Entry'!#REF!</definedName>
    <definedName name="Control_17" localSheetId="2">'Control Entry'!#REF!</definedName>
    <definedName name="Control_17">'Control Entry'!#REF!</definedName>
    <definedName name="Control_18" localSheetId="1">'Control Entry'!#REF!</definedName>
    <definedName name="Control_18" localSheetId="2">'Control Entry'!#REF!</definedName>
    <definedName name="Control_18">'Control Entry'!#REF!</definedName>
    <definedName name="Control_19" localSheetId="1">'Control Entry'!#REF!</definedName>
    <definedName name="Control_19" localSheetId="2">'Control Entry'!#REF!</definedName>
    <definedName name="Control_19">'Control Entry'!#REF!</definedName>
    <definedName name="Control_2">'Control Entry'!$D$16:$O$16</definedName>
    <definedName name="Control_20" localSheetId="1">'Control Entry'!#REF!</definedName>
    <definedName name="Control_20" localSheetId="2">'Control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2">#REF!</definedName>
    <definedName name="Country">#REF!</definedName>
    <definedName name="Distance">'Control Entry'!$D$15:$D$24</definedName>
    <definedName name="email" localSheetId="1">#REF!</definedName>
    <definedName name="email" localSheetId="2">#REF!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2">#REF!</definedName>
    <definedName name="Fax">#REF!</definedName>
    <definedName name="First_Name" localSheetId="1">#REF!</definedName>
    <definedName name="First_Name" localSheetId="2">#REF!</definedName>
    <definedName name="First_Name">#REF!</definedName>
    <definedName name="Home_telephone" localSheetId="1">#REF!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2">#REF!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2">#REF!</definedName>
    <definedName name="Postal_Code">#REF!</definedName>
    <definedName name="_xlnm.Print_Area" localSheetId="1">'Card #1'!$A$1:$K$55</definedName>
    <definedName name="_xlnm.Print_Area" localSheetId="2">'Card #2'!$A$1:$K$55</definedName>
    <definedName name="Province_State" localSheetId="1">#REF!</definedName>
    <definedName name="Province_State" localSheetId="2">#REF!</definedName>
    <definedName name="Province_State">#REF!</definedName>
    <definedName name="Start_date">'Control Entry'!$B$12</definedName>
    <definedName name="Start_time">'Control Entry'!$B$13</definedName>
    <definedName name="surname" localSheetId="1">#REF!</definedName>
    <definedName name="surname" localSheetId="2">#REF!</definedName>
    <definedName name="surname">#REF!</definedName>
    <definedName name="Work_telephone" localSheetId="1">#REF!</definedName>
    <definedName name="Work_telephone" localSheetId="2">#REF!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0" i="8" l="1"/>
  <c r="G49" i="8"/>
  <c r="G48" i="8"/>
  <c r="F50" i="8"/>
  <c r="F49" i="8"/>
  <c r="F48" i="8"/>
  <c r="E49" i="8"/>
  <c r="B49" i="8"/>
  <c r="G47" i="8"/>
  <c r="G46" i="8"/>
  <c r="G45" i="8"/>
  <c r="F47" i="8"/>
  <c r="F46" i="8"/>
  <c r="F45" i="8"/>
  <c r="E46" i="8"/>
  <c r="B46" i="8"/>
  <c r="G44" i="8"/>
  <c r="G43" i="8"/>
  <c r="G42" i="8"/>
  <c r="F44" i="8"/>
  <c r="F43" i="8"/>
  <c r="F42" i="8"/>
  <c r="E43" i="8"/>
  <c r="B43" i="8"/>
  <c r="G41" i="8"/>
  <c r="G40" i="8"/>
  <c r="G39" i="8"/>
  <c r="F41" i="8"/>
  <c r="F40" i="8"/>
  <c r="F39" i="8"/>
  <c r="E40" i="8"/>
  <c r="B40" i="8"/>
  <c r="G38" i="8"/>
  <c r="G37" i="8"/>
  <c r="G36" i="8"/>
  <c r="F38" i="8"/>
  <c r="F37" i="8"/>
  <c r="F36" i="8"/>
  <c r="E37" i="8"/>
  <c r="B37" i="8"/>
  <c r="G35" i="8"/>
  <c r="G34" i="8"/>
  <c r="G33" i="8"/>
  <c r="F35" i="8"/>
  <c r="F34" i="8"/>
  <c r="F33" i="8"/>
  <c r="E34" i="8"/>
  <c r="B34" i="8"/>
  <c r="G32" i="8"/>
  <c r="G31" i="8"/>
  <c r="G30" i="8"/>
  <c r="F32" i="8"/>
  <c r="F31" i="8"/>
  <c r="F30" i="8"/>
  <c r="E31" i="8"/>
  <c r="B31" i="8"/>
  <c r="G29" i="8"/>
  <c r="G28" i="8"/>
  <c r="G26" i="8"/>
  <c r="G25" i="8"/>
  <c r="G27" i="8"/>
  <c r="F29" i="8"/>
  <c r="F28" i="8"/>
  <c r="F27" i="8"/>
  <c r="E28" i="8"/>
  <c r="B28" i="8"/>
  <c r="G24" i="8"/>
  <c r="F26" i="8"/>
  <c r="F25" i="8"/>
  <c r="F24" i="8"/>
  <c r="E25" i="8"/>
  <c r="B25" i="8"/>
  <c r="B22" i="8"/>
  <c r="G23" i="8"/>
  <c r="G22" i="8"/>
  <c r="G21" i="8"/>
  <c r="F23" i="8"/>
  <c r="F22" i="8"/>
  <c r="F21" i="8"/>
  <c r="E22" i="8"/>
  <c r="C54" i="8"/>
  <c r="J52" i="8"/>
  <c r="I12" i="8"/>
  <c r="F12" i="8"/>
  <c r="E5" i="8"/>
  <c r="E4" i="8"/>
  <c r="J3" i="8"/>
  <c r="J2" i="8"/>
  <c r="M37" i="1"/>
  <c r="O37" i="1" s="1"/>
  <c r="D49" i="8" s="1"/>
  <c r="L37" i="1"/>
  <c r="N37" i="1" s="1"/>
  <c r="C48" i="8" s="1"/>
  <c r="N36" i="1"/>
  <c r="C47" i="8" s="1"/>
  <c r="M36" i="1"/>
  <c r="O36" i="1" s="1"/>
  <c r="D47" i="8" s="1"/>
  <c r="L36" i="1"/>
  <c r="N35" i="1"/>
  <c r="C42" i="8" s="1"/>
  <c r="M35" i="1"/>
  <c r="O35" i="1" s="1"/>
  <c r="D43" i="8" s="1"/>
  <c r="L35" i="1"/>
  <c r="N34" i="1"/>
  <c r="C41" i="8" s="1"/>
  <c r="M34" i="1"/>
  <c r="O34" i="1" s="1"/>
  <c r="D41" i="8" s="1"/>
  <c r="L34" i="1"/>
  <c r="N33" i="1"/>
  <c r="C36" i="8" s="1"/>
  <c r="M33" i="1"/>
  <c r="O33" i="1" s="1"/>
  <c r="D37" i="8" s="1"/>
  <c r="L33" i="1"/>
  <c r="N32" i="1"/>
  <c r="C35" i="8" s="1"/>
  <c r="M32" i="1"/>
  <c r="O32" i="1" s="1"/>
  <c r="D35" i="8" s="1"/>
  <c r="L32" i="1"/>
  <c r="M31" i="1"/>
  <c r="O31" i="1" s="1"/>
  <c r="D31" i="8" s="1"/>
  <c r="L31" i="1"/>
  <c r="N31" i="1" s="1"/>
  <c r="C30" i="8" s="1"/>
  <c r="M30" i="1"/>
  <c r="O30" i="1" s="1"/>
  <c r="D28" i="8" s="1"/>
  <c r="L30" i="1"/>
  <c r="N30" i="1" s="1"/>
  <c r="C27" i="8" s="1"/>
  <c r="O29" i="1"/>
  <c r="D25" i="8" s="1"/>
  <c r="M29" i="1"/>
  <c r="L29" i="1"/>
  <c r="N29" i="1" s="1"/>
  <c r="C24" i="8" s="1"/>
  <c r="M28" i="1"/>
  <c r="L28" i="1"/>
  <c r="D50" i="8" l="1"/>
  <c r="C31" i="8"/>
  <c r="D44" i="8"/>
  <c r="D39" i="8"/>
  <c r="C43" i="8"/>
  <c r="C28" i="8"/>
  <c r="D32" i="8"/>
  <c r="D26" i="8"/>
  <c r="D38" i="8"/>
  <c r="C49" i="8"/>
  <c r="C25" i="8"/>
  <c r="D29" i="8"/>
  <c r="D33" i="8"/>
  <c r="C37" i="8"/>
  <c r="D45" i="8"/>
  <c r="C26" i="8"/>
  <c r="C29" i="8"/>
  <c r="C32" i="8"/>
  <c r="C33" i="8"/>
  <c r="D34" i="8"/>
  <c r="C38" i="8"/>
  <c r="C39" i="8"/>
  <c r="D40" i="8"/>
  <c r="C44" i="8"/>
  <c r="C45" i="8"/>
  <c r="D46" i="8"/>
  <c r="C50" i="8"/>
  <c r="D24" i="8"/>
  <c r="D27" i="8"/>
  <c r="D30" i="8"/>
  <c r="C34" i="8"/>
  <c r="D36" i="8"/>
  <c r="C40" i="8"/>
  <c r="D42" i="8"/>
  <c r="C46" i="8"/>
  <c r="D48" i="8"/>
  <c r="L7" i="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N28" i="1" l="1"/>
  <c r="O28" i="1"/>
  <c r="M16" i="1"/>
  <c r="O16" i="1" s="1"/>
  <c r="C22" i="7"/>
  <c r="C23" i="7"/>
  <c r="C21" i="7"/>
  <c r="B7" i="1"/>
  <c r="M21" i="1" s="1"/>
  <c r="O21" i="1" s="1"/>
  <c r="M19" i="1"/>
  <c r="O19" i="1" s="1"/>
  <c r="M18" i="1"/>
  <c r="O18" i="1" s="1"/>
  <c r="M17" i="1"/>
  <c r="O17" i="1" s="1"/>
  <c r="M15" i="1"/>
  <c r="O15" i="1" s="1"/>
  <c r="N18" i="1"/>
  <c r="N22" i="1"/>
  <c r="N17" i="1"/>
  <c r="N21" i="1"/>
  <c r="N24" i="1"/>
  <c r="N16" i="1"/>
  <c r="N20" i="1"/>
  <c r="N19" i="1"/>
  <c r="N23" i="1"/>
  <c r="C21" i="8" l="1"/>
  <c r="C23" i="8"/>
  <c r="C22" i="8"/>
  <c r="D21" i="8"/>
  <c r="D22" i="8"/>
  <c r="D23" i="8"/>
  <c r="M24" i="1"/>
  <c r="O24" i="1" s="1"/>
  <c r="M23" i="1"/>
  <c r="O23" i="1" s="1"/>
  <c r="M20" i="1"/>
  <c r="O20" i="1" s="1"/>
  <c r="M22" i="1"/>
  <c r="O22" i="1"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37" i="7" l="1"/>
  <c r="D47" i="7"/>
  <c r="D50" i="7"/>
  <c r="D44" i="7"/>
  <c r="D48" i="7"/>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r>
          <rPr>
            <sz val="10"/>
            <color rgb="FF000000"/>
            <rFont val="Tahoma"/>
            <family val="2"/>
          </rPr>
          <t>Date format:  ddmmmyy eg 05may24</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r>
          <rPr>
            <sz val="10"/>
            <color rgb="FF000000"/>
            <rFont val="Tahoma"/>
            <family val="2"/>
          </rPr>
          <t xml:space="preserve">format: ddmmmyy
</t>
        </r>
        <r>
          <rPr>
            <sz val="10"/>
            <color rgb="FF000000"/>
            <rFont val="Tahoma"/>
            <family val="2"/>
          </rPr>
          <t>eg 05may24</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<sst xmlns="http://schemas.openxmlformats.org/spreadsheetml/2006/main" count="138" uniqueCount="91">
  <si>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</si>
  <si>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</si>
  <si>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</si>
  <si>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</si>
  <si>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</si>
  <si>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</si>
  <si>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</si>
  <si>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</si>
  <si>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</si>
  <si>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</si>
  <si>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</si>
  <si>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</si>
  <si>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</si>
  <si>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</si>
  <si>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</si>
  <si>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</si>
  <si>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</si>
  <si>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</si>
  <si>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</si>
  <si>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</si>
  <si>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</si>
  <si>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</si>
  <si>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</si>
  <si>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</si>
  <si>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</si>
  <si>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</si>
  <si>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</si>
  <si>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</si>
  <si>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</si>
  <si>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</si>
  <si>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</si>
  <si>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</si>
  <si>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</si>
  <si>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</si>
  <si>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</si>
  <si>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</si>
  <si>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</si>
  <si>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</si>
  <si>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</si>
  <si>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</si>
  <si>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</si>
  <si>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</si>
  <si>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</si>
  <si>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</si>
  <si>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</si>
  <si>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</si>
  <si>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</si>
  <si>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</si>
  <si>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</si>
  <si>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</si>
  <si>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</si>
  <si>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</si>
  <si>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</si>
  <si>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</si>
  <si>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</si>
  <si>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</si>
  <si>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</si>
  <si>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</si>
  <si>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</si>
  <si>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</si>
  <si>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</si>
  <si>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</si>
  <si>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</si>
  <si>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</si>
  <si>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</si>
  <si>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</si>
  <si>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</si>
  <si>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</si>
  <si>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</si>
  <si>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Control Card #2</t>
  </si>
  <si>
    <t>Control Card #2 Information Control Question (optional)</t>
  </si>
  <si>
    <t>You can create 2control cards  (upto 20 controls) for one event, or 2control cards (up to 10 controls) with different start loctions for a single event.</t>
  </si>
  <si>
    <t>Fill in the control distance.  The opening and closing times will be automatically calculated based on the start time and the brevet distance.  If you need more than 10 controls, or need an alternate start loction, use card #2, otherwise leave that section blank.</t>
  </si>
  <si>
    <t>(circle)</t>
  </si>
  <si>
    <t>New Years Pop</t>
  </si>
  <si>
    <t>‭(250) 213-3724‬</t>
  </si>
  <si>
    <t>Tim Hortons</t>
  </si>
  <si>
    <t>SAANICHTON</t>
  </si>
  <si>
    <t>Shell Gas</t>
  </si>
  <si>
    <t>7586 E Saanich Rd</t>
  </si>
  <si>
    <t>VIEW ROYAL</t>
  </si>
  <si>
    <t xml:space="preserve">SAANICH </t>
  </si>
  <si>
    <t>Portage Park</t>
  </si>
  <si>
    <t>Information booth</t>
  </si>
  <si>
    <t>STAFFED</t>
  </si>
  <si>
    <t>INFORMATION</t>
  </si>
  <si>
    <t>BUSINESS</t>
  </si>
  <si>
    <t>Map legend (top left)</t>
  </si>
  <si>
    <t>First legend symbol</t>
  </si>
  <si>
    <t>BC ________________Exchange?</t>
  </si>
  <si>
    <t>Borden @ McKenzie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</si>
</sst>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7"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
      <b/>
      <sz val="14"/>
      <name val="Arial"/>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3">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169" fontId="0" fillId="0" borderId="25" xfId="0" applyNumberFormat="1" applyBorder="1" applyAlignment="1" applyProtection="1">
      <alignment horizontal="left"/>
      <protection locked="0"/>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15" fontId="0" fillId="0" borderId="0" xfId="0" applyNumberFormat="1" applyProtection="1">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10" fillId="0" borderId="0" xfId="0" applyFont="1" applyAlignment="1">
      <alignment horizontal="right" vertical="center"/>
    </xf>
    <xf numFmtId="15" fontId="0" fillId="0" borderId="0" xfId="0" applyNumberFormat="1" applyAlignment="1">
      <alignment horizontal="left" vertical="top"/>
    </xf>
    <xf numFmtId="0" fontId="0" fillId="0" borderId="0" xfId="0" applyAlignment="1">
      <alignment horizontal="left" vertical="top"/>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29" fillId="0" borderId="0" xfId="0" applyFont="1" applyAlignment="1">
      <alignment horizontal="left"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36" fillId="0" borderId="20" xfId="0" applyFont="1" applyBorder="1" applyAlignment="1">
      <alignment horizontal="center" vertical="top"/>
    </xf>
    <xf numFmtId="0" fontId="10" fillId="0" borderId="0" xfId="0" applyFont="1" applyAlignment="1">
      <alignment horizontal="center" vertic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0" fontId="6" fillId="0" borderId="20" xfId="0" applyFont="1" applyBorder="1" applyAlignment="1">
      <alignment horizontal="center" vertical="top"/>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6A28C82B-1825-634A-A3AA-8400CD049D08}"/>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
  <sheetViews>
    <sheetView showGridLines="0" tabSelected="1" zoomScale="140" zoomScaleNormal="140" zoomScalePageLayoutView="135" workbookViewId="0">
      <selection activeCell="H20" sqref="H20"/>
    </sheetView>
  </sheetViews>
  <sheetFormatPr baseColWidth="10" defaultColWidth="8.83203125" defaultRowHeight="13" x14ac:dyDescent="0.15"/>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108" t="s">
        <v>55</v>
      </c>
      <c r="B1" s="108"/>
      <c r="C1" s="108"/>
      <c r="D1" s="108"/>
      <c r="E1" s="108"/>
      <c r="F1" s="108"/>
      <c r="G1" s="108"/>
      <c r="H1" s="40" t="s">
        <v>53</v>
      </c>
      <c r="Q1" s="110" t="s">
        <v>71</v>
      </c>
      <c r="R1" s="110"/>
      <c r="S1" s="110"/>
      <c r="T1" s="110"/>
      <c r="U1" s="110"/>
      <c r="V1" s="110"/>
      <c r="W1" s="110"/>
      <c r="X1" s="110"/>
      <c r="Y1" s="110"/>
      <c r="Z1" s="110"/>
      <c r="AA1" s="110"/>
      <c r="AB1" s="110"/>
      <c r="AC1" s="110"/>
      <c r="AD1" s="110"/>
      <c r="AE1" s="110"/>
      <c r="AF1" s="110"/>
      <c r="AG1" s="88"/>
    </row>
    <row r="2" spans="1:33" ht="13" customHeight="1" thickBot="1" x14ac:dyDescent="0.2">
      <c r="H2" s="44"/>
      <c r="I2" s="44"/>
      <c r="Q2" s="110"/>
      <c r="R2" s="110"/>
      <c r="S2" s="110"/>
      <c r="T2" s="110"/>
      <c r="U2" s="110"/>
      <c r="V2" s="110"/>
      <c r="W2" s="110"/>
      <c r="X2" s="110"/>
      <c r="Y2" s="110"/>
      <c r="Z2" s="110"/>
      <c r="AA2" s="110"/>
      <c r="AB2" s="110"/>
      <c r="AC2" s="110"/>
      <c r="AD2" s="110"/>
      <c r="AE2" s="110"/>
      <c r="AF2" s="110"/>
      <c r="AG2" s="88"/>
    </row>
    <row r="3" spans="1:33" s="48" customFormat="1" ht="13" customHeight="1" thickBot="1" x14ac:dyDescent="0.2">
      <c r="A3" s="47" t="s">
        <v>52</v>
      </c>
      <c r="B3" s="72">
        <v>45428</v>
      </c>
      <c r="H3" s="49"/>
      <c r="I3" s="49"/>
      <c r="Q3" s="110"/>
      <c r="R3" s="110"/>
      <c r="S3" s="110"/>
      <c r="T3" s="110"/>
      <c r="U3" s="110"/>
      <c r="V3" s="110"/>
      <c r="W3" s="110"/>
      <c r="X3" s="110"/>
      <c r="Y3" s="110"/>
      <c r="Z3" s="110"/>
      <c r="AA3" s="110"/>
      <c r="AB3" s="110"/>
      <c r="AC3" s="110"/>
      <c r="AD3" s="110"/>
      <c r="AE3" s="110"/>
      <c r="AF3" s="110"/>
      <c r="AG3" s="88"/>
    </row>
    <row r="4" spans="1:33" ht="13" customHeight="1" x14ac:dyDescent="0.15">
      <c r="A4" s="43" t="s">
        <v>54</v>
      </c>
      <c r="B4" s="46">
        <v>45654</v>
      </c>
      <c r="C4"/>
      <c r="H4" s="44"/>
      <c r="I4" s="44"/>
      <c r="Q4" s="110"/>
      <c r="R4" s="110"/>
      <c r="S4" s="110"/>
      <c r="T4" s="110"/>
      <c r="U4" s="110"/>
      <c r="V4" s="110"/>
      <c r="W4" s="110"/>
      <c r="X4" s="110"/>
      <c r="Y4" s="110"/>
      <c r="Z4" s="110"/>
      <c r="AA4" s="110"/>
      <c r="AB4" s="110"/>
      <c r="AC4" s="110"/>
      <c r="AD4" s="110"/>
      <c r="AE4" s="110"/>
      <c r="AF4" s="110"/>
      <c r="AG4" s="88"/>
    </row>
    <row r="5" spans="1:33" ht="7" customHeight="1" thickBot="1" x14ac:dyDescent="0.2">
      <c r="H5" s="44"/>
      <c r="I5" s="44"/>
      <c r="Q5" s="88"/>
      <c r="R5" s="88"/>
      <c r="S5" s="88"/>
      <c r="T5" s="88"/>
      <c r="U5" s="88"/>
      <c r="V5" s="88"/>
      <c r="W5" s="88"/>
      <c r="X5" s="88"/>
      <c r="Y5" s="88"/>
      <c r="Z5" s="88"/>
      <c r="AA5" s="88"/>
      <c r="AB5" s="88"/>
      <c r="AC5" s="88"/>
      <c r="AD5" s="88"/>
      <c r="AE5" s="88"/>
      <c r="AF5" s="88"/>
      <c r="AG5" s="88"/>
    </row>
    <row r="6" spans="1:33" ht="18" x14ac:dyDescent="0.2">
      <c r="A6" s="10" t="s">
        <v>15</v>
      </c>
      <c r="B6" s="30">
        <v>50</v>
      </c>
      <c r="C6">
        <f>IF(Brevet_Length&gt;=1200,Brevet_Length,IF(Brevet_Length&gt;=1000,1000,IF(Brevet_Length&gt;=600,600,IF(Brevet_Length&gt;=400,400,IF(Brevet_Length&gt;=300,300,IF(Brevet_Length&gt;=200,200,100))))))</f>
        <v>100</v>
      </c>
      <c r="J6" s="111" t="s">
        <v>40</v>
      </c>
      <c r="K6" s="111"/>
      <c r="Q6" s="86" t="s">
        <v>41</v>
      </c>
      <c r="R6" s="86"/>
      <c r="S6" s="86"/>
      <c r="T6" s="86"/>
      <c r="U6" s="86"/>
      <c r="V6" s="86"/>
      <c r="W6" s="86"/>
      <c r="X6" s="87"/>
      <c r="Y6" s="87"/>
      <c r="Z6" s="87"/>
    </row>
    <row r="7" spans="1:33" ht="14" x14ac:dyDescent="0.15">
      <c r="A7" s="11" t="s">
        <v>16</v>
      </c>
      <c r="B7" s="84">
        <f>IF(brevet=1200,90,IF(brevet=1000,75,IF(brevet=600,40,IF(brevet=400,27,IF(brevet=300,20,IF(brevet=200,13.5,IF(brevet&lt;200,L7,0)))))))</f>
        <v>3.5</v>
      </c>
      <c r="L7">
        <f>IF(Brevet_Length=150,10.5,IF(Brevet_Length=100,7,IF(Brevet_Length=50,3.5,IF(Brevet_Length=25, 2,0))))</f>
        <v>3.5</v>
      </c>
      <c r="Q7" s="87" t="s">
        <v>42</v>
      </c>
      <c r="R7" s="87"/>
      <c r="S7" s="87"/>
      <c r="T7" s="87"/>
      <c r="U7" s="87"/>
      <c r="V7" s="87"/>
      <c r="W7" s="87"/>
      <c r="X7" s="87"/>
      <c r="Y7" s="87"/>
      <c r="Z7" s="87"/>
    </row>
    <row r="8" spans="1:33" ht="18" x14ac:dyDescent="0.2">
      <c r="A8" s="83" t="s">
        <v>17</v>
      </c>
      <c r="B8" s="109" t="s">
        <v>74</v>
      </c>
      <c r="C8" s="109"/>
      <c r="D8" s="109"/>
      <c r="E8" s="109"/>
      <c r="F8" s="109"/>
      <c r="G8" s="85"/>
      <c r="H8" s="85"/>
      <c r="I8" s="16"/>
      <c r="J8" s="16"/>
      <c r="K8" s="16"/>
      <c r="Q8" s="86" t="s">
        <v>43</v>
      </c>
      <c r="R8" s="87"/>
      <c r="S8" s="87"/>
      <c r="T8" s="87"/>
      <c r="U8" s="87"/>
      <c r="V8" s="87"/>
      <c r="W8" s="87"/>
      <c r="X8" s="87"/>
      <c r="Y8" s="87"/>
      <c r="Z8" s="87"/>
    </row>
    <row r="9" spans="1:33" ht="18" x14ac:dyDescent="0.2">
      <c r="A9" s="11" t="s">
        <v>18</v>
      </c>
      <c r="B9" s="31">
        <v>5495</v>
      </c>
      <c r="C9" s="13"/>
      <c r="F9" s="14"/>
      <c r="G9" s="14"/>
      <c r="H9" s="14"/>
      <c r="I9" s="14"/>
      <c r="J9" s="14"/>
      <c r="K9" s="14"/>
      <c r="Q9" s="86" t="s">
        <v>44</v>
      </c>
      <c r="R9" s="87"/>
      <c r="S9" s="87"/>
      <c r="T9" s="87"/>
      <c r="U9" s="87"/>
      <c r="V9" s="87"/>
      <c r="W9" s="87"/>
      <c r="X9" s="87"/>
      <c r="Y9" s="87"/>
      <c r="Z9" s="87"/>
    </row>
    <row r="10" spans="1:33" ht="18" x14ac:dyDescent="0.2">
      <c r="A10" s="18" t="s">
        <v>32</v>
      </c>
      <c r="B10" s="32">
        <v>45658</v>
      </c>
      <c r="E10" s="80" t="s">
        <v>66</v>
      </c>
      <c r="F10" s="82" t="s">
        <v>75</v>
      </c>
      <c r="Q10" s="86" t="s">
        <v>45</v>
      </c>
      <c r="R10" s="87"/>
      <c r="S10" s="87"/>
      <c r="T10" s="87"/>
      <c r="U10" s="87"/>
      <c r="V10" s="87"/>
      <c r="W10" s="87"/>
      <c r="X10" s="87"/>
      <c r="Y10" s="87"/>
      <c r="Z10" s="87"/>
    </row>
    <row r="11" spans="1:33" ht="6" customHeight="1" x14ac:dyDescent="0.15">
      <c r="B11" s="103"/>
      <c r="Q11" s="87"/>
      <c r="R11" s="87"/>
      <c r="S11" s="87"/>
      <c r="T11" s="87"/>
      <c r="U11" s="87"/>
      <c r="V11" s="87"/>
      <c r="W11" s="87"/>
      <c r="X11" s="87"/>
      <c r="Y11" s="87"/>
      <c r="Z11" s="87"/>
    </row>
    <row r="12" spans="1:33" ht="18" customHeight="1" thickBot="1" x14ac:dyDescent="0.25">
      <c r="A12" s="41" t="s">
        <v>19</v>
      </c>
      <c r="B12" s="42">
        <v>45658</v>
      </c>
      <c r="Q12" s="86" t="s">
        <v>49</v>
      </c>
      <c r="R12" s="87"/>
      <c r="S12" s="87"/>
      <c r="T12" s="87"/>
      <c r="U12" s="87"/>
      <c r="V12" s="87"/>
      <c r="W12" s="87"/>
      <c r="X12" s="87"/>
      <c r="Y12" s="87"/>
      <c r="Z12" s="87"/>
    </row>
    <row r="13" spans="1:33" ht="19" thickBot="1" x14ac:dyDescent="0.25">
      <c r="A13" s="9" t="s">
        <v>20</v>
      </c>
      <c r="B13" s="33">
        <v>0.41666666666666669</v>
      </c>
      <c r="D13" s="104" t="s">
        <v>51</v>
      </c>
      <c r="E13" s="105"/>
      <c r="F13" s="105"/>
      <c r="G13" s="105"/>
      <c r="H13" s="105"/>
      <c r="I13" s="106" t="s">
        <v>47</v>
      </c>
      <c r="J13" s="105"/>
      <c r="K13" s="107"/>
      <c r="Q13" s="86" t="s">
        <v>48</v>
      </c>
      <c r="R13" s="87"/>
      <c r="S13" s="87"/>
      <c r="T13" s="87"/>
      <c r="U13" s="87"/>
      <c r="V13" s="87"/>
      <c r="W13" s="87"/>
      <c r="X13" s="87"/>
      <c r="Y13" s="87"/>
      <c r="Z13" s="87"/>
    </row>
    <row r="14" spans="1:33" ht="15" thickBot="1" x14ac:dyDescent="0.2">
      <c r="D14" s="5" t="s">
        <v>21</v>
      </c>
      <c r="E14" s="6" t="s">
        <v>22</v>
      </c>
      <c r="F14" s="24" t="s">
        <v>23</v>
      </c>
      <c r="G14" s="24" t="s">
        <v>24</v>
      </c>
      <c r="H14" s="25" t="s">
        <v>25</v>
      </c>
      <c r="I14" s="6" t="s">
        <v>37</v>
      </c>
      <c r="J14" s="6" t="s">
        <v>38</v>
      </c>
      <c r="K14" s="7" t="s">
        <v>39</v>
      </c>
      <c r="L14" t="s">
        <v>0</v>
      </c>
      <c r="M14" t="s">
        <v>1</v>
      </c>
      <c r="N14" t="s">
        <v>2</v>
      </c>
      <c r="O14" t="s">
        <v>3</v>
      </c>
      <c r="Q14" s="86" t="s">
        <v>67</v>
      </c>
      <c r="R14" s="87"/>
      <c r="S14" s="87"/>
      <c r="T14" s="87"/>
      <c r="U14" s="87"/>
      <c r="V14" s="87"/>
      <c r="W14" s="87"/>
      <c r="X14" s="87"/>
      <c r="Y14" s="87"/>
      <c r="Z14" s="87"/>
    </row>
    <row r="15" spans="1:33" ht="17" customHeight="1" x14ac:dyDescent="0.15">
      <c r="C15" s="2" t="s">
        <v>4</v>
      </c>
      <c r="D15" s="15">
        <v>0</v>
      </c>
      <c r="E15" s="34" t="s">
        <v>81</v>
      </c>
      <c r="F15" s="35" t="s">
        <v>84</v>
      </c>
      <c r="G15" s="35" t="s">
        <v>76</v>
      </c>
      <c r="H15" s="36" t="s">
        <v>90</v>
      </c>
      <c r="I15" s="35"/>
      <c r="J15" s="35"/>
      <c r="K15" s="36"/>
      <c r="L15" s="3">
        <f>Start_date+Start_time</f>
        <v>45658.416666666664</v>
      </c>
      <c r="M15" s="3">
        <f>L15+"1:00"</f>
        <v>45658.458333333328</v>
      </c>
      <c r="N15" s="4">
        <f>IF(ISBLANK(Distance),"",Open Control_1)</f>
        <v>45658.416666666664</v>
      </c>
      <c r="O15" s="4">
        <f>IF(ISBLANK(Distance),"",Close Control_1)</f>
        <v>45658.458333333328</v>
      </c>
      <c r="Q15" s="86" t="s">
        <v>72</v>
      </c>
      <c r="R15" s="87"/>
      <c r="S15" s="87"/>
      <c r="T15" s="87"/>
      <c r="U15" s="87"/>
      <c r="V15" s="87"/>
      <c r="W15" s="87"/>
      <c r="X15" s="87"/>
      <c r="Y15" s="87"/>
      <c r="Z15" s="87"/>
    </row>
    <row r="16" spans="1:33" ht="17" customHeight="1" x14ac:dyDescent="0.15">
      <c r="B16" s="38"/>
      <c r="C16" s="2" t="s">
        <v>5</v>
      </c>
      <c r="D16" s="15">
        <v>10.6</v>
      </c>
      <c r="E16" s="34" t="s">
        <v>80</v>
      </c>
      <c r="F16" s="35" t="s">
        <v>85</v>
      </c>
      <c r="G16" s="35" t="s">
        <v>82</v>
      </c>
      <c r="H16" s="35" t="s">
        <v>83</v>
      </c>
      <c r="I16" s="35" t="s">
        <v>87</v>
      </c>
      <c r="J16" s="35" t="s">
        <v>88</v>
      </c>
      <c r="K16" s="36" t="s">
        <v>89</v>
      </c>
      <c r="L16">
        <f>IF(ISBLANK(Distance),"",IF(Distance&gt;1000,(Distance-1000)/26+33.0847,(IF(Distance&gt;600,(Distance-600)/28+18.799,(IF(Distance&gt;400,(Distance-400)/30+12.1324,(IF(Distance&gt;200,(Distance-200)/32+5.8824,Distance/34))))))))</f>
        <v>0.31176470588235294</v>
      </c>
      <c r="M16">
        <f>IF(ISBLANK(Distance),"",IF(Distance&gt;=brevet,D16200IF(brevet&gt;1200,(brevet-1200)*75/1000+90,Max_time),IF(Distance&gt;1200,(Distance-1200)*75/1000+90,IF(Distance&gt;1000,(Distance-1000)/(1000/75)+75,IF(Distance&gt;600,(Distance-600)/(400/35)+40,IF(Distance&lt;=60,(Distance/20+1),Distance/15))))))</f>
        <v>1.53</v>
      </c>
      <c r="N16" s="4">
        <f>IF(ISBLANK(Distance),"",Open_time Control_1+(INT(Open)&amp;":"&amp;IF(ROUND(((Open-INT(Open))*60),0)&lt;10,0,"")&amp;ROUND(((Open-INT(Open))*60),0)))</f>
        <v>45658.429861111108</v>
      </c>
      <c r="O16" s="4">
        <f>IF(ISBLANK(Distance),"",Open_time Control_1+(INT(Close)&amp;":"&amp;IF(ROUND(((Close-INT(Close))*60),0)&lt;10,0,"")&amp;ROUND(((Close-INT(Close))*60),0)))</f>
        <v>45658.48055555555</v>
      </c>
      <c r="Q16" s="86" t="s">
        <v>68</v>
      </c>
      <c r="R16" s="87"/>
      <c r="S16" s="87"/>
      <c r="T16" s="87"/>
      <c r="U16" s="87"/>
      <c r="V16" s="87"/>
      <c r="W16" s="87"/>
      <c r="X16" s="87"/>
      <c r="Y16" s="87"/>
      <c r="Z16" s="87"/>
    </row>
    <row r="17" spans="2:26" ht="17" customHeight="1" x14ac:dyDescent="0.15">
      <c r="B17" s="38"/>
      <c r="C17" s="2" t="s">
        <v>6</v>
      </c>
      <c r="D17" s="15">
        <v>34.4</v>
      </c>
      <c r="E17" s="34" t="s">
        <v>77</v>
      </c>
      <c r="F17" s="35" t="s">
        <v>86</v>
      </c>
      <c r="G17" s="35" t="s">
        <v>78</v>
      </c>
      <c r="H17" s="35" t="s">
        <v>79</v>
      </c>
      <c r="I17" s="35"/>
      <c r="J17" s="35"/>
      <c r="K17" s="36"/>
      <c r="L17">
        <f>IF(ISBLANK(Distance),"",IF(Distance&gt;1000,(Distance-1000)/26+33.0847,(IF(Distance&gt;600,(Distance-600)/28+18.799,(IF(Distance&gt;400,(Distance-400)/30+12.1324,(IF(Distance&gt;200,(Distance-200)/32+5.8824,Distance/34))))))))</f>
        <v>1.0117647058823529</v>
      </c>
      <c r="M17">
        <f t="shared" ref="M17:M24" si="0">IF(ISBLANK(Distance),"",IF(Distance&gt;=brevet,IF(brevet&gt;1200,(brevet-1200)*75/1000+90,Max_time),IF(Distance&gt;1200,(Distance-1200)*75/1000+90,IF(Distance&gt;1000,(Distance-1000)/(1000/75)+75,IF(Distance&gt;600,(Distance-600)/(400/35)+40,IF(Distance&lt;=60,(Distance/20+1),Distance/15))))))</f>
        <v>2.7199999999999998</v>
      </c>
      <c r="N17" s="4">
        <f>IF(ISBLANK(Distance),"",Open_time Control_1+(INT(Open)&amp;":"&amp;IF(ROUND(((Open-INT(Open))*60),0)&lt;10,0,"")&amp;ROUND(((Open-INT(Open))*60),0)))</f>
        <v>45658.459027777775</v>
      </c>
      <c r="O17" s="4">
        <f>IF(ISBLANK(Distance),"",Open_time Control_1+(INT(Close)&amp;":"&amp;IF(ROUND(((Close-INT(Close))*60),0)&lt;10,0,"")&amp;ROUND(((Close-INT(Close))*60),0)))</f>
        <v>45658.529861111107</v>
      </c>
      <c r="Q17" s="86" t="s">
        <v>46</v>
      </c>
      <c r="R17" s="87"/>
      <c r="S17" s="87"/>
      <c r="T17" s="87"/>
      <c r="U17" s="87"/>
      <c r="V17" s="87"/>
      <c r="W17" s="87"/>
      <c r="X17" s="87"/>
      <c r="Y17" s="87"/>
      <c r="Z17" s="87"/>
    </row>
    <row r="18" spans="2:26" ht="17" customHeight="1" x14ac:dyDescent="0.15">
      <c r="B18" s="38"/>
      <c r="C18" s="2" t="s">
        <v>7</v>
      </c>
      <c r="D18" s="15">
        <v>50.3</v>
      </c>
      <c r="E18" s="34" t="s">
        <v>81</v>
      </c>
      <c r="F18" s="35" t="s">
        <v>84</v>
      </c>
      <c r="G18" s="35" t="s">
        <v>76</v>
      </c>
      <c r="H18" s="36" t="s">
        <v>90</v>
      </c>
      <c r="I18" s="35"/>
      <c r="J18" s="35"/>
      <c r="K18" s="36"/>
      <c r="L18">
        <f t="shared" ref="L18:L24" si="1">IF(ISBLANK(Distance),"",IF(Distance&gt;1000,(Distance-1000)/26+33.0847,(IF(Distance&gt;600,(Distance-600)/28+18.799,(IF(Distance&gt;400,(Distance-400)/30+12.1324,(IF(Distance&gt;200,(Distance-200)/32+5.8824,Distance/34))))))))</f>
        <v>1.4794117647058822</v>
      </c>
      <c r="M18">
        <f t="shared" si="0"/>
        <v>3.5149999999999997</v>
      </c>
      <c r="N18" s="4">
        <f>IF(ISBLANK(Distance),"",Open_time Control_1+(INT(Open)&amp;":"&amp;IF(ROUND(((Open-INT(Open))*60),0)&lt;10,0,"")&amp;ROUND(((Open-INT(Open))*60),0)))</f>
        <v>45658.478472222218</v>
      </c>
      <c r="O18" s="4">
        <f>IF(ISBLANK(Distance),"",Open_time Control_1+(INT(Close)&amp;":"&amp;IF(ROUND(((Close-INT(Close))*60),0)&lt;10,0,"")&amp;ROUND(((Close-INT(Close))*60),0)))</f>
        <v>45658.563194444439</v>
      </c>
    </row>
    <row r="19" spans="2:26" ht="17" customHeight="1" x14ac:dyDescent="0.15">
      <c r="B19" s="38"/>
      <c r="C19" s="2" t="s">
        <v>8</v>
      </c>
      <c r="D19" s="15"/>
      <c r="E19" s="34"/>
      <c r="F19" s="35"/>
      <c r="G19" s="36"/>
      <c r="H19" s="36"/>
      <c r="I19" s="35"/>
      <c r="J19" s="35"/>
      <c r="K19" s="36"/>
      <c r="L19" t="str">
        <f t="shared" si="1"/>
        <v/>
      </c>
      <c r="M19" t="str">
        <f t="shared" si="0"/>
        <v/>
      </c>
      <c r="N19" s="4" t="str">
        <f>IF(ISBLANK(Distance),"",Open_time Control_1+(INT(Open)&amp;":"&amp;IF(ROUND(((Open-INT(Open))*60),0)&lt;10,0,"")&amp;ROUND(((Open-INT(Open))*60),0)))</f>
        <v/>
      </c>
      <c r="O19" s="4" t="str">
        <f>IF(ISBLANK(Distance),"",Open_time Control_1+(INT(Close)&amp;":"&amp;IF(ROUND(((Close-INT(Close))*60),0)&lt;10,0,"")&amp;ROUND(((Close-INT(Close))*60),0)))</f>
        <v/>
      </c>
      <c r="Q19" s="40"/>
    </row>
    <row r="20" spans="2:26" ht="17" customHeight="1" x14ac:dyDescent="0.15">
      <c r="B20" s="38"/>
      <c r="C20" s="2" t="s">
        <v>9</v>
      </c>
      <c r="D20" s="15"/>
      <c r="E20" s="34"/>
      <c r="F20" s="35"/>
      <c r="G20" s="35"/>
      <c r="H20" s="36"/>
      <c r="I20" s="35"/>
      <c r="J20" s="35"/>
      <c r="K20" s="36"/>
      <c r="L20" t="str">
        <f t="shared" si="1"/>
        <v/>
      </c>
      <c r="M20" t="str">
        <f t="shared" si="0"/>
        <v/>
      </c>
      <c r="N20" s="4" t="str">
        <f>IF(ISBLANK(Distance),"",Open_time Control_1+(INT(Open)&amp;":"&amp;IF(ROUND(((Open-INT(Open))*60),0)&lt;10,0,"")&amp;ROUND(((Open-INT(Open))*60),0)))</f>
        <v/>
      </c>
      <c r="O20" s="4" t="str">
        <f>IF(ISBLANK(Distance),"",Open_time Control_1+(INT(Close)&amp;":"&amp;IF(ROUND(((Close-INT(Close))*60),0)&lt;10,0,"")&amp;ROUND(((Close-INT(Close))*60),0)))</f>
        <v/>
      </c>
    </row>
    <row r="21" spans="2:26" ht="17" customHeight="1" x14ac:dyDescent="0.15">
      <c r="B21" s="38"/>
      <c r="C21" s="2" t="s">
        <v>10</v>
      </c>
      <c r="D21" s="15"/>
      <c r="E21" s="34"/>
      <c r="F21" s="35"/>
      <c r="G21" s="35"/>
      <c r="H21" s="36"/>
      <c r="I21" s="35"/>
      <c r="J21" s="35"/>
      <c r="K21" s="36"/>
      <c r="L21" t="str">
        <f t="shared" si="1"/>
        <v/>
      </c>
      <c r="M21" t="str">
        <f t="shared" si="0"/>
        <v/>
      </c>
      <c r="N21" s="4" t="str">
        <f>IF(ISBLANK(Distance),"",Open_time Control_1+(INT(Open)&amp;":"&amp;IF(ROUND(((Open-INT(Open))*60),0)&lt;10,0,"")&amp;ROUND(((Open-INT(Open))*60),0)))</f>
        <v/>
      </c>
      <c r="O21" s="4" t="str">
        <f>IF(ISBLANK(Distance),"",Open_time Control_1+(INT(Close)&amp;":"&amp;IF(ROUND(((Close-INT(Close))*60),0)&lt;10,0,"")&amp;ROUND(((Close-INT(Close))*60),0)))</f>
        <v/>
      </c>
    </row>
    <row r="22" spans="2:26" ht="17" customHeight="1" x14ac:dyDescent="0.15">
      <c r="B22" s="38"/>
      <c r="C22" s="2" t="s">
        <v>11</v>
      </c>
      <c r="D22" s="15"/>
      <c r="E22" s="34"/>
      <c r="F22" s="35"/>
      <c r="G22" s="35"/>
      <c r="H22" s="36"/>
      <c r="I22" s="35"/>
      <c r="J22" s="35"/>
      <c r="K22" s="36"/>
      <c r="L22" t="str">
        <f t="shared" si="1"/>
        <v/>
      </c>
      <c r="M22" t="str">
        <f t="shared" si="0"/>
        <v/>
      </c>
      <c r="N22" s="4" t="str">
        <f>IF(ISBLANK(Distance),"",Open_time Control_1+(INT(Open)&amp;":"&amp;IF(ROUND(((Open-INT(Open))*60),0)&lt;10,0,"")&amp;ROUND(((Open-INT(Open))*60),0)))</f>
        <v/>
      </c>
      <c r="O22" s="4" t="str">
        <f>IF(ISBLANK(Distance),"",Open_time Control_1+(INT(Close)&amp;":"&amp;IF(ROUND(((Close-INT(Close))*60),0)&lt;10,0,"")&amp;ROUND(((Close-INT(Close))*60),0)))</f>
        <v/>
      </c>
    </row>
    <row r="23" spans="2:26" ht="17" customHeight="1" x14ac:dyDescent="0.15">
      <c r="B23" s="38"/>
      <c r="C23" s="2" t="s">
        <v>12</v>
      </c>
      <c r="D23" s="15"/>
      <c r="E23" s="34"/>
      <c r="F23" s="35"/>
      <c r="G23" s="35"/>
      <c r="H23" s="36"/>
      <c r="I23" s="35"/>
      <c r="J23" s="35"/>
      <c r="K23" s="36"/>
      <c r="L23" t="str">
        <f t="shared" si="1"/>
        <v/>
      </c>
      <c r="M23" t="str">
        <f t="shared" si="0"/>
        <v/>
      </c>
      <c r="N23" s="4" t="str">
        <f>IF(ISBLANK(Distance),"",Open_time Control_1+(INT(Open)&amp;":"&amp;IF(ROUND(((Open-INT(Open))*60),0)&lt;10,0,"")&amp;ROUND(((Open-INT(Open))*60),0)))</f>
        <v/>
      </c>
      <c r="O23" s="4" t="str">
        <f>IF(ISBLANK(Distance),"",Open_time Control_1+(INT(Close)&amp;":"&amp;IF(ROUND(((Close-INT(Close))*60),0)&lt;10,0,"")&amp;ROUND(((Close-INT(Close))*60),0)))</f>
        <v/>
      </c>
    </row>
    <row r="24" spans="2:26" ht="17" customHeight="1" thickBot="1" x14ac:dyDescent="0.2">
      <c r="B24" s="38"/>
      <c r="C24" s="2" t="s">
        <v>13</v>
      </c>
      <c r="D24" s="20"/>
      <c r="E24" s="37"/>
      <c r="F24" s="35"/>
      <c r="G24" s="35"/>
      <c r="H24" s="36"/>
      <c r="I24" s="35"/>
      <c r="J24" s="35"/>
      <c r="K24" s="36"/>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7" customHeight="1" thickBot="1" x14ac:dyDescent="0.25">
      <c r="D25" s="26"/>
      <c r="E25" s="27"/>
      <c r="F25" s="28"/>
      <c r="G25" s="28"/>
      <c r="H25" s="28"/>
      <c r="I25" s="28"/>
      <c r="J25" s="28"/>
      <c r="K25" s="29"/>
      <c r="N25" s="4"/>
      <c r="O25" s="4"/>
    </row>
    <row r="26" spans="2:26" ht="14" thickBot="1" x14ac:dyDescent="0.2">
      <c r="D26" s="104" t="s">
        <v>69</v>
      </c>
      <c r="E26" s="105"/>
      <c r="F26" s="105"/>
      <c r="G26" s="105"/>
      <c r="H26" s="105"/>
      <c r="I26" s="106" t="s">
        <v>70</v>
      </c>
      <c r="J26" s="105"/>
      <c r="K26" s="107"/>
    </row>
    <row r="27" spans="2:26" ht="14" thickBot="1" x14ac:dyDescent="0.2">
      <c r="D27" s="5" t="s">
        <v>21</v>
      </c>
      <c r="E27" s="6" t="s">
        <v>22</v>
      </c>
      <c r="F27" s="24" t="s">
        <v>23</v>
      </c>
      <c r="G27" s="24" t="s">
        <v>24</v>
      </c>
      <c r="H27" s="25" t="s">
        <v>25</v>
      </c>
      <c r="I27" s="6" t="s">
        <v>37</v>
      </c>
      <c r="J27" s="6" t="s">
        <v>38</v>
      </c>
      <c r="K27" s="7" t="s">
        <v>39</v>
      </c>
      <c r="L27" t="s">
        <v>0</v>
      </c>
      <c r="M27" t="s">
        <v>1</v>
      </c>
      <c r="N27" t="s">
        <v>2</v>
      </c>
      <c r="O27" t="s">
        <v>3</v>
      </c>
    </row>
    <row r="28" spans="2:26" ht="17" customHeight="1" x14ac:dyDescent="0.15">
      <c r="D28" s="15"/>
      <c r="E28" s="34"/>
      <c r="F28" s="35"/>
      <c r="G28" s="35"/>
      <c r="H28" s="36"/>
      <c r="I28" s="35"/>
      <c r="J28" s="35"/>
      <c r="K28" s="36"/>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4" t="str">
        <f>IF(ISBLANK(D28),"",Open_time Control_1+(INT(L28)&amp;":"&amp;IF(ROUND(((L28-INT(L28))*60),0)&lt;10,0,"")&amp;ROUND(((L28-INT(L28))*60),0)))</f>
        <v/>
      </c>
      <c r="O28" s="4" t="str">
        <f>IF(ISBLANK(D28),"",Open_time Control_1+(INT(M28)&amp;":"&amp;IF(ROUND(((M28-INT(M28))*60),0)&lt;10,0,"")&amp;ROUND(((M28-INT(M28))*60),0)))</f>
        <v/>
      </c>
    </row>
    <row r="29" spans="2:26" ht="17" customHeight="1" x14ac:dyDescent="0.15">
      <c r="D29" s="15"/>
      <c r="E29" s="34"/>
      <c r="F29" s="35"/>
      <c r="G29" s="35"/>
      <c r="H29" s="36"/>
      <c r="I29" s="35"/>
      <c r="J29" s="35"/>
      <c r="K29" s="36"/>
      <c r="L29" t="str">
        <f t="shared" ref="L29:L37" si="3">IF(ISBLANK(D29),"",IF(D29&gt;1000,(D29-1000)/26+33.0847,(IF(D29&gt;600,(D29-600)/28+18.799,(IF(D29&gt;400,(D29-400)/30+12.1324,(IF(D29&gt;200,(D29-200)/32+5.8824,D29/34))))))))</f>
        <v/>
      </c>
      <c r="M29" t="str">
        <f t="shared" si="2"/>
        <v/>
      </c>
      <c r="N29" s="4" t="str">
        <f>IF(ISBLANK(D29),"",Open_time Control_1+(INT(L29)&amp;":"&amp;IF(ROUND(((L29-INT(L29))*60),0)&lt;10,0,"")&amp;ROUND(((L29-INT(L29))*60),0)))</f>
        <v/>
      </c>
      <c r="O29" s="4" t="str">
        <f>IF(ISBLANK(D29),"",Open_time Control_1+(INT(M29)&amp;":"&amp;IF(ROUND(((M29-INT(M29))*60),0)&lt;10,0,"")&amp;ROUND(((M29-INT(M29))*60),0)))</f>
        <v/>
      </c>
    </row>
    <row r="30" spans="2:26" ht="17" customHeight="1" x14ac:dyDescent="0.15">
      <c r="D30" s="15"/>
      <c r="E30" s="34"/>
      <c r="F30" s="35"/>
      <c r="G30" s="35"/>
      <c r="H30" s="36"/>
      <c r="I30" s="35"/>
      <c r="J30" s="35"/>
      <c r="K30" s="36"/>
      <c r="L30" t="str">
        <f t="shared" si="3"/>
        <v/>
      </c>
      <c r="M30" t="str">
        <f t="shared" si="2"/>
        <v/>
      </c>
      <c r="N30" s="4" t="str">
        <f>IF(ISBLANK(D30),"",Open_time Control_1+(INT(L30)&amp;":"&amp;IF(ROUND(((L30-INT(L30))*60),0)&lt;10,0,"")&amp;ROUND(((L30-INT(L30))*60),0)))</f>
        <v/>
      </c>
      <c r="O30" s="4" t="str">
        <f>IF(ISBLANK(D30),"",Open_time Control_1+(INT(M30)&amp;":"&amp;IF(ROUND(((M30-INT(M30))*60),0)&lt;10,0,"")&amp;ROUND(((M30-INT(M30))*60),0)))</f>
        <v/>
      </c>
    </row>
    <row r="31" spans="2:26" ht="17" customHeight="1" x14ac:dyDescent="0.15">
      <c r="D31" s="15"/>
      <c r="E31" s="34"/>
      <c r="F31" s="35"/>
      <c r="G31" s="35"/>
      <c r="H31" s="36"/>
      <c r="I31" s="35"/>
      <c r="J31" s="35"/>
      <c r="K31" s="36"/>
      <c r="L31" t="str">
        <f t="shared" si="3"/>
        <v/>
      </c>
      <c r="M31" t="str">
        <f t="shared" si="2"/>
        <v/>
      </c>
      <c r="N31" s="4" t="str">
        <f>IF(ISBLANK(D31),"",Open_time Control_1+(INT(L31)&amp;":"&amp;IF(ROUND(((L31-INT(L31))*60),0)&lt;10,0,"")&amp;ROUND(((L31-INT(L31))*60),0)))</f>
        <v/>
      </c>
      <c r="O31" s="4" t="str">
        <f>IF(ISBLANK(D31),"",Open_time Control_1+(INT(M31)&amp;":"&amp;IF(ROUND(((M31-INT(M31))*60),0)&lt;10,0,"")&amp;ROUND(((M31-INT(M31))*60),0)))</f>
        <v/>
      </c>
    </row>
    <row r="32" spans="2:26" ht="17" customHeight="1" x14ac:dyDescent="0.15">
      <c r="D32" s="15"/>
      <c r="E32" s="34"/>
      <c r="F32" s="35"/>
      <c r="G32" s="35"/>
      <c r="H32" s="36"/>
      <c r="I32" s="35"/>
      <c r="J32" s="35"/>
      <c r="K32" s="36"/>
      <c r="L32" t="str">
        <f t="shared" si="3"/>
        <v/>
      </c>
      <c r="M32" t="str">
        <f t="shared" si="2"/>
        <v/>
      </c>
      <c r="N32" s="4" t="str">
        <f>IF(ISBLANK(D32),"",Open_time Control_1+(INT(L32)&amp;":"&amp;IF(ROUND(((L32-INT(L32))*60),0)&lt;10,0,"")&amp;ROUND(((L32-INT(L32))*60),0)))</f>
        <v/>
      </c>
      <c r="O32" s="4" t="str">
        <f>IF(ISBLANK(D32),"",Open_time Control_1+(INT(M32)&amp;":"&amp;IF(ROUND(((M32-INT(M32))*60),0)&lt;10,0,"")&amp;ROUND(((M32-INT(M32))*60),0)))</f>
        <v/>
      </c>
    </row>
    <row r="33" spans="4:15" ht="17" customHeight="1" x14ac:dyDescent="0.15">
      <c r="D33" s="15"/>
      <c r="E33" s="34"/>
      <c r="F33" s="35"/>
      <c r="G33" s="35"/>
      <c r="H33" s="36"/>
      <c r="I33" s="35"/>
      <c r="J33" s="35"/>
      <c r="K33" s="36"/>
      <c r="L33" t="str">
        <f t="shared" si="3"/>
        <v/>
      </c>
      <c r="M33" t="str">
        <f t="shared" si="2"/>
        <v/>
      </c>
      <c r="N33" s="4" t="str">
        <f>IF(ISBLANK(D33),"",Open_time Control_1+(INT(L33)&amp;":"&amp;IF(ROUND(((L33-INT(L33))*60),0)&lt;10,0,"")&amp;ROUND(((L33-INT(L33))*60),0)))</f>
        <v/>
      </c>
      <c r="O33" s="4" t="str">
        <f>IF(ISBLANK(D33),"",Open_time Control_1+(INT(M33)&amp;":"&amp;IF(ROUND(((M33-INT(M33))*60),0)&lt;10,0,"")&amp;ROUND(((M33-INT(M33))*60),0)))</f>
        <v/>
      </c>
    </row>
    <row r="34" spans="4:15" ht="17" customHeight="1" x14ac:dyDescent="0.15">
      <c r="D34" s="15"/>
      <c r="E34" s="34"/>
      <c r="F34" s="35"/>
      <c r="G34" s="35"/>
      <c r="H34" s="36"/>
      <c r="I34" s="35"/>
      <c r="J34" s="35"/>
      <c r="K34" s="36"/>
      <c r="L34" t="str">
        <f t="shared" si="3"/>
        <v/>
      </c>
      <c r="M34" t="str">
        <f t="shared" si="2"/>
        <v/>
      </c>
      <c r="N34" s="4" t="str">
        <f>IF(ISBLANK(D34),"",Open_time Control_1+(INT(L34)&amp;":"&amp;IF(ROUND(((L34-INT(L34))*60),0)&lt;10,0,"")&amp;ROUND(((L34-INT(L34))*60),0)))</f>
        <v/>
      </c>
      <c r="O34" s="4" t="str">
        <f>IF(ISBLANK(D34),"",Open_time Control_1+(INT(M34)&amp;":"&amp;IF(ROUND(((M34-INT(M34))*60),0)&lt;10,0,"")&amp;ROUND(((M34-INT(M34))*60),0)))</f>
        <v/>
      </c>
    </row>
    <row r="35" spans="4:15" ht="17" customHeight="1" x14ac:dyDescent="0.15">
      <c r="D35" s="15"/>
      <c r="E35" s="34"/>
      <c r="F35" s="35"/>
      <c r="G35" s="35"/>
      <c r="H35" s="36"/>
      <c r="I35" s="35"/>
      <c r="J35" s="35"/>
      <c r="K35" s="36"/>
      <c r="L35" t="str">
        <f t="shared" si="3"/>
        <v/>
      </c>
      <c r="M35" t="str">
        <f t="shared" si="2"/>
        <v/>
      </c>
      <c r="N35" s="4" t="str">
        <f>IF(ISBLANK(D35),"",Open_time Control_1+(INT(L35)&amp;":"&amp;IF(ROUND(((L35-INT(L35))*60),0)&lt;10,0,"")&amp;ROUND(((L35-INT(L35))*60),0)))</f>
        <v/>
      </c>
      <c r="O35" s="4" t="str">
        <f>IF(ISBLANK(D35),"",Open_time Control_1+(INT(M35)&amp;":"&amp;IF(ROUND(((M35-INT(M35))*60),0)&lt;10,0,"")&amp;ROUND(((M35-INT(M35))*60),0)))</f>
        <v/>
      </c>
    </row>
    <row r="36" spans="4:15" ht="17" customHeight="1" x14ac:dyDescent="0.15">
      <c r="D36" s="15"/>
      <c r="E36" s="34"/>
      <c r="F36" s="35"/>
      <c r="G36" s="35"/>
      <c r="H36" s="36"/>
      <c r="I36" s="35"/>
      <c r="J36" s="35"/>
      <c r="K36" s="36"/>
      <c r="L36" t="str">
        <f t="shared" si="3"/>
        <v/>
      </c>
      <c r="M36" t="str">
        <f t="shared" si="2"/>
        <v/>
      </c>
      <c r="N36" s="4" t="str">
        <f>IF(ISBLANK(D36),"",Open_time Control_1+(INT(L36)&amp;":"&amp;IF(ROUND(((L36-INT(L36))*60),0)&lt;10,0,"")&amp;ROUND(((L36-INT(L36))*60),0)))</f>
        <v/>
      </c>
      <c r="O36" s="4" t="str">
        <f>IF(ISBLANK(D36),"",Open_time Control_1+(INT(M36)&amp;":"&amp;IF(ROUND(((M36-INT(M36))*60),0)&lt;10,0,"")&amp;ROUND(((M36-INT(M36))*60),0)))</f>
        <v/>
      </c>
    </row>
    <row r="37" spans="4:15" ht="17" customHeight="1" thickBot="1" x14ac:dyDescent="0.2">
      <c r="D37" s="20"/>
      <c r="E37" s="34"/>
      <c r="F37" s="35"/>
      <c r="G37" s="35"/>
      <c r="H37" s="36"/>
      <c r="I37" s="35"/>
      <c r="J37" s="35"/>
      <c r="K37" s="36"/>
      <c r="L37" t="str">
        <f t="shared" si="3"/>
        <v/>
      </c>
      <c r="M37" t="str">
        <f t="shared" si="2"/>
        <v/>
      </c>
      <c r="N37" s="4" t="str">
        <f>IF(ISBLANK(D37),"",Open_time Control_1+(INT(L37)&amp;":"&amp;IF(ROUND(((L37-INT(L37))*60),0)&lt;10,0,"")&amp;ROUND(((L37-INT(L37))*60),0)))</f>
        <v/>
      </c>
      <c r="O37" s="4" t="str">
        <f>IF(ISBLANK(D37),"",Open_time Control_1+(INT(M37)&amp;":"&amp;IF(ROUND(((M37-INT(M37))*60),0)&lt;10,0,"")&amp;ROUND(((M37-INT(M37))*60),0)))</f>
        <v/>
      </c>
    </row>
  </sheetData>
  <sheetProtection algorithmName="SHA-512" hashValue="D8qywzNb40cUiVle2DcjUmxCsRIaO5HEQS3AFyML+XvcGNrr85HZL3oGkY7bVUKDPJKALNXAjH4Ou+WV1jzmcg==" saltValue="7U8Wfb5GFDUrDvVAN8JerA==" spinCount="100000" sheet="1" objects="1" scenarios="1" formatCells="0" selectLockedCells="1"/>
  <mergeCells count="8">
    <mergeCell ref="D26:H26"/>
    <mergeCell ref="I26:K2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topLeftCell="A16" zoomScale="115" zoomScaleNormal="115" zoomScalePageLayoutView="75" workbookViewId="0">
      <selection activeCell="F28" sqref="F28"/>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31" t="s">
        <v>33</v>
      </c>
      <c r="D2" s="131"/>
      <c r="E2" s="131"/>
      <c r="F2" s="131"/>
      <c r="G2" s="55"/>
      <c r="H2" s="55"/>
      <c r="I2" s="78" t="s">
        <v>58</v>
      </c>
      <c r="J2" s="79">
        <f>'Control Entry'!B4</f>
        <v>45654</v>
      </c>
      <c r="K2" s="55"/>
      <c r="L2" s="55"/>
    </row>
    <row r="3" spans="2:15" ht="45" customHeight="1" x14ac:dyDescent="0.45">
      <c r="D3" s="12"/>
      <c r="E3" s="140" t="s">
        <v>29</v>
      </c>
      <c r="F3" s="140"/>
      <c r="G3" s="140"/>
      <c r="H3" s="140"/>
      <c r="I3" s="66" t="s">
        <v>60</v>
      </c>
      <c r="J3" s="71">
        <f>IF(ISBLANK(Brevet_Number),"",Brevet_Number)</f>
        <v>5495</v>
      </c>
      <c r="K3" s="39"/>
      <c r="L3" s="39"/>
    </row>
    <row r="4" spans="2:15" ht="20" customHeight="1" x14ac:dyDescent="0.15">
      <c r="C4" s="12"/>
      <c r="E4" s="141" t="str">
        <f>IF(ISBLANK(Brevet_Length),"",Brevet_Length&amp;" km Randonnée")</f>
        <v>50 km Randonnée</v>
      </c>
      <c r="F4" s="141"/>
      <c r="G4" s="141"/>
      <c r="H4" s="141"/>
      <c r="K4" s="51"/>
      <c r="L4" s="51"/>
    </row>
    <row r="5" spans="2:15" ht="20" customHeight="1" x14ac:dyDescent="0.2">
      <c r="D5" s="52"/>
      <c r="E5" s="139" t="str">
        <f>IF(ISBLANK(Brevet_Description),"",Brevet_Description)</f>
        <v>New Years Pop</v>
      </c>
      <c r="F5" s="139"/>
      <c r="G5" s="139"/>
      <c r="H5" s="139"/>
      <c r="I5" s="74"/>
      <c r="J5" s="52"/>
      <c r="K5" s="52"/>
      <c r="L5" s="52"/>
    </row>
    <row r="6" spans="2:15" ht="20" x14ac:dyDescent="0.2">
      <c r="D6" s="67"/>
      <c r="E6" s="139"/>
      <c r="F6" s="139"/>
      <c r="G6" s="139"/>
      <c r="H6" s="139"/>
      <c r="I6" s="74"/>
      <c r="J6" s="67"/>
      <c r="K6" s="52"/>
      <c r="L6" s="52"/>
    </row>
    <row r="7" spans="2:15" ht="25" customHeight="1" x14ac:dyDescent="0.15">
      <c r="C7" s="135"/>
      <c r="D7" s="135"/>
      <c r="E7" s="135"/>
      <c r="F7" s="135"/>
      <c r="H7" s="137"/>
    </row>
    <row r="8" spans="2:15" ht="21" thickBot="1" x14ac:dyDescent="0.25">
      <c r="B8" s="17" t="s">
        <v>61</v>
      </c>
      <c r="C8" s="136"/>
      <c r="D8" s="136"/>
      <c r="E8" s="136"/>
      <c r="F8" s="136"/>
      <c r="G8" s="17" t="s">
        <v>31</v>
      </c>
      <c r="H8" s="138"/>
      <c r="I8" s="53"/>
      <c r="J8" s="53"/>
      <c r="K8" s="53"/>
    </row>
    <row r="9" spans="2:15" ht="22" customHeight="1" x14ac:dyDescent="0.15">
      <c r="B9" s="58"/>
      <c r="C9" s="58"/>
      <c r="D9" s="58"/>
      <c r="E9" s="58"/>
      <c r="F9" s="54"/>
      <c r="G9" s="60"/>
      <c r="H9" s="60"/>
      <c r="I9" s="60"/>
      <c r="J9" s="54"/>
    </row>
    <row r="10" spans="2:15" ht="20" customHeight="1" x14ac:dyDescent="0.15">
      <c r="B10" s="133" t="s">
        <v>34</v>
      </c>
      <c r="C10" s="133"/>
      <c r="D10" s="64" t="s">
        <v>35</v>
      </c>
      <c r="E10" s="134" t="s">
        <v>57</v>
      </c>
      <c r="F10" s="134"/>
      <c r="G10" s="134"/>
      <c r="H10" s="70"/>
      <c r="I10" s="59"/>
      <c r="J10" s="59"/>
      <c r="K10" s="19"/>
      <c r="L10" s="112"/>
      <c r="M10" s="112"/>
      <c r="N10" s="112"/>
      <c r="O10" s="112"/>
    </row>
    <row r="11" spans="2:15" ht="23" x14ac:dyDescent="0.15">
      <c r="B11" s="58"/>
      <c r="C11" s="58" t="s">
        <v>73</v>
      </c>
      <c r="D11" s="58"/>
      <c r="E11" s="58"/>
      <c r="F11" s="54"/>
      <c r="G11" s="60"/>
      <c r="H11" s="60"/>
      <c r="I11" s="60"/>
      <c r="J11" s="54"/>
    </row>
    <row r="12" spans="2:15" ht="21" thickBot="1" x14ac:dyDescent="0.25">
      <c r="D12" s="128" t="s">
        <v>19</v>
      </c>
      <c r="E12" s="128"/>
      <c r="F12" s="69">
        <f>IF(ISBLANK('Control Entry'!B12),"",'Control Entry'!B12)</f>
        <v>45658</v>
      </c>
      <c r="G12" s="73"/>
      <c r="H12" s="17" t="s">
        <v>63</v>
      </c>
      <c r="I12" s="68">
        <f>IF(ISBLANK('Control Entry'!B13),"",'Control Entry'!B13)</f>
        <v>0.41666666666666669</v>
      </c>
      <c r="J12" s="23"/>
    </row>
    <row r="13" spans="2:15" ht="20" x14ac:dyDescent="0.2">
      <c r="D13" s="22"/>
      <c r="E13" s="22"/>
      <c r="F13" s="21"/>
      <c r="G13" s="21"/>
      <c r="H13" s="21"/>
      <c r="L13" s="23"/>
      <c r="M13" s="23"/>
      <c r="N13" s="23"/>
    </row>
    <row r="14" spans="2:15" ht="21" thickBot="1" x14ac:dyDescent="0.25">
      <c r="D14" s="128" t="s">
        <v>62</v>
      </c>
      <c r="E14" s="128"/>
      <c r="F14" s="69"/>
      <c r="G14" s="73"/>
      <c r="H14" s="17" t="s">
        <v>64</v>
      </c>
      <c r="I14" s="68"/>
      <c r="J14" s="23"/>
      <c r="L14" s="45"/>
      <c r="M14" s="45"/>
      <c r="N14" s="45"/>
    </row>
    <row r="15" spans="2:15" ht="20" x14ac:dyDescent="0.2">
      <c r="B15" s="22"/>
      <c r="C15" s="22"/>
      <c r="D15" s="21"/>
      <c r="E15" s="21"/>
      <c r="H15" s="21"/>
    </row>
    <row r="16" spans="2:15" ht="21" thickBot="1" x14ac:dyDescent="0.25">
      <c r="C16" s="65"/>
      <c r="D16" s="65"/>
      <c r="E16" s="65"/>
      <c r="F16" s="65"/>
      <c r="H16" s="17" t="s">
        <v>65</v>
      </c>
      <c r="I16" s="68"/>
      <c r="J16" s="23"/>
      <c r="L16" s="45"/>
      <c r="M16" s="45"/>
      <c r="N16" s="45"/>
    </row>
    <row r="17" spans="2:15" ht="20" x14ac:dyDescent="0.15">
      <c r="C17" s="129" t="s">
        <v>14</v>
      </c>
      <c r="D17" s="129"/>
      <c r="E17" s="129"/>
      <c r="F17" s="129"/>
      <c r="G17" s="19"/>
      <c r="H17" s="19"/>
      <c r="I17" s="130"/>
      <c r="J17" s="130"/>
      <c r="K17" s="19"/>
      <c r="L17" s="112"/>
      <c r="M17" s="112"/>
      <c r="N17" s="112"/>
      <c r="O17" s="112"/>
    </row>
    <row r="18" spans="2:15" ht="6" customHeight="1" thickBot="1" x14ac:dyDescent="0.2">
      <c r="B18" s="61"/>
      <c r="C18" s="61"/>
      <c r="D18" s="61"/>
      <c r="E18" s="61"/>
      <c r="F18" s="62"/>
      <c r="G18" s="63"/>
      <c r="H18" s="63"/>
      <c r="I18" s="63"/>
      <c r="J18" s="62"/>
    </row>
    <row r="19" spans="2:15" ht="22" thickTop="1" thickBot="1" x14ac:dyDescent="0.2">
      <c r="B19" s="132" t="s">
        <v>50</v>
      </c>
      <c r="C19" s="132"/>
      <c r="D19" s="132"/>
      <c r="E19" s="132"/>
      <c r="F19" s="132"/>
      <c r="G19" s="132"/>
      <c r="H19" s="132"/>
      <c r="I19" s="132"/>
      <c r="J19" s="132"/>
    </row>
    <row r="20" spans="2:15" ht="20" thickBot="1" x14ac:dyDescent="0.25">
      <c r="B20" s="50" t="s">
        <v>26</v>
      </c>
      <c r="C20" s="8" t="s">
        <v>0</v>
      </c>
      <c r="D20" s="8" t="s">
        <v>1</v>
      </c>
      <c r="E20" s="8" t="s">
        <v>22</v>
      </c>
      <c r="F20" s="8" t="s">
        <v>27</v>
      </c>
      <c r="G20" s="125" t="s">
        <v>36</v>
      </c>
      <c r="H20" s="126"/>
      <c r="I20" s="127"/>
      <c r="J20" s="50" t="s">
        <v>28</v>
      </c>
    </row>
    <row r="21" spans="2:15" ht="40" customHeight="1" x14ac:dyDescent="0.25">
      <c r="B21" s="89"/>
      <c r="C21" s="101">
        <f>Control_1 Open_time</f>
        <v>45658.416666666664</v>
      </c>
      <c r="D21" s="101">
        <f>Control_1 Close_time</f>
        <v>45658.458333333328</v>
      </c>
      <c r="E21" s="90"/>
      <c r="F21" s="91" t="str">
        <f>IF(ISBLANK(Control_1 Establishment_1),"",Control_1 Establishment_1)</f>
        <v>STAFFED</v>
      </c>
      <c r="G21" s="115" t="str">
        <f>IF(ISBLANK('Control Entry'!I15),"",'Control Entry'!I15)</f>
        <v/>
      </c>
      <c r="H21" s="116"/>
      <c r="I21" s="117"/>
      <c r="J21" s="92"/>
    </row>
    <row r="22" spans="2:15" ht="40" customHeight="1" x14ac:dyDescent="0.25">
      <c r="B22" s="93">
        <f>IF(ISBLANK(Distance Control_1),"",Control_1 Distance)</f>
        <v>0</v>
      </c>
      <c r="C22" s="94">
        <f>Control_1 Open_time</f>
        <v>45658.416666666664</v>
      </c>
      <c r="D22" s="94">
        <f>Control_1 Close_time</f>
        <v>45658.458333333328</v>
      </c>
      <c r="E22" s="91" t="str">
        <f>IF(ISBLANK(Locale Control_1),"",Locale Control_1)</f>
        <v xml:space="preserve">SAANICH </v>
      </c>
      <c r="F22" s="91" t="str">
        <f>IF(ISBLANK(Control_1 Establishment_2),"",Control_1 Establishment_2)</f>
        <v>Tim Hortons</v>
      </c>
      <c r="G22" s="118" t="str">
        <f>IF(ISBLANK('Control Entry'!J15),"",'Control Entry'!J15)</f>
        <v/>
      </c>
      <c r="H22" s="119"/>
      <c r="I22" s="120"/>
      <c r="J22" s="95"/>
    </row>
    <row r="23" spans="2:15" ht="40" customHeight="1" thickBot="1" x14ac:dyDescent="0.3">
      <c r="B23" s="96"/>
      <c r="C23" s="102">
        <f>Control_1 Open_time</f>
        <v>45658.416666666664</v>
      </c>
      <c r="D23" s="102">
        <f>Control_1 Close_time</f>
        <v>45658.458333333328</v>
      </c>
      <c r="E23" s="97"/>
      <c r="F23" s="98" t="str">
        <f>IF(ISBLANK(Control_1 Establishment_3),"",Control_1 Establishment_3)</f>
        <v>Borden @ McKenzie</v>
      </c>
      <c r="G23" s="121" t="str">
        <f>IF(ISBLANK('Control Entry'!K15),"",'Control Entry'!K15)</f>
        <v/>
      </c>
      <c r="H23" s="122"/>
      <c r="I23" s="123"/>
      <c r="J23" s="99"/>
    </row>
    <row r="24" spans="2:15" ht="40" customHeight="1" x14ac:dyDescent="0.25">
      <c r="B24" s="89"/>
      <c r="C24" s="101">
        <f>Control_2 Open_time</f>
        <v>45658.429861111108</v>
      </c>
      <c r="D24" s="101">
        <f>Control_2 Close_time</f>
        <v>45658.48055555555</v>
      </c>
      <c r="E24" s="100"/>
      <c r="F24" s="91" t="str">
        <f>IF(ISBLANK(Control_2 Establishment_1),"",Control_2 Establishment_1)</f>
        <v>INFORMATION</v>
      </c>
      <c r="G24" s="115" t="str">
        <f>IF(ISBLANK('Control Entry'!I16),"",'Control Entry'!I16)</f>
        <v>Map legend (top left)</v>
      </c>
      <c r="H24" s="116"/>
      <c r="I24" s="117"/>
      <c r="J24" s="92"/>
    </row>
    <row r="25" spans="2:15" ht="40" customHeight="1" x14ac:dyDescent="0.25">
      <c r="B25" s="93">
        <f>IF(ISBLANK(Distance Control_2),"",Control_2 Distance)</f>
        <v>10.6</v>
      </c>
      <c r="C25" s="94">
        <f>Control_2 Open_time</f>
        <v>45658.429861111108</v>
      </c>
      <c r="D25" s="94">
        <f>Control_2 Close_time</f>
        <v>45658.48055555555</v>
      </c>
      <c r="E25" s="91" t="str">
        <f>IF(ISBLANK(Locale Control_2),"",Locale Control_2)</f>
        <v>VIEW ROYAL</v>
      </c>
      <c r="F25" s="91" t="str">
        <f>IF(ISBLANK(Control_2 Establishment_2),"",Control_2 Establishment_2)</f>
        <v>Portage Park</v>
      </c>
      <c r="G25" s="118" t="str">
        <f>IF(ISBLANK('Control Entry'!J16),"",'Control Entry'!J16)</f>
        <v>First legend symbol</v>
      </c>
      <c r="H25" s="119"/>
      <c r="I25" s="120"/>
      <c r="J25" s="95"/>
    </row>
    <row r="26" spans="2:15" ht="40" customHeight="1" thickBot="1" x14ac:dyDescent="0.3">
      <c r="B26" s="96"/>
      <c r="C26" s="102">
        <f>Control_2 Open_time</f>
        <v>45658.429861111108</v>
      </c>
      <c r="D26" s="102">
        <f>Control_2 Close_time</f>
        <v>45658.48055555555</v>
      </c>
      <c r="E26" s="97"/>
      <c r="F26" s="98" t="str">
        <f>IF(ISBLANK(Control_2 Establishment_3),"",Control_2 Establishment_3)</f>
        <v>Information booth</v>
      </c>
      <c r="G26" s="121" t="str">
        <f>IF(ISBLANK('Control Entry'!K16),"",'Control Entry'!K16)</f>
        <v>BC ________________Exchange?</v>
      </c>
      <c r="H26" s="122"/>
      <c r="I26" s="123"/>
      <c r="J26" s="99"/>
    </row>
    <row r="27" spans="2:15" ht="40" customHeight="1" x14ac:dyDescent="0.25">
      <c r="B27" s="89"/>
      <c r="C27" s="101">
        <f>Control_3 Open_time</f>
        <v>45658.459027777775</v>
      </c>
      <c r="D27" s="101">
        <f>Control_3 Close_time</f>
        <v>45658.529861111107</v>
      </c>
      <c r="E27" s="100"/>
      <c r="F27" s="91" t="str">
        <f>IF(ISBLANK(Control_3 Establishment_1),"",Control_3 Establishment_1)</f>
        <v>BUSINESS</v>
      </c>
      <c r="G27" s="115" t="str">
        <f>IF(ISBLANK('Control Entry'!I17),"",'Control Entry'!I17)</f>
        <v/>
      </c>
      <c r="H27" s="116"/>
      <c r="I27" s="117"/>
      <c r="J27" s="92"/>
    </row>
    <row r="28" spans="2:15" ht="40" customHeight="1" x14ac:dyDescent="0.25">
      <c r="B28" s="93">
        <f>IF(ISBLANK(Distance Control_3),"",Control_3 Distance)</f>
        <v>34.4</v>
      </c>
      <c r="C28" s="94">
        <f>Control_3 Open_time</f>
        <v>45658.459027777775</v>
      </c>
      <c r="D28" s="94">
        <f>Control_3 Close_time</f>
        <v>45658.529861111107</v>
      </c>
      <c r="E28" s="91" t="str">
        <f>IF(ISBLANK(Locale Control_3),"",Locale Control_3)</f>
        <v>SAANICHTON</v>
      </c>
      <c r="F28" s="91" t="str">
        <f>IF(ISBLANK(Control_3 Establishment_2),"",Control_3 Establishment_2)</f>
        <v>Shell Gas</v>
      </c>
      <c r="G28" s="118" t="str">
        <f>IF(ISBLANK('Control Entry'!J17),"",'Control Entry'!J17)</f>
        <v/>
      </c>
      <c r="H28" s="119"/>
      <c r="I28" s="120"/>
      <c r="J28" s="95"/>
    </row>
    <row r="29" spans="2:15" ht="40" customHeight="1" thickBot="1" x14ac:dyDescent="0.3">
      <c r="B29" s="96"/>
      <c r="C29" s="102">
        <f>Control_3 Open_time</f>
        <v>45658.459027777775</v>
      </c>
      <c r="D29" s="102">
        <f>Control_3 Close_time</f>
        <v>45658.529861111107</v>
      </c>
      <c r="E29" s="97"/>
      <c r="F29" s="98" t="str">
        <f>IF(ISBLANK(Control_3 Establishment_3),"",Control_3 Establishment_3)</f>
        <v>7586 E Saanich Rd</v>
      </c>
      <c r="G29" s="121" t="str">
        <f>IF(ISBLANK('Control Entry'!K17),"",'Control Entry'!K17)</f>
        <v/>
      </c>
      <c r="H29" s="122"/>
      <c r="I29" s="123"/>
      <c r="J29" s="99"/>
    </row>
    <row r="30" spans="2:15" ht="40" customHeight="1" x14ac:dyDescent="0.25">
      <c r="B30" s="89"/>
      <c r="C30" s="101">
        <f>Control_4 Open_time</f>
        <v>45658.478472222218</v>
      </c>
      <c r="D30" s="101">
        <f>Control_4 Close_time</f>
        <v>45658.563194444439</v>
      </c>
      <c r="E30" s="100"/>
      <c r="F30" s="91" t="str">
        <f>IF(ISBLANK(Control_4 Establishment_1),"",Control_4 Establishment_1)</f>
        <v>STAFFED</v>
      </c>
      <c r="G30" s="115" t="str">
        <f>IF(ISBLANK('Control Entry'!I18),"",'Control Entry'!I18)</f>
        <v/>
      </c>
      <c r="H30" s="116"/>
      <c r="I30" s="117"/>
      <c r="J30" s="92"/>
    </row>
    <row r="31" spans="2:15" ht="40" customHeight="1" x14ac:dyDescent="0.25">
      <c r="B31" s="93">
        <f>IF(ISBLANK(Distance Control_4),"",Control_4 Distance)</f>
        <v>50.3</v>
      </c>
      <c r="C31" s="94">
        <f>Control_4 Open_time</f>
        <v>45658.478472222218</v>
      </c>
      <c r="D31" s="94">
        <f>Control_4 Close_time</f>
        <v>45658.563194444439</v>
      </c>
      <c r="E31" s="91" t="str">
        <f>IF(ISBLANK(Locale Control_4),"",Locale Control_4)</f>
        <v xml:space="preserve">SAANICH </v>
      </c>
      <c r="F31" s="91" t="str">
        <f>IF(ISBLANK(Control_4 Establishment_2),"",Control_4 Establishment_2)</f>
        <v>Tim Hortons</v>
      </c>
      <c r="G31" s="118" t="str">
        <f>IF(ISBLANK('Control Entry'!J18),"",'Control Entry'!J18)</f>
        <v/>
      </c>
      <c r="H31" s="119"/>
      <c r="I31" s="120"/>
      <c r="J31" s="95"/>
    </row>
    <row r="32" spans="2:15" ht="40" customHeight="1" thickBot="1" x14ac:dyDescent="0.3">
      <c r="B32" s="96"/>
      <c r="C32" s="102">
        <f>Control_4 Open_time</f>
        <v>45658.478472222218</v>
      </c>
      <c r="D32" s="102">
        <f>Control_4 Close_time</f>
        <v>45658.563194444439</v>
      </c>
      <c r="E32" s="97"/>
      <c r="F32" s="98" t="str">
        <f>IF(ISBLANK(Control_4 Establishment_3),"",Control_4 Establishment_3)</f>
        <v>Borden @ McKenzie</v>
      </c>
      <c r="G32" s="121" t="str">
        <f>IF(ISBLANK('Control Entry'!K18),"",'Control Entry'!K18)</f>
        <v/>
      </c>
      <c r="H32" s="122"/>
      <c r="I32" s="123"/>
      <c r="J32" s="99"/>
    </row>
    <row r="33" spans="2:10" ht="40" customHeight="1" x14ac:dyDescent="0.25">
      <c r="B33" s="89"/>
      <c r="C33" s="101" t="str">
        <f>Control_5 Open_time</f>
        <v/>
      </c>
      <c r="D33" s="101" t="str">
        <f>Control_5 Close_time</f>
        <v/>
      </c>
      <c r="E33" s="100"/>
      <c r="F33" s="91" t="str">
        <f>IF(ISBLANK(Control_5 Establishment_1),"",Control_5 Establishment_1)</f>
        <v/>
      </c>
      <c r="G33" s="115" t="str">
        <f>IF(ISBLANK('Control Entry'!I19),"",'Control Entry'!I19)</f>
        <v/>
      </c>
      <c r="H33" s="116"/>
      <c r="I33" s="117"/>
      <c r="J33" s="92"/>
    </row>
    <row r="34" spans="2:10" ht="40" customHeight="1" x14ac:dyDescent="0.25">
      <c r="B34" s="93" t="str">
        <f>IF(ISBLANK(Distance Control_5),"",Control_5 Distance)</f>
        <v/>
      </c>
      <c r="C34" s="94" t="str">
        <f>Control_5 Open_time</f>
        <v/>
      </c>
      <c r="D34" s="94" t="str">
        <f>Control_5 Close_time</f>
        <v/>
      </c>
      <c r="E34" s="91" t="str">
        <f>IF(ISBLANK(Locale Control_5),"",Locale Control_5)</f>
        <v/>
      </c>
      <c r="F34" s="91" t="str">
        <f>IF(ISBLANK(Control_5 Establishment_2),"",Control_5 Establishment_2)</f>
        <v/>
      </c>
      <c r="G34" s="118" t="str">
        <f>IF(ISBLANK('Control Entry'!J19),"",'Control Entry'!J19)</f>
        <v/>
      </c>
      <c r="H34" s="119"/>
      <c r="I34" s="120"/>
      <c r="J34" s="95"/>
    </row>
    <row r="35" spans="2:10" ht="40" customHeight="1" thickBot="1" x14ac:dyDescent="0.3">
      <c r="B35" s="96"/>
      <c r="C35" s="102" t="str">
        <f>Control_5 Open_time</f>
        <v/>
      </c>
      <c r="D35" s="102" t="str">
        <f>Control_5 Close_time</f>
        <v/>
      </c>
      <c r="E35" s="97"/>
      <c r="F35" s="98" t="str">
        <f>IF(ISBLANK(Control_5 Establishment_3),"",Control_5 Establishment_3)</f>
        <v/>
      </c>
      <c r="G35" s="121" t="str">
        <f>IF(ISBLANK('Control Entry'!K19),"",'Control Entry'!K19)</f>
        <v/>
      </c>
      <c r="H35" s="122"/>
      <c r="I35" s="123"/>
      <c r="J35" s="99"/>
    </row>
    <row r="36" spans="2:10" ht="40" customHeight="1" x14ac:dyDescent="0.25">
      <c r="B36" s="89"/>
      <c r="C36" s="101" t="str">
        <f>Control_6 Open_time</f>
        <v/>
      </c>
      <c r="D36" s="101" t="str">
        <f>Control_6 Close_time</f>
        <v/>
      </c>
      <c r="E36" s="100"/>
      <c r="F36" s="91" t="str">
        <f>IF(ISBLANK(Control_6 Establishment_1),"",Control_6 Establishment_1)</f>
        <v/>
      </c>
      <c r="G36" s="115" t="str">
        <f>IF(ISBLANK('Control Entry'!I20),"",'Control Entry'!I20)</f>
        <v/>
      </c>
      <c r="H36" s="116"/>
      <c r="I36" s="117"/>
      <c r="J36" s="92"/>
    </row>
    <row r="37" spans="2:10" ht="40" customHeight="1" x14ac:dyDescent="0.25">
      <c r="B37" s="93" t="str">
        <f>IF(ISBLANK(Distance Control_6),"",Control_6 Distance)</f>
        <v/>
      </c>
      <c r="C37" s="94" t="str">
        <f>Control_6 Open_time</f>
        <v/>
      </c>
      <c r="D37" s="94" t="str">
        <f>Control_6 Close_time</f>
        <v/>
      </c>
      <c r="E37" s="91" t="str">
        <f>IF(ISBLANK(Locale Control_6),"",Locale Control_6)</f>
        <v/>
      </c>
      <c r="F37" s="91" t="str">
        <f>IF(ISBLANK(Control_6 Establishment_2),"",Control_6 Establishment_2)</f>
        <v/>
      </c>
      <c r="G37" s="118" t="str">
        <f>IF(ISBLANK('Control Entry'!J20),"",'Control Entry'!J20)</f>
        <v/>
      </c>
      <c r="H37" s="119"/>
      <c r="I37" s="120"/>
      <c r="J37" s="95"/>
    </row>
    <row r="38" spans="2:10" ht="40" customHeight="1" thickBot="1" x14ac:dyDescent="0.3">
      <c r="B38" s="96"/>
      <c r="C38" s="102" t="str">
        <f>Control_6 Open_time</f>
        <v/>
      </c>
      <c r="D38" s="102" t="str">
        <f>Control_6 Close_time</f>
        <v/>
      </c>
      <c r="E38" s="97"/>
      <c r="F38" s="98" t="str">
        <f>IF(ISBLANK(Control_6 Establishment_3),"",Control_6 Establishment_3)</f>
        <v/>
      </c>
      <c r="G38" s="121" t="str">
        <f>IF(ISBLANK('Control Entry'!K20),"",'Control Entry'!K20)</f>
        <v/>
      </c>
      <c r="H38" s="122"/>
      <c r="I38" s="123"/>
      <c r="J38" s="99"/>
    </row>
    <row r="39" spans="2:10" ht="40" customHeight="1" x14ac:dyDescent="0.25">
      <c r="B39" s="89"/>
      <c r="C39" s="101" t="str">
        <f>Control_7 Open_time</f>
        <v/>
      </c>
      <c r="D39" s="101" t="str">
        <f>Control_7 Close_time</f>
        <v/>
      </c>
      <c r="E39" s="100"/>
      <c r="F39" s="91" t="str">
        <f>IF(ISBLANK(Control_7 Establishment_1),"",Control_7 Establishment_1)</f>
        <v/>
      </c>
      <c r="G39" s="115" t="str">
        <f>IF(ISBLANK('Control Entry'!I21),"",'Control Entry'!I21)</f>
        <v/>
      </c>
      <c r="H39" s="116"/>
      <c r="I39" s="117"/>
      <c r="J39" s="92"/>
    </row>
    <row r="40" spans="2:10" ht="40" customHeight="1" x14ac:dyDescent="0.25">
      <c r="B40" s="93" t="str">
        <f>IF(ISBLANK(Distance Control_7),"",Control_7 Distance)</f>
        <v/>
      </c>
      <c r="C40" s="94" t="str">
        <f>Control_7 Open_time</f>
        <v/>
      </c>
      <c r="D40" s="94" t="str">
        <f>Control_7 Close_time</f>
        <v/>
      </c>
      <c r="E40" s="91" t="str">
        <f>IF(ISBLANK(Locale Control_7),"",Locale Control_7)</f>
        <v/>
      </c>
      <c r="F40" s="91" t="str">
        <f>IF(ISBLANK(Control_7 Establishment_2),"",Control_7 Establishment_2)</f>
        <v/>
      </c>
      <c r="G40" s="118" t="str">
        <f>IF(ISBLANK('Control Entry'!J21),"",'Control Entry'!J21)</f>
        <v/>
      </c>
      <c r="H40" s="119"/>
      <c r="I40" s="120"/>
      <c r="J40" s="95"/>
    </row>
    <row r="41" spans="2:10" ht="40" customHeight="1" thickBot="1" x14ac:dyDescent="0.3">
      <c r="B41" s="96"/>
      <c r="C41" s="102" t="str">
        <f>Control_7 Open_time</f>
        <v/>
      </c>
      <c r="D41" s="102" t="str">
        <f>Control_7 Close_time</f>
        <v/>
      </c>
      <c r="E41" s="97"/>
      <c r="F41" s="98" t="str">
        <f>IF(ISBLANK(Control_7 Establishment_3),"",Control_7 Establishment_3)</f>
        <v/>
      </c>
      <c r="G41" s="121" t="str">
        <f>IF(ISBLANK('Control Entry'!K21),"",'Control Entry'!K21)</f>
        <v/>
      </c>
      <c r="H41" s="122"/>
      <c r="I41" s="123"/>
      <c r="J41" s="99"/>
    </row>
    <row r="42" spans="2:10" ht="40" customHeight="1" x14ac:dyDescent="0.25">
      <c r="B42" s="89"/>
      <c r="C42" s="101" t="str">
        <f>Control_8 Open_time</f>
        <v/>
      </c>
      <c r="D42" s="101" t="str">
        <f>Control_8 Close_time</f>
        <v/>
      </c>
      <c r="E42" s="100"/>
      <c r="F42" s="91" t="str">
        <f>IF(ISBLANK(Control_8 Establishment_1),"",Control_8 Establishment_1)</f>
        <v/>
      </c>
      <c r="G42" s="115" t="str">
        <f>IF(ISBLANK('Control Entry'!I22),"",'Control Entry'!I22)</f>
        <v/>
      </c>
      <c r="H42" s="116"/>
      <c r="I42" s="117"/>
      <c r="J42" s="92"/>
    </row>
    <row r="43" spans="2:10" ht="40" customHeight="1" x14ac:dyDescent="0.25">
      <c r="B43" s="93" t="str">
        <f>IF(ISBLANK(Distance Control_8),"",Control_8 Distance)</f>
        <v/>
      </c>
      <c r="C43" s="94" t="str">
        <f>Control_8 Open_time</f>
        <v/>
      </c>
      <c r="D43" s="94" t="str">
        <f>Control_8 Close_time</f>
        <v/>
      </c>
      <c r="E43" s="91" t="str">
        <f>IF(ISBLANK(Locale Control_8),"",Locale Control_8)</f>
        <v/>
      </c>
      <c r="F43" s="91" t="str">
        <f>IF(ISBLANK(Control_8 Establishment_2),"",Control_8 Establishment_2)</f>
        <v/>
      </c>
      <c r="G43" s="118" t="str">
        <f>IF(ISBLANK('Control Entry'!J22),"",'Control Entry'!J22)</f>
        <v/>
      </c>
      <c r="H43" s="119"/>
      <c r="I43" s="120"/>
      <c r="J43" s="95"/>
    </row>
    <row r="44" spans="2:10" ht="40" customHeight="1" thickBot="1" x14ac:dyDescent="0.3">
      <c r="B44" s="96"/>
      <c r="C44" s="102" t="str">
        <f>Control_8 Open_time</f>
        <v/>
      </c>
      <c r="D44" s="102" t="str">
        <f>Control_8 Close_time</f>
        <v/>
      </c>
      <c r="E44" s="97"/>
      <c r="F44" s="98" t="str">
        <f>IF(ISBLANK(Control_8 Establishment_3),"",Control_8 Establishment_3)</f>
        <v/>
      </c>
      <c r="G44" s="121" t="str">
        <f>IF(ISBLANK('Control Entry'!K22),"",'Control Entry'!K22)</f>
        <v/>
      </c>
      <c r="H44" s="122"/>
      <c r="I44" s="123"/>
      <c r="J44" s="99"/>
    </row>
    <row r="45" spans="2:10" ht="40" customHeight="1" x14ac:dyDescent="0.25">
      <c r="B45" s="89"/>
      <c r="C45" s="101" t="str">
        <f>Control_9 Open_time</f>
        <v/>
      </c>
      <c r="D45" s="101" t="str">
        <f>Control_9 Close_time</f>
        <v/>
      </c>
      <c r="E45" s="100"/>
      <c r="F45" s="91" t="str">
        <f>IF(ISBLANK(Control_9 Establishment_1),"",Control_9 Establishment_1)</f>
        <v/>
      </c>
      <c r="G45" s="115" t="str">
        <f>IF(ISBLANK('Control Entry'!I23),"",'Control Entry'!I23)</f>
        <v/>
      </c>
      <c r="H45" s="116"/>
      <c r="I45" s="117"/>
      <c r="J45" s="92"/>
    </row>
    <row r="46" spans="2:10" ht="40" customHeight="1" x14ac:dyDescent="0.25">
      <c r="B46" s="93" t="str">
        <f>IF(ISBLANK(Distance Control_9),"",Control_9 Distance)</f>
        <v/>
      </c>
      <c r="C46" s="94" t="str">
        <f>Control_9 Open_time</f>
        <v/>
      </c>
      <c r="D46" s="94" t="str">
        <f>Control_9 Close_time</f>
        <v/>
      </c>
      <c r="E46" s="91" t="str">
        <f>IF(ISBLANK(Locale Control_9),"",Locale Control_9)</f>
        <v/>
      </c>
      <c r="F46" s="91" t="str">
        <f>IF(ISBLANK(Control_9 Establishment_2),"",Control_9 Establishment_2)</f>
        <v/>
      </c>
      <c r="G46" s="118" t="str">
        <f>IF(ISBLANK('Control Entry'!J23),"",'Control Entry'!J23)</f>
        <v/>
      </c>
      <c r="H46" s="119"/>
      <c r="I46" s="120"/>
      <c r="J46" s="95"/>
    </row>
    <row r="47" spans="2:10" ht="40" customHeight="1" thickBot="1" x14ac:dyDescent="0.3">
      <c r="B47" s="96"/>
      <c r="C47" s="102" t="str">
        <f>Control_9 Open_time</f>
        <v/>
      </c>
      <c r="D47" s="102" t="str">
        <f>Control_9 Close_time</f>
        <v/>
      </c>
      <c r="E47" s="97"/>
      <c r="F47" s="98" t="str">
        <f>IF(ISBLANK(Control_9 Establishment_3),"",Control_9 Establishment_3)</f>
        <v/>
      </c>
      <c r="G47" s="121" t="str">
        <f>IF(ISBLANK('Control Entry'!K23),"",'Control Entry'!K23)</f>
        <v/>
      </c>
      <c r="H47" s="122"/>
      <c r="I47" s="123"/>
      <c r="J47" s="99"/>
    </row>
    <row r="48" spans="2:10" ht="40" customHeight="1" x14ac:dyDescent="0.25">
      <c r="B48" s="89"/>
      <c r="C48" s="101" t="str">
        <f>Control_10 Open_time</f>
        <v/>
      </c>
      <c r="D48" s="101" t="str">
        <f>Control_10 Close_time</f>
        <v/>
      </c>
      <c r="E48" s="100"/>
      <c r="F48" s="91" t="str">
        <f>IF(ISBLANK(Control_10 Establishment_1),"",Control_10 Establishment_1)</f>
        <v/>
      </c>
      <c r="G48" s="115" t="str">
        <f>IF(ISBLANK('Control Entry'!I24),"",'Control Entry'!I24)</f>
        <v/>
      </c>
      <c r="H48" s="116"/>
      <c r="I48" s="117"/>
      <c r="J48" s="92"/>
    </row>
    <row r="49" spans="2:11" ht="40" customHeight="1" x14ac:dyDescent="0.25">
      <c r="B49" s="93" t="str">
        <f>IF(ISBLANK(Distance Control_10),"",Control_10 Distance)</f>
        <v/>
      </c>
      <c r="C49" s="94" t="str">
        <f>Control_10 Open_time</f>
        <v/>
      </c>
      <c r="D49" s="94" t="str">
        <f>Control_10 Close_time</f>
        <v/>
      </c>
      <c r="E49" s="91" t="str">
        <f>IF(ISBLANK(Locale Control_10),"",Locale Control_10)</f>
        <v/>
      </c>
      <c r="F49" s="91" t="str">
        <f>IF(ISBLANK(Control_10 Establishment_2),"",Control_10 Establishment_2)</f>
        <v/>
      </c>
      <c r="G49" s="118" t="str">
        <f>IF(ISBLANK('Control Entry'!J24),"",'Control Entry'!J24)</f>
        <v/>
      </c>
      <c r="H49" s="119"/>
      <c r="I49" s="120"/>
      <c r="J49" s="95"/>
    </row>
    <row r="50" spans="2:11" ht="40" customHeight="1" thickBot="1" x14ac:dyDescent="0.3">
      <c r="B50" s="96"/>
      <c r="C50" s="102" t="str">
        <f>Control_10 Open_time</f>
        <v/>
      </c>
      <c r="D50" s="102" t="str">
        <f>Control_10 Close_time</f>
        <v/>
      </c>
      <c r="E50" s="97"/>
      <c r="F50" s="98" t="str">
        <f>IF(ISBLANK(Control_10 Establishment_3),"",Control_10 Establishment_3)</f>
        <v/>
      </c>
      <c r="G50" s="121" t="str">
        <f>IF(ISBLANK('Control Entry'!K24),"",'Control Entry'!K24)</f>
        <v/>
      </c>
      <c r="H50" s="122"/>
      <c r="I50" s="123"/>
      <c r="J50" s="99"/>
    </row>
    <row r="52" spans="2:11" ht="24" customHeight="1" x14ac:dyDescent="0.15">
      <c r="B52" s="124" t="s">
        <v>30</v>
      </c>
      <c r="C52" s="124"/>
      <c r="D52" s="124"/>
      <c r="E52" s="124"/>
      <c r="F52" s="124"/>
      <c r="I52" s="58" t="s">
        <v>56</v>
      </c>
      <c r="J52" s="81" t="str">
        <f>IF(ISBLANK('Control Entry'!F10),"",'Control Entry'!F10)</f>
        <v>‭(250) 213-3724‬</v>
      </c>
      <c r="K52" s="54"/>
    </row>
    <row r="54" spans="2:11" x14ac:dyDescent="0.15">
      <c r="B54" s="76" t="s">
        <v>59</v>
      </c>
      <c r="C54" s="77">
        <f>'Control Entry'!B3</f>
        <v>45428</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13"/>
      <c r="G57" s="114"/>
      <c r="H57" s="114"/>
      <c r="I57" s="114"/>
      <c r="J57" s="114"/>
    </row>
  </sheetData>
  <mergeCells count="50">
    <mergeCell ref="C2:F2"/>
    <mergeCell ref="B19:J19"/>
    <mergeCell ref="B10:C10"/>
    <mergeCell ref="E10:G10"/>
    <mergeCell ref="C7:F8"/>
    <mergeCell ref="H7:H8"/>
    <mergeCell ref="E5:H6"/>
    <mergeCell ref="E3:H3"/>
    <mergeCell ref="E4:H4"/>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G47:I47"/>
    <mergeCell ref="G20:I20"/>
    <mergeCell ref="D12:E12"/>
    <mergeCell ref="D14:E14"/>
    <mergeCell ref="G27:I27"/>
    <mergeCell ref="G28:I28"/>
    <mergeCell ref="G26:I26"/>
    <mergeCell ref="C17:F17"/>
    <mergeCell ref="G37:I37"/>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s>
  <printOptions horizontalCentered="1" verticalCentered="1"/>
  <pageMargins left="0.39370078740157483" right="0.39370078740157483" top="0.39370078740157483" bottom="0.39370078740157483" header="0.15748031496062992" footer="0.15748031496062992"/>
  <pageSetup scale="43"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E900F-F270-644D-8463-167507B73A41}">
  <sheetPr>
    <pageSetUpPr fitToPage="1"/>
  </sheetPr>
  <dimension ref="B1:O57"/>
  <sheetViews>
    <sheetView zoomScale="115" zoomScaleNormal="115" zoomScalePageLayoutView="75" workbookViewId="0">
      <selection activeCell="C14" sqref="C14"/>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31" t="s">
        <v>33</v>
      </c>
      <c r="D2" s="131"/>
      <c r="E2" s="131"/>
      <c r="F2" s="131"/>
      <c r="G2" s="55"/>
      <c r="H2" s="55"/>
      <c r="I2" s="78" t="s">
        <v>58</v>
      </c>
      <c r="J2" s="79">
        <f>'Control Entry'!B4</f>
        <v>45654</v>
      </c>
      <c r="K2" s="55"/>
      <c r="L2" s="55"/>
    </row>
    <row r="3" spans="2:15" ht="45" customHeight="1" x14ac:dyDescent="0.45">
      <c r="D3" s="12"/>
      <c r="E3" s="140" t="s">
        <v>29</v>
      </c>
      <c r="F3" s="140"/>
      <c r="G3" s="140"/>
      <c r="H3" s="140"/>
      <c r="I3" s="66" t="s">
        <v>60</v>
      </c>
      <c r="J3" s="71">
        <f>IF(ISBLANK(Brevet_Number),"",Brevet_Number)</f>
        <v>5495</v>
      </c>
      <c r="K3" s="39"/>
      <c r="L3" s="39"/>
    </row>
    <row r="4" spans="2:15" ht="20" customHeight="1" x14ac:dyDescent="0.15">
      <c r="C4" s="12"/>
      <c r="E4" s="141" t="str">
        <f>IF(ISBLANK(Brevet_Length),"",Brevet_Length&amp;" km Randonnée")</f>
        <v>50 km Randonnée</v>
      </c>
      <c r="F4" s="141"/>
      <c r="G4" s="141"/>
      <c r="H4" s="141"/>
      <c r="K4" s="51"/>
      <c r="L4" s="51"/>
    </row>
    <row r="5" spans="2:15" ht="20" customHeight="1" x14ac:dyDescent="0.2">
      <c r="D5" s="52"/>
      <c r="E5" s="139" t="str">
        <f>IF(ISBLANK(Brevet_Description),"",Brevet_Description)</f>
        <v>New Years Pop</v>
      </c>
      <c r="F5" s="139"/>
      <c r="G5" s="139"/>
      <c r="H5" s="139"/>
      <c r="I5" s="74"/>
      <c r="J5" s="52"/>
      <c r="K5" s="52"/>
      <c r="L5" s="52"/>
    </row>
    <row r="6" spans="2:15" ht="20" x14ac:dyDescent="0.2">
      <c r="D6" s="67"/>
      <c r="E6" s="139"/>
      <c r="F6" s="139"/>
      <c r="G6" s="139"/>
      <c r="H6" s="139"/>
      <c r="I6" s="74"/>
      <c r="J6" s="67"/>
      <c r="K6" s="52"/>
      <c r="L6" s="52"/>
    </row>
    <row r="7" spans="2:15" ht="25" customHeight="1" x14ac:dyDescent="0.15">
      <c r="C7" s="135"/>
      <c r="D7" s="135"/>
      <c r="E7" s="135"/>
      <c r="F7" s="135"/>
      <c r="H7" s="137"/>
    </row>
    <row r="8" spans="2:15" ht="21" thickBot="1" x14ac:dyDescent="0.25">
      <c r="B8" s="17" t="s">
        <v>61</v>
      </c>
      <c r="C8" s="136"/>
      <c r="D8" s="136"/>
      <c r="E8" s="136"/>
      <c r="F8" s="136"/>
      <c r="G8" s="17" t="s">
        <v>31</v>
      </c>
      <c r="H8" s="138"/>
      <c r="I8" s="53"/>
      <c r="J8" s="53"/>
      <c r="K8" s="53"/>
    </row>
    <row r="9" spans="2:15" ht="22" customHeight="1" x14ac:dyDescent="0.15">
      <c r="B9" s="58"/>
      <c r="C9" s="58"/>
      <c r="D9" s="58"/>
      <c r="E9" s="58"/>
      <c r="F9" s="54"/>
      <c r="G9" s="60"/>
      <c r="H9" s="60"/>
      <c r="I9" s="60"/>
      <c r="J9" s="54"/>
    </row>
    <row r="10" spans="2:15" ht="20" customHeight="1" x14ac:dyDescent="0.15">
      <c r="B10" s="133" t="s">
        <v>34</v>
      </c>
      <c r="C10" s="133"/>
      <c r="D10" s="64" t="s">
        <v>35</v>
      </c>
      <c r="E10" s="134" t="s">
        <v>57</v>
      </c>
      <c r="F10" s="134"/>
      <c r="G10" s="134"/>
      <c r="H10" s="70"/>
      <c r="I10" s="59"/>
      <c r="J10" s="59"/>
      <c r="K10" s="19"/>
      <c r="L10" s="112"/>
      <c r="M10" s="112"/>
      <c r="N10" s="112"/>
      <c r="O10" s="112"/>
    </row>
    <row r="11" spans="2:15" ht="23" x14ac:dyDescent="0.15">
      <c r="B11" s="58"/>
      <c r="C11" s="58" t="s">
        <v>73</v>
      </c>
      <c r="D11" s="58"/>
      <c r="E11" s="58"/>
      <c r="F11" s="54"/>
      <c r="G11" s="60"/>
      <c r="H11" s="60"/>
      <c r="I11" s="60"/>
      <c r="J11" s="54"/>
    </row>
    <row r="12" spans="2:15" ht="21" thickBot="1" x14ac:dyDescent="0.25">
      <c r="D12" s="128" t="s">
        <v>19</v>
      </c>
      <c r="E12" s="128"/>
      <c r="F12" s="69">
        <f>IF(ISBLANK('Control Entry'!B12),"",'Control Entry'!B12)</f>
        <v>45658</v>
      </c>
      <c r="G12" s="73"/>
      <c r="H12" s="17" t="s">
        <v>63</v>
      </c>
      <c r="I12" s="68">
        <f>IF(ISBLANK('Control Entry'!B13),"",'Control Entry'!B13)</f>
        <v>0.41666666666666669</v>
      </c>
      <c r="J12" s="23"/>
    </row>
    <row r="13" spans="2:15" ht="20" x14ac:dyDescent="0.2">
      <c r="D13" s="22"/>
      <c r="E13" s="22"/>
      <c r="F13" s="21"/>
      <c r="G13" s="21"/>
      <c r="H13" s="21"/>
      <c r="L13" s="23"/>
      <c r="M13" s="23"/>
      <c r="N13" s="23"/>
    </row>
    <row r="14" spans="2:15" ht="21" thickBot="1" x14ac:dyDescent="0.25">
      <c r="D14" s="128" t="s">
        <v>62</v>
      </c>
      <c r="E14" s="128"/>
      <c r="F14" s="69"/>
      <c r="G14" s="73"/>
      <c r="H14" s="17" t="s">
        <v>64</v>
      </c>
      <c r="I14" s="68"/>
      <c r="J14" s="23"/>
      <c r="L14" s="45"/>
      <c r="M14" s="45"/>
      <c r="N14" s="45"/>
    </row>
    <row r="15" spans="2:15" ht="20" x14ac:dyDescent="0.2">
      <c r="B15" s="22"/>
      <c r="C15" s="22"/>
      <c r="D15" s="21"/>
      <c r="E15" s="21"/>
      <c r="H15" s="21"/>
    </row>
    <row r="16" spans="2:15" ht="21" thickBot="1" x14ac:dyDescent="0.25">
      <c r="C16" s="65"/>
      <c r="D16" s="65"/>
      <c r="E16" s="65"/>
      <c r="F16" s="65"/>
      <c r="H16" s="17" t="s">
        <v>65</v>
      </c>
      <c r="I16" s="68"/>
      <c r="J16" s="23"/>
      <c r="L16" s="45"/>
      <c r="M16" s="45"/>
      <c r="N16" s="45"/>
    </row>
    <row r="17" spans="2:15" ht="20" x14ac:dyDescent="0.15">
      <c r="C17" s="142" t="s">
        <v>14</v>
      </c>
      <c r="D17" s="142"/>
      <c r="E17" s="142"/>
      <c r="F17" s="142"/>
      <c r="G17" s="19"/>
      <c r="H17" s="19"/>
      <c r="I17" s="130"/>
      <c r="J17" s="130"/>
      <c r="K17" s="19"/>
      <c r="L17" s="112"/>
      <c r="M17" s="112"/>
      <c r="N17" s="112"/>
      <c r="O17" s="112"/>
    </row>
    <row r="18" spans="2:15" ht="6" customHeight="1" thickBot="1" x14ac:dyDescent="0.2">
      <c r="B18" s="61"/>
      <c r="C18" s="61"/>
      <c r="D18" s="61"/>
      <c r="E18" s="61"/>
      <c r="F18" s="62"/>
      <c r="G18" s="63"/>
      <c r="H18" s="63"/>
      <c r="I18" s="63"/>
      <c r="J18" s="62"/>
    </row>
    <row r="19" spans="2:15" ht="22" thickTop="1" thickBot="1" x14ac:dyDescent="0.2">
      <c r="B19" s="132" t="s">
        <v>50</v>
      </c>
      <c r="C19" s="132"/>
      <c r="D19" s="132"/>
      <c r="E19" s="132"/>
      <c r="F19" s="132"/>
      <c r="G19" s="132"/>
      <c r="H19" s="132"/>
      <c r="I19" s="132"/>
      <c r="J19" s="132"/>
    </row>
    <row r="20" spans="2:15" ht="20" thickBot="1" x14ac:dyDescent="0.25">
      <c r="B20" s="50" t="s">
        <v>26</v>
      </c>
      <c r="C20" s="8" t="s">
        <v>0</v>
      </c>
      <c r="D20" s="8" t="s">
        <v>1</v>
      </c>
      <c r="E20" s="8" t="s">
        <v>22</v>
      </c>
      <c r="F20" s="8" t="s">
        <v>27</v>
      </c>
      <c r="G20" s="125" t="s">
        <v>36</v>
      </c>
      <c r="H20" s="126"/>
      <c r="I20" s="127"/>
      <c r="J20" s="50" t="s">
        <v>28</v>
      </c>
    </row>
    <row r="21" spans="2:15" ht="40" customHeight="1" x14ac:dyDescent="0.25">
      <c r="B21" s="89"/>
      <c r="C21" s="101" t="str">
        <f>'Control Entry'!N$28</f>
        <v/>
      </c>
      <c r="D21" s="101" t="str">
        <f>'Control Entry'!O$28</f>
        <v/>
      </c>
      <c r="E21" s="90"/>
      <c r="F21" s="91" t="str">
        <f>IF(ISBLANK('Control Entry'!F$28),"",'Control Entry'!F$28)</f>
        <v/>
      </c>
      <c r="G21" s="115" t="str">
        <f>IF(ISBLANK('Control Entry'!I$28),"",'Control Entry'!I$28)</f>
        <v/>
      </c>
      <c r="H21" s="116"/>
      <c r="I21" s="117"/>
      <c r="J21" s="92"/>
    </row>
    <row r="22" spans="2:15" ht="40" customHeight="1" x14ac:dyDescent="0.25">
      <c r="B22" s="93" t="str">
        <f>IF(ISBLANK('Control Entry'!D$28),"",'Control Entry'!D$28)</f>
        <v/>
      </c>
      <c r="C22" s="94" t="str">
        <f>'Control Entry'!N$28</f>
        <v/>
      </c>
      <c r="D22" s="94" t="str">
        <f>'Control Entry'!O$28</f>
        <v/>
      </c>
      <c r="E22" s="91" t="str">
        <f>IF(ISBLANK('Control Entry'!E$28),"",'Control Entry'!E$28)</f>
        <v/>
      </c>
      <c r="F22" s="91" t="str">
        <f>IF(ISBLANK('Control Entry'!G$28),"",'Control Entry'!G$28)</f>
        <v/>
      </c>
      <c r="G22" s="118" t="str">
        <f>IF(ISBLANK('Control Entry'!J$28),"",'Control Entry'!J$28)</f>
        <v/>
      </c>
      <c r="H22" s="119"/>
      <c r="I22" s="120"/>
      <c r="J22" s="95"/>
    </row>
    <row r="23" spans="2:15" ht="40" customHeight="1" thickBot="1" x14ac:dyDescent="0.3">
      <c r="B23" s="96"/>
      <c r="C23" s="102" t="str">
        <f>'Control Entry'!N$28</f>
        <v/>
      </c>
      <c r="D23" s="102" t="str">
        <f>'Control Entry'!O$28</f>
        <v/>
      </c>
      <c r="E23" s="97"/>
      <c r="F23" s="98" t="str">
        <f>IF(ISBLANK('Control Entry'!H$28),"",'Control Entry'!H$28)</f>
        <v/>
      </c>
      <c r="G23" s="121" t="str">
        <f>IF(ISBLANK('Control Entry'!K$28),"",'Control Entry'!K$28)</f>
        <v/>
      </c>
      <c r="H23" s="122"/>
      <c r="I23" s="123"/>
      <c r="J23" s="99"/>
    </row>
    <row r="24" spans="2:15" ht="40" customHeight="1" x14ac:dyDescent="0.25">
      <c r="B24" s="89"/>
      <c r="C24" s="101" t="str">
        <f>'Control Entry'!N$29</f>
        <v/>
      </c>
      <c r="D24" s="101" t="str">
        <f>'Control Entry'!O$29</f>
        <v/>
      </c>
      <c r="E24" s="90"/>
      <c r="F24" s="91" t="str">
        <f>IF(ISBLANK('Control Entry'!F$29),"",'Control Entry'!F$29)</f>
        <v/>
      </c>
      <c r="G24" s="115" t="str">
        <f>IF(ISBLANK('Control Entry'!I$29),"",'Control Entry'!I$29)</f>
        <v/>
      </c>
      <c r="H24" s="116"/>
      <c r="I24" s="117"/>
      <c r="J24" s="92"/>
    </row>
    <row r="25" spans="2:15" ht="40" customHeight="1" x14ac:dyDescent="0.25">
      <c r="B25" s="93" t="str">
        <f>IF(ISBLANK('Control Entry'!D$29),"",'Control Entry'!D$29)</f>
        <v/>
      </c>
      <c r="C25" s="94" t="str">
        <f>'Control Entry'!N$29</f>
        <v/>
      </c>
      <c r="D25" s="94" t="str">
        <f>'Control Entry'!O$29</f>
        <v/>
      </c>
      <c r="E25" s="91" t="str">
        <f>IF(ISBLANK('Control Entry'!E$29),"",'Control Entry'!E$29)</f>
        <v/>
      </c>
      <c r="F25" s="91" t="str">
        <f>IF(ISBLANK('Control Entry'!G$29),"",'Control Entry'!G$29)</f>
        <v/>
      </c>
      <c r="G25" s="118" t="str">
        <f>IF(ISBLANK('Control Entry'!J$29),"",'Control Entry'!J$29)</f>
        <v/>
      </c>
      <c r="H25" s="119"/>
      <c r="I25" s="120"/>
      <c r="J25" s="95"/>
    </row>
    <row r="26" spans="2:15" ht="40" customHeight="1" thickBot="1" x14ac:dyDescent="0.3">
      <c r="B26" s="96"/>
      <c r="C26" s="102" t="str">
        <f>'Control Entry'!N$29</f>
        <v/>
      </c>
      <c r="D26" s="102" t="str">
        <f>'Control Entry'!O$29</f>
        <v/>
      </c>
      <c r="E26" s="97"/>
      <c r="F26" s="98" t="str">
        <f>IF(ISBLANK('Control Entry'!H$29),"",'Control Entry'!H$29)</f>
        <v/>
      </c>
      <c r="G26" s="121" t="str">
        <f>IF(ISBLANK('Control Entry'!K$29),"",'Control Entry'!K$29)</f>
        <v/>
      </c>
      <c r="H26" s="122"/>
      <c r="I26" s="123"/>
      <c r="J26" s="99"/>
    </row>
    <row r="27" spans="2:15" ht="40" customHeight="1" x14ac:dyDescent="0.25">
      <c r="B27" s="89"/>
      <c r="C27" s="101" t="str">
        <f>'Control Entry'!N$30</f>
        <v/>
      </c>
      <c r="D27" s="101" t="str">
        <f>'Control Entry'!O$30</f>
        <v/>
      </c>
      <c r="E27" s="90"/>
      <c r="F27" s="91" t="str">
        <f>IF(ISBLANK('Control Entry'!F$30),"",'Control Entry'!F$30)</f>
        <v/>
      </c>
      <c r="G27" s="115" t="str">
        <f>IF(ISBLANK('Control Entry'!I$30),"",'Control Entry'!I$30)</f>
        <v/>
      </c>
      <c r="H27" s="116"/>
      <c r="I27" s="117"/>
      <c r="J27" s="92"/>
    </row>
    <row r="28" spans="2:15" ht="40" customHeight="1" x14ac:dyDescent="0.25">
      <c r="B28" s="93" t="str">
        <f>IF(ISBLANK('Control Entry'!D$30),"",'Control Entry'!D$30)</f>
        <v/>
      </c>
      <c r="C28" s="94" t="str">
        <f>'Control Entry'!N$30</f>
        <v/>
      </c>
      <c r="D28" s="94" t="str">
        <f>'Control Entry'!O$30</f>
        <v/>
      </c>
      <c r="E28" s="91" t="str">
        <f>IF(ISBLANK('Control Entry'!E$30),"",'Control Entry'!E$30)</f>
        <v/>
      </c>
      <c r="F28" s="91" t="str">
        <f>IF(ISBLANK('Control Entry'!G$30),"",'Control Entry'!G$30)</f>
        <v/>
      </c>
      <c r="G28" s="118" t="str">
        <f>IF(ISBLANK('Control Entry'!J$30),"",'Control Entry'!J$30)</f>
        <v/>
      </c>
      <c r="H28" s="119"/>
      <c r="I28" s="120"/>
      <c r="J28" s="95"/>
    </row>
    <row r="29" spans="2:15" ht="40" customHeight="1" thickBot="1" x14ac:dyDescent="0.3">
      <c r="B29" s="96"/>
      <c r="C29" s="102" t="str">
        <f>'Control Entry'!N$30</f>
        <v/>
      </c>
      <c r="D29" s="102" t="str">
        <f>'Control Entry'!O$30</f>
        <v/>
      </c>
      <c r="E29" s="97"/>
      <c r="F29" s="98" t="str">
        <f>IF(ISBLANK('Control Entry'!H$30),"",'Control Entry'!H$30)</f>
        <v/>
      </c>
      <c r="G29" s="121" t="str">
        <f>IF(ISBLANK('Control Entry'!K$30),"",'Control Entry'!K$30)</f>
        <v/>
      </c>
      <c r="H29" s="122"/>
      <c r="I29" s="123"/>
      <c r="J29" s="99"/>
    </row>
    <row r="30" spans="2:15" ht="40" customHeight="1" x14ac:dyDescent="0.25">
      <c r="B30" s="89"/>
      <c r="C30" s="101" t="str">
        <f>'Control Entry'!N$31</f>
        <v/>
      </c>
      <c r="D30" s="101" t="str">
        <f>'Control Entry'!O$31</f>
        <v/>
      </c>
      <c r="E30" s="90"/>
      <c r="F30" s="91" t="str">
        <f>IF(ISBLANK('Control Entry'!F$31),"",'Control Entry'!F$31)</f>
        <v/>
      </c>
      <c r="G30" s="115" t="str">
        <f>IF(ISBLANK('Control Entry'!I$31),"",'Control Entry'!I$31)</f>
        <v/>
      </c>
      <c r="H30" s="116"/>
      <c r="I30" s="117"/>
      <c r="J30" s="92"/>
    </row>
    <row r="31" spans="2:15" ht="40" customHeight="1" x14ac:dyDescent="0.25">
      <c r="B31" s="93" t="str">
        <f>IF(ISBLANK('Control Entry'!D$31),"",'Control Entry'!D$31)</f>
        <v/>
      </c>
      <c r="C31" s="94" t="str">
        <f>'Control Entry'!N$31</f>
        <v/>
      </c>
      <c r="D31" s="94" t="str">
        <f>'Control Entry'!O$31</f>
        <v/>
      </c>
      <c r="E31" s="91" t="str">
        <f>IF(ISBLANK('Control Entry'!E$31),"",'Control Entry'!E$31)</f>
        <v/>
      </c>
      <c r="F31" s="91" t="str">
        <f>IF(ISBLANK('Control Entry'!G$31),"",'Control Entry'!G$31)</f>
        <v/>
      </c>
      <c r="G31" s="118" t="str">
        <f>IF(ISBLANK('Control Entry'!J$31),"",'Control Entry'!J$31)</f>
        <v/>
      </c>
      <c r="H31" s="119"/>
      <c r="I31" s="120"/>
      <c r="J31" s="95"/>
    </row>
    <row r="32" spans="2:15" ht="40" customHeight="1" thickBot="1" x14ac:dyDescent="0.3">
      <c r="B32" s="96"/>
      <c r="C32" s="102" t="str">
        <f>'Control Entry'!N$31</f>
        <v/>
      </c>
      <c r="D32" s="102" t="str">
        <f>'Control Entry'!O$31</f>
        <v/>
      </c>
      <c r="E32" s="97"/>
      <c r="F32" s="98" t="str">
        <f>IF(ISBLANK('Control Entry'!H$31),"",'Control Entry'!H$31)</f>
        <v/>
      </c>
      <c r="G32" s="121" t="str">
        <f>IF(ISBLANK('Control Entry'!K$31),"",'Control Entry'!K$31)</f>
        <v/>
      </c>
      <c r="H32" s="122"/>
      <c r="I32" s="123"/>
      <c r="J32" s="99"/>
    </row>
    <row r="33" spans="2:10" ht="40" customHeight="1" x14ac:dyDescent="0.25">
      <c r="B33" s="89"/>
      <c r="C33" s="101" t="str">
        <f>'Control Entry'!N$32</f>
        <v/>
      </c>
      <c r="D33" s="101" t="str">
        <f>'Control Entry'!O$32</f>
        <v/>
      </c>
      <c r="E33" s="90"/>
      <c r="F33" s="91" t="str">
        <f>IF(ISBLANK('Control Entry'!F$32),"",'Control Entry'!F$32)</f>
        <v/>
      </c>
      <c r="G33" s="115" t="str">
        <f>IF(ISBLANK('Control Entry'!I$32),"",'Control Entry'!I$32)</f>
        <v/>
      </c>
      <c r="H33" s="116"/>
      <c r="I33" s="117"/>
      <c r="J33" s="92"/>
    </row>
    <row r="34" spans="2:10" ht="40" customHeight="1" x14ac:dyDescent="0.25">
      <c r="B34" s="93" t="str">
        <f>IF(ISBLANK('Control Entry'!D$32),"",'Control Entry'!D$32)</f>
        <v/>
      </c>
      <c r="C34" s="94" t="str">
        <f>'Control Entry'!N$32</f>
        <v/>
      </c>
      <c r="D34" s="94" t="str">
        <f>'Control Entry'!O$32</f>
        <v/>
      </c>
      <c r="E34" s="91" t="str">
        <f>IF(ISBLANK('Control Entry'!E$32),"",'Control Entry'!E$32)</f>
        <v/>
      </c>
      <c r="F34" s="91" t="str">
        <f>IF(ISBLANK('Control Entry'!G$32),"",'Control Entry'!G$32)</f>
        <v/>
      </c>
      <c r="G34" s="118" t="str">
        <f>IF(ISBLANK('Control Entry'!J$32),"",'Control Entry'!J$32)</f>
        <v/>
      </c>
      <c r="H34" s="119"/>
      <c r="I34" s="120"/>
      <c r="J34" s="95"/>
    </row>
    <row r="35" spans="2:10" ht="40" customHeight="1" thickBot="1" x14ac:dyDescent="0.3">
      <c r="B35" s="96"/>
      <c r="C35" s="102" t="str">
        <f>'Control Entry'!N$32</f>
        <v/>
      </c>
      <c r="D35" s="102" t="str">
        <f>'Control Entry'!O$32</f>
        <v/>
      </c>
      <c r="E35" s="97"/>
      <c r="F35" s="98" t="str">
        <f>IF(ISBLANK('Control Entry'!H$32),"",'Control Entry'!H$32)</f>
        <v/>
      </c>
      <c r="G35" s="121" t="str">
        <f>IF(ISBLANK('Control Entry'!K$32),"",'Control Entry'!K$32)</f>
        <v/>
      </c>
      <c r="H35" s="122"/>
      <c r="I35" s="123"/>
      <c r="J35" s="99"/>
    </row>
    <row r="36" spans="2:10" ht="40" customHeight="1" x14ac:dyDescent="0.25">
      <c r="B36" s="89"/>
      <c r="C36" s="101" t="str">
        <f>'Control Entry'!N$33</f>
        <v/>
      </c>
      <c r="D36" s="101" t="str">
        <f>'Control Entry'!O$33</f>
        <v/>
      </c>
      <c r="E36" s="90"/>
      <c r="F36" s="91" t="str">
        <f>IF(ISBLANK('Control Entry'!F$33),"",'Control Entry'!F$33)</f>
        <v/>
      </c>
      <c r="G36" s="115" t="str">
        <f>IF(ISBLANK('Control Entry'!I$33),"",'Control Entry'!I$33)</f>
        <v/>
      </c>
      <c r="H36" s="116"/>
      <c r="I36" s="117"/>
      <c r="J36" s="92"/>
    </row>
    <row r="37" spans="2:10" ht="40" customHeight="1" x14ac:dyDescent="0.25">
      <c r="B37" s="93" t="str">
        <f>IF(ISBLANK('Control Entry'!D$33),"",'Control Entry'!D$33)</f>
        <v/>
      </c>
      <c r="C37" s="94" t="str">
        <f>'Control Entry'!N$33</f>
        <v/>
      </c>
      <c r="D37" s="94" t="str">
        <f>'Control Entry'!O$33</f>
        <v/>
      </c>
      <c r="E37" s="91" t="str">
        <f>IF(ISBLANK('Control Entry'!E$33),"",'Control Entry'!E$33)</f>
        <v/>
      </c>
      <c r="F37" s="91" t="str">
        <f>IF(ISBLANK('Control Entry'!G$33),"",'Control Entry'!G$33)</f>
        <v/>
      </c>
      <c r="G37" s="118" t="str">
        <f>IF(ISBLANK('Control Entry'!J$33),"",'Control Entry'!J$33)</f>
        <v/>
      </c>
      <c r="H37" s="119"/>
      <c r="I37" s="120"/>
      <c r="J37" s="95"/>
    </row>
    <row r="38" spans="2:10" ht="40" customHeight="1" thickBot="1" x14ac:dyDescent="0.3">
      <c r="B38" s="96"/>
      <c r="C38" s="102" t="str">
        <f>'Control Entry'!N$33</f>
        <v/>
      </c>
      <c r="D38" s="102" t="str">
        <f>'Control Entry'!O$33</f>
        <v/>
      </c>
      <c r="E38" s="97"/>
      <c r="F38" s="98" t="str">
        <f>IF(ISBLANK('Control Entry'!H$33),"",'Control Entry'!H$33)</f>
        <v/>
      </c>
      <c r="G38" s="121" t="str">
        <f>IF(ISBLANK('Control Entry'!K$33),"",'Control Entry'!K$33)</f>
        <v/>
      </c>
      <c r="H38" s="122"/>
      <c r="I38" s="123"/>
      <c r="J38" s="99"/>
    </row>
    <row r="39" spans="2:10" ht="40" customHeight="1" x14ac:dyDescent="0.25">
      <c r="B39" s="89"/>
      <c r="C39" s="101" t="str">
        <f>'Control Entry'!N$34</f>
        <v/>
      </c>
      <c r="D39" s="101" t="str">
        <f>'Control Entry'!O$34</f>
        <v/>
      </c>
      <c r="E39" s="90"/>
      <c r="F39" s="91" t="str">
        <f>IF(ISBLANK('Control Entry'!F$34),"",'Control Entry'!F$34)</f>
        <v/>
      </c>
      <c r="G39" s="115" t="str">
        <f>IF(ISBLANK('Control Entry'!I$34),"",'Control Entry'!I$34)</f>
        <v/>
      </c>
      <c r="H39" s="116"/>
      <c r="I39" s="117"/>
      <c r="J39" s="92"/>
    </row>
    <row r="40" spans="2:10" ht="40" customHeight="1" x14ac:dyDescent="0.25">
      <c r="B40" s="93" t="str">
        <f>IF(ISBLANK('Control Entry'!D$34),"",'Control Entry'!D$34)</f>
        <v/>
      </c>
      <c r="C40" s="94" t="str">
        <f>'Control Entry'!N$34</f>
        <v/>
      </c>
      <c r="D40" s="94" t="str">
        <f>'Control Entry'!O$34</f>
        <v/>
      </c>
      <c r="E40" s="91" t="str">
        <f>IF(ISBLANK('Control Entry'!E$34),"",'Control Entry'!E$34)</f>
        <v/>
      </c>
      <c r="F40" s="91" t="str">
        <f>IF(ISBLANK('Control Entry'!G$34),"",'Control Entry'!G$34)</f>
        <v/>
      </c>
      <c r="G40" s="118" t="str">
        <f>IF(ISBLANK('Control Entry'!J$34),"",'Control Entry'!J$34)</f>
        <v/>
      </c>
      <c r="H40" s="119"/>
      <c r="I40" s="120"/>
      <c r="J40" s="95"/>
    </row>
    <row r="41" spans="2:10" ht="40" customHeight="1" thickBot="1" x14ac:dyDescent="0.3">
      <c r="B41" s="96"/>
      <c r="C41" s="102" t="str">
        <f>'Control Entry'!N$34</f>
        <v/>
      </c>
      <c r="D41" s="102" t="str">
        <f>'Control Entry'!O$34</f>
        <v/>
      </c>
      <c r="E41" s="97"/>
      <c r="F41" s="98" t="str">
        <f>IF(ISBLANK('Control Entry'!H$34),"",'Control Entry'!H$34)</f>
        <v/>
      </c>
      <c r="G41" s="121" t="str">
        <f>IF(ISBLANK('Control Entry'!K$34),"",'Control Entry'!K$34)</f>
        <v/>
      </c>
      <c r="H41" s="122"/>
      <c r="I41" s="123"/>
      <c r="J41" s="99"/>
    </row>
    <row r="42" spans="2:10" ht="40" customHeight="1" x14ac:dyDescent="0.25">
      <c r="B42" s="89"/>
      <c r="C42" s="101" t="str">
        <f>'Control Entry'!N$35</f>
        <v/>
      </c>
      <c r="D42" s="101" t="str">
        <f>'Control Entry'!O$35</f>
        <v/>
      </c>
      <c r="E42" s="90"/>
      <c r="F42" s="91" t="str">
        <f>IF(ISBLANK('Control Entry'!F$35),"",'Control Entry'!F$35)</f>
        <v/>
      </c>
      <c r="G42" s="115" t="str">
        <f>IF(ISBLANK('Control Entry'!I$35),"",'Control Entry'!I$35)</f>
        <v/>
      </c>
      <c r="H42" s="116"/>
      <c r="I42" s="117"/>
      <c r="J42" s="92"/>
    </row>
    <row r="43" spans="2:10" ht="40" customHeight="1" x14ac:dyDescent="0.25">
      <c r="B43" s="93" t="str">
        <f>IF(ISBLANK('Control Entry'!D$35),"",'Control Entry'!D$35)</f>
        <v/>
      </c>
      <c r="C43" s="94" t="str">
        <f>'Control Entry'!N$35</f>
        <v/>
      </c>
      <c r="D43" s="94" t="str">
        <f>'Control Entry'!O$35</f>
        <v/>
      </c>
      <c r="E43" s="91" t="str">
        <f>IF(ISBLANK('Control Entry'!E$35),"",'Control Entry'!E$35)</f>
        <v/>
      </c>
      <c r="F43" s="91" t="str">
        <f>IF(ISBLANK('Control Entry'!G$35),"",'Control Entry'!G$35)</f>
        <v/>
      </c>
      <c r="G43" s="118" t="str">
        <f>IF(ISBLANK('Control Entry'!J$35),"",'Control Entry'!J$35)</f>
        <v/>
      </c>
      <c r="H43" s="119"/>
      <c r="I43" s="120"/>
      <c r="J43" s="95"/>
    </row>
    <row r="44" spans="2:10" ht="40" customHeight="1" thickBot="1" x14ac:dyDescent="0.3">
      <c r="B44" s="96"/>
      <c r="C44" s="102" t="str">
        <f>'Control Entry'!N$35</f>
        <v/>
      </c>
      <c r="D44" s="102" t="str">
        <f>'Control Entry'!O$35</f>
        <v/>
      </c>
      <c r="E44" s="97"/>
      <c r="F44" s="98" t="str">
        <f>IF(ISBLANK('Control Entry'!H$35),"",'Control Entry'!H$35)</f>
        <v/>
      </c>
      <c r="G44" s="121" t="str">
        <f>IF(ISBLANK('Control Entry'!K$35),"",'Control Entry'!K$35)</f>
        <v/>
      </c>
      <c r="H44" s="122"/>
      <c r="I44" s="123"/>
      <c r="J44" s="99"/>
    </row>
    <row r="45" spans="2:10" ht="40" customHeight="1" x14ac:dyDescent="0.25">
      <c r="B45" s="89"/>
      <c r="C45" s="101" t="str">
        <f>'Control Entry'!N$36</f>
        <v/>
      </c>
      <c r="D45" s="101" t="str">
        <f>'Control Entry'!O$36</f>
        <v/>
      </c>
      <c r="E45" s="90"/>
      <c r="F45" s="91" t="str">
        <f>IF(ISBLANK('Control Entry'!F$36),"",'Control Entry'!F$36)</f>
        <v/>
      </c>
      <c r="G45" s="115" t="str">
        <f>IF(ISBLANK('Control Entry'!I$36),"",'Control Entry'!I$36)</f>
        <v/>
      </c>
      <c r="H45" s="116"/>
      <c r="I45" s="117"/>
      <c r="J45" s="92"/>
    </row>
    <row r="46" spans="2:10" ht="40" customHeight="1" x14ac:dyDescent="0.25">
      <c r="B46" s="93" t="str">
        <f>IF(ISBLANK('Control Entry'!D$36),"",'Control Entry'!D$36)</f>
        <v/>
      </c>
      <c r="C46" s="94" t="str">
        <f>'Control Entry'!N$36</f>
        <v/>
      </c>
      <c r="D46" s="94" t="str">
        <f>'Control Entry'!O$36</f>
        <v/>
      </c>
      <c r="E46" s="91" t="str">
        <f>IF(ISBLANK('Control Entry'!E$36),"",'Control Entry'!E$36)</f>
        <v/>
      </c>
      <c r="F46" s="91" t="str">
        <f>IF(ISBLANK('Control Entry'!G$36),"",'Control Entry'!G$36)</f>
        <v/>
      </c>
      <c r="G46" s="118" t="str">
        <f>IF(ISBLANK('Control Entry'!J$36),"",'Control Entry'!J$36)</f>
        <v/>
      </c>
      <c r="H46" s="119"/>
      <c r="I46" s="120"/>
      <c r="J46" s="95"/>
    </row>
    <row r="47" spans="2:10" ht="40" customHeight="1" thickBot="1" x14ac:dyDescent="0.3">
      <c r="B47" s="96"/>
      <c r="C47" s="102" t="str">
        <f>'Control Entry'!N$36</f>
        <v/>
      </c>
      <c r="D47" s="102" t="str">
        <f>'Control Entry'!O$36</f>
        <v/>
      </c>
      <c r="E47" s="97"/>
      <c r="F47" s="98" t="str">
        <f>IF(ISBLANK('Control Entry'!H$36),"",'Control Entry'!H$36)</f>
        <v/>
      </c>
      <c r="G47" s="121" t="str">
        <f>IF(ISBLANK('Control Entry'!K$36),"",'Control Entry'!K$36)</f>
        <v/>
      </c>
      <c r="H47" s="122"/>
      <c r="I47" s="123"/>
      <c r="J47" s="99"/>
    </row>
    <row r="48" spans="2:10" ht="40" customHeight="1" x14ac:dyDescent="0.25">
      <c r="B48" s="89"/>
      <c r="C48" s="101" t="str">
        <f>'Control Entry'!N$37</f>
        <v/>
      </c>
      <c r="D48" s="101" t="str">
        <f>'Control Entry'!O$37</f>
        <v/>
      </c>
      <c r="E48" s="90"/>
      <c r="F48" s="91" t="str">
        <f>IF(ISBLANK('Control Entry'!F$37),"",'Control Entry'!F$37)</f>
        <v/>
      </c>
      <c r="G48" s="115" t="str">
        <f>IF(ISBLANK('Control Entry'!I$37),"",'Control Entry'!I$37)</f>
        <v/>
      </c>
      <c r="H48" s="116"/>
      <c r="I48" s="117"/>
      <c r="J48" s="92"/>
    </row>
    <row r="49" spans="2:11" ht="40" customHeight="1" x14ac:dyDescent="0.25">
      <c r="B49" s="93" t="str">
        <f>IF(ISBLANK('Control Entry'!D$37),"",'Control Entry'!D$37)</f>
        <v/>
      </c>
      <c r="C49" s="94" t="str">
        <f>'Control Entry'!N$37</f>
        <v/>
      </c>
      <c r="D49" s="94" t="str">
        <f>'Control Entry'!O$37</f>
        <v/>
      </c>
      <c r="E49" s="91" t="str">
        <f>IF(ISBLANK('Control Entry'!E$37),"",'Control Entry'!E$37)</f>
        <v/>
      </c>
      <c r="F49" s="91" t="str">
        <f>IF(ISBLANK('Control Entry'!G$37),"",'Control Entry'!G$37)</f>
        <v/>
      </c>
      <c r="G49" s="118" t="str">
        <f>IF(ISBLANK('Control Entry'!J$37),"",'Control Entry'!J$37)</f>
        <v/>
      </c>
      <c r="H49" s="119"/>
      <c r="I49" s="120"/>
      <c r="J49" s="95"/>
    </row>
    <row r="50" spans="2:11" ht="40" customHeight="1" thickBot="1" x14ac:dyDescent="0.3">
      <c r="B50" s="96"/>
      <c r="C50" s="102" t="str">
        <f>'Control Entry'!N$37</f>
        <v/>
      </c>
      <c r="D50" s="102" t="str">
        <f>'Control Entry'!O$37</f>
        <v/>
      </c>
      <c r="E50" s="97"/>
      <c r="F50" s="98" t="str">
        <f>IF(ISBLANK('Control Entry'!H$37),"",'Control Entry'!H$37)</f>
        <v/>
      </c>
      <c r="G50" s="121" t="str">
        <f>IF(ISBLANK('Control Entry'!K$37),"",'Control Entry'!K$37)</f>
        <v/>
      </c>
      <c r="H50" s="122"/>
      <c r="I50" s="123"/>
      <c r="J50" s="99"/>
    </row>
    <row r="52" spans="2:11" ht="24" customHeight="1" x14ac:dyDescent="0.15">
      <c r="B52" s="124" t="s">
        <v>30</v>
      </c>
      <c r="C52" s="124"/>
      <c r="D52" s="124"/>
      <c r="E52" s="124"/>
      <c r="F52" s="124"/>
      <c r="I52" s="58" t="s">
        <v>56</v>
      </c>
      <c r="J52" s="81" t="str">
        <f>IF(ISBLANK('Control Entry'!F10),"",'Control Entry'!F10)</f>
        <v>‭(250) 213-3724‬</v>
      </c>
      <c r="K52" s="54"/>
    </row>
    <row r="54" spans="2:11" x14ac:dyDescent="0.15">
      <c r="B54" s="76" t="s">
        <v>59</v>
      </c>
      <c r="C54" s="77">
        <f>'Control Entry'!B3</f>
        <v>45428</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13"/>
      <c r="G57" s="114"/>
      <c r="H57" s="114"/>
      <c r="I57" s="114"/>
      <c r="J57" s="114"/>
    </row>
  </sheetData>
  <mergeCells count="50">
    <mergeCell ref="B52:F52"/>
    <mergeCell ref="F57:J57"/>
    <mergeCell ref="G45:I45"/>
    <mergeCell ref="G46:I46"/>
    <mergeCell ref="G47:I47"/>
    <mergeCell ref="G48:I48"/>
    <mergeCell ref="G49:I49"/>
    <mergeCell ref="G50:I50"/>
    <mergeCell ref="G44:I44"/>
    <mergeCell ref="G33:I33"/>
    <mergeCell ref="G34:I34"/>
    <mergeCell ref="G35:I35"/>
    <mergeCell ref="G36:I36"/>
    <mergeCell ref="G37:I37"/>
    <mergeCell ref="G38:I38"/>
    <mergeCell ref="G39:I39"/>
    <mergeCell ref="G40:I40"/>
    <mergeCell ref="G41:I41"/>
    <mergeCell ref="G42:I42"/>
    <mergeCell ref="G43:I43"/>
    <mergeCell ref="G32:I32"/>
    <mergeCell ref="G21:I21"/>
    <mergeCell ref="G22:I22"/>
    <mergeCell ref="G23:I23"/>
    <mergeCell ref="G24:I24"/>
    <mergeCell ref="G25:I25"/>
    <mergeCell ref="G26:I26"/>
    <mergeCell ref="G27:I27"/>
    <mergeCell ref="G28:I28"/>
    <mergeCell ref="G29:I29"/>
    <mergeCell ref="G30:I30"/>
    <mergeCell ref="G31:I31"/>
    <mergeCell ref="G20:I20"/>
    <mergeCell ref="B10:C10"/>
    <mergeCell ref="E10:G10"/>
    <mergeCell ref="L10:M10"/>
    <mergeCell ref="N10:O10"/>
    <mergeCell ref="D12:E12"/>
    <mergeCell ref="D14:E14"/>
    <mergeCell ref="C17:F17"/>
    <mergeCell ref="I17:J17"/>
    <mergeCell ref="L17:M17"/>
    <mergeCell ref="N17:O17"/>
    <mergeCell ref="B19:J19"/>
    <mergeCell ref="C2:F2"/>
    <mergeCell ref="E3:H3"/>
    <mergeCell ref="E4:H4"/>
    <mergeCell ref="E5:H6"/>
    <mergeCell ref="C7:F8"/>
    <mergeCell ref="H7:H8"/>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Card #1</vt:lpstr>
      <vt:lpstr>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'Card #2'!Print_Area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2024-12-29T02:54:00Z</cp:lastPrinted>
  <dcterms:created xsi:type="dcterms:W3CDTF">1997-11-12T04:43:39Z</dcterms:created>
  <dcterms:modified xsi:type="dcterms:W3CDTF">2024-12-29T02:54:14Z</dcterms:modified>
</cp:coreProperties>
</file>