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autoCompressPictures="0"/>
  <bookViews>
    <workbookView xWindow="0" yWindow="495" windowWidth="20730" windowHeight="11760" tabRatio="509" activeTab="1"/>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14210"/>
</workbook>
</file>

<file path=xl/calcChain.xml><?xml version="1.0" encoding="utf-8"?>
<calcChain xmlns="http://schemas.openxmlformats.org/spreadsheetml/2006/main">
  <c r="G50" i="8"/>
  <c r="G49"/>
  <c r="G48"/>
  <c r="F50"/>
  <c r="F49"/>
  <c r="F48"/>
  <c r="E49"/>
  <c r="B49"/>
  <c r="G47"/>
  <c r="G46"/>
  <c r="G45"/>
  <c r="F47"/>
  <c r="F46"/>
  <c r="F45"/>
  <c r="E46"/>
  <c r="B46"/>
  <c r="G44"/>
  <c r="G43"/>
  <c r="G42"/>
  <c r="F44"/>
  <c r="F43"/>
  <c r="F42"/>
  <c r="E43"/>
  <c r="B43"/>
  <c r="G41"/>
  <c r="G40"/>
  <c r="G39"/>
  <c r="F41"/>
  <c r="F40"/>
  <c r="F39"/>
  <c r="E40"/>
  <c r="B40"/>
  <c r="G38"/>
  <c r="G37"/>
  <c r="G36"/>
  <c r="F38"/>
  <c r="F37"/>
  <c r="F36"/>
  <c r="E37"/>
  <c r="B37"/>
  <c r="G35"/>
  <c r="G34"/>
  <c r="G33"/>
  <c r="F35"/>
  <c r="F34"/>
  <c r="F33"/>
  <c r="E34"/>
  <c r="B34"/>
  <c r="G32"/>
  <c r="G31"/>
  <c r="G30"/>
  <c r="F32"/>
  <c r="F31"/>
  <c r="F30"/>
  <c r="E31"/>
  <c r="B31"/>
  <c r="G29"/>
  <c r="G28"/>
  <c r="G26"/>
  <c r="G25"/>
  <c r="G27"/>
  <c r="F29"/>
  <c r="F28"/>
  <c r="F27"/>
  <c r="E28"/>
  <c r="B28"/>
  <c r="G24"/>
  <c r="F26"/>
  <c r="F25"/>
  <c r="F24"/>
  <c r="E25"/>
  <c r="B25"/>
  <c r="B22"/>
  <c r="G23"/>
  <c r="G22"/>
  <c r="G21"/>
  <c r="F23"/>
  <c r="F22"/>
  <c r="F21"/>
  <c r="E22"/>
  <c r="C54"/>
  <c r="J52"/>
  <c r="I12"/>
  <c r="F12"/>
  <c r="E5"/>
  <c r="E4"/>
  <c r="J3"/>
  <c r="J2"/>
  <c r="M37" i="1"/>
  <c r="O37"/>
  <c r="D49" i="8"/>
  <c r="L37" i="1"/>
  <c r="N37"/>
  <c r="C48" i="8"/>
  <c r="N36" i="1"/>
  <c r="C47" i="8"/>
  <c r="M36" i="1"/>
  <c r="O36"/>
  <c r="D47" i="8"/>
  <c r="L36" i="1"/>
  <c r="N35"/>
  <c r="C42" i="8"/>
  <c r="M35" i="1"/>
  <c r="O35"/>
  <c r="D43" i="8"/>
  <c r="L35" i="1"/>
  <c r="N34"/>
  <c r="C41" i="8"/>
  <c r="M34" i="1"/>
  <c r="O34"/>
  <c r="D41" i="8"/>
  <c r="L34" i="1"/>
  <c r="N33"/>
  <c r="C36" i="8"/>
  <c r="M33" i="1"/>
  <c r="O33"/>
  <c r="D37" i="8"/>
  <c r="L33" i="1"/>
  <c r="N32"/>
  <c r="C35" i="8"/>
  <c r="M32" i="1"/>
  <c r="O32"/>
  <c r="D35" i="8"/>
  <c r="L32" i="1"/>
  <c r="M31"/>
  <c r="O31"/>
  <c r="D31" i="8"/>
  <c r="L31" i="1"/>
  <c r="N31"/>
  <c r="C30" i="8"/>
  <c r="M30" i="1"/>
  <c r="O30"/>
  <c r="D28" i="8"/>
  <c r="L30" i="1"/>
  <c r="N30"/>
  <c r="C27" i="8"/>
  <c r="O29" i="1"/>
  <c r="D25" i="8"/>
  <c r="M29" i="1"/>
  <c r="L29"/>
  <c r="N29"/>
  <c r="C24" i="8"/>
  <c r="M28" i="1"/>
  <c r="L28"/>
  <c r="D50" i="8"/>
  <c r="C31"/>
  <c r="D44"/>
  <c r="D39"/>
  <c r="C43"/>
  <c r="C28"/>
  <c r="D32"/>
  <c r="D26"/>
  <c r="D38"/>
  <c r="C49"/>
  <c r="C25"/>
  <c r="D29"/>
  <c r="D33"/>
  <c r="C37"/>
  <c r="D45"/>
  <c r="C26"/>
  <c r="C29"/>
  <c r="C32"/>
  <c r="C33"/>
  <c r="D34"/>
  <c r="C38"/>
  <c r="C39"/>
  <c r="D40"/>
  <c r="C44"/>
  <c r="C45"/>
  <c r="D46"/>
  <c r="C50"/>
  <c r="D24"/>
  <c r="D27"/>
  <c r="D30"/>
  <c r="C34"/>
  <c r="D36"/>
  <c r="C40"/>
  <c r="D42"/>
  <c r="C46"/>
  <c r="D48"/>
  <c r="L7" i="1"/>
  <c r="E5" i="7"/>
  <c r="G50"/>
  <c r="G49"/>
  <c r="G48"/>
  <c r="G47"/>
  <c r="G46"/>
  <c r="G45"/>
  <c r="G44"/>
  <c r="G43"/>
  <c r="G42"/>
  <c r="G41"/>
  <c r="G40"/>
  <c r="G39"/>
  <c r="G38"/>
  <c r="G37"/>
  <c r="G36"/>
  <c r="G35"/>
  <c r="G34"/>
  <c r="G33"/>
  <c r="G32"/>
  <c r="G31"/>
  <c r="G30"/>
  <c r="G29"/>
  <c r="G28"/>
  <c r="G27"/>
  <c r="G26"/>
  <c r="G25"/>
  <c r="G24"/>
  <c r="G23"/>
  <c r="G22"/>
  <c r="G21"/>
  <c r="F50"/>
  <c r="F49"/>
  <c r="E49"/>
  <c r="B49"/>
  <c r="F48"/>
  <c r="F47"/>
  <c r="F46"/>
  <c r="E46"/>
  <c r="B46"/>
  <c r="F45"/>
  <c r="F44"/>
  <c r="F43"/>
  <c r="E43"/>
  <c r="B43"/>
  <c r="F42"/>
  <c r="F41"/>
  <c r="F40"/>
  <c r="E40"/>
  <c r="B40"/>
  <c r="F39"/>
  <c r="F38"/>
  <c r="F37"/>
  <c r="E37"/>
  <c r="B37"/>
  <c r="F36"/>
  <c r="F35"/>
  <c r="F34"/>
  <c r="E34"/>
  <c r="B34"/>
  <c r="F33"/>
  <c r="F32"/>
  <c r="F31"/>
  <c r="E31"/>
  <c r="B31"/>
  <c r="F30"/>
  <c r="F29"/>
  <c r="F28"/>
  <c r="E28"/>
  <c r="B28"/>
  <c r="F27"/>
  <c r="F26"/>
  <c r="F25"/>
  <c r="E25"/>
  <c r="B25"/>
  <c r="F24"/>
  <c r="F23"/>
  <c r="F22"/>
  <c r="E22"/>
  <c r="B22"/>
  <c r="F21"/>
  <c r="J52"/>
  <c r="I12"/>
  <c r="F12"/>
  <c r="J2"/>
  <c r="C54"/>
  <c r="J3"/>
  <c r="E4"/>
  <c r="L15" i="1"/>
  <c r="N15"/>
  <c r="C6"/>
  <c r="L24"/>
  <c r="L23"/>
  <c r="L22"/>
  <c r="L21"/>
  <c r="L20"/>
  <c r="L19"/>
  <c r="L18"/>
  <c r="L17"/>
  <c r="L16"/>
  <c r="N28"/>
  <c r="O28"/>
  <c r="M16"/>
  <c r="C22" i="7"/>
  <c r="C23"/>
  <c r="C21"/>
  <c r="B7" i="1"/>
  <c r="M21"/>
  <c r="O21"/>
  <c r="O16"/>
  <c r="M19"/>
  <c r="O19"/>
  <c r="M18"/>
  <c r="O18"/>
  <c r="M17"/>
  <c r="O17"/>
  <c r="M15"/>
  <c r="O15"/>
  <c r="N18"/>
  <c r="N22"/>
  <c r="N17"/>
  <c r="N21"/>
  <c r="N24"/>
  <c r="N16"/>
  <c r="N20"/>
  <c r="N19"/>
  <c r="N23"/>
  <c r="C21" i="8"/>
  <c r="C23"/>
  <c r="C22"/>
  <c r="D21"/>
  <c r="D22"/>
  <c r="D23"/>
  <c r="M24" i="1"/>
  <c r="O24"/>
  <c r="M23"/>
  <c r="O23"/>
  <c r="M20"/>
  <c r="O20"/>
  <c r="M22"/>
  <c r="O22"/>
  <c r="D29" i="7"/>
  <c r="D28"/>
  <c r="D27"/>
  <c r="C26"/>
  <c r="C25"/>
  <c r="C24"/>
  <c r="D26"/>
  <c r="D24"/>
  <c r="D25"/>
  <c r="C47"/>
  <c r="C45"/>
  <c r="C46"/>
  <c r="D41"/>
  <c r="D40"/>
  <c r="D39"/>
  <c r="C39"/>
  <c r="C41"/>
  <c r="C40"/>
  <c r="C43"/>
  <c r="C42"/>
  <c r="C44"/>
  <c r="C31"/>
  <c r="C32"/>
  <c r="C30"/>
  <c r="D23"/>
  <c r="D21"/>
  <c r="D22"/>
  <c r="C50"/>
  <c r="C49"/>
  <c r="C48"/>
  <c r="C35"/>
  <c r="C33"/>
  <c r="C34"/>
  <c r="C38"/>
  <c r="C37"/>
  <c r="C36"/>
  <c r="C29"/>
  <c r="C27"/>
  <c r="C28"/>
  <c r="D35"/>
  <c r="D33"/>
  <c r="D34"/>
  <c r="D31"/>
  <c r="D32"/>
  <c r="D30"/>
  <c r="D37"/>
  <c r="D47"/>
  <c r="D50"/>
  <c r="D44"/>
  <c r="D48"/>
  <c r="D49"/>
  <c r="D38"/>
  <c r="D36"/>
  <c r="D42"/>
  <c r="D46"/>
  <c r="D45"/>
  <c r="D43"/>
</calcChain>
</file>

<file path=xl/comments1.xml><?xml version="1.0" encoding="utf-8"?>
<comments xmlns="http://schemas.openxmlformats.org/spreadsheetml/2006/main">
  <authors>
    <author>Stephen Hinde</author>
    <author>A satisfied Microsoft Office user</author>
  </authors>
  <commentList>
    <comment ref="B4" authorId="0">
      <text>
        <r>
          <rPr>
            <b/>
            <sz val="10"/>
            <color indexed="8"/>
            <rFont val="Tahoma"/>
            <family val="2"/>
          </rPr>
          <t>Stephen Hinde:</t>
        </r>
        <r>
          <rPr>
            <sz val="10"/>
            <color indexed="8"/>
            <rFont val="Tahoma"/>
            <family val="2"/>
          </rPr>
          <t xml:space="preserve">Revision date of the brevet details on this sheet
</t>
        </r>
      </text>
    </comment>
    <comment ref="B6" authorId="0">
      <text>
        <r>
          <rPr>
            <b/>
            <sz val="10"/>
            <color indexed="8"/>
            <rFont val="Tahoma"/>
            <family val="2"/>
          </rPr>
          <t>Stephen Hinde:</t>
        </r>
        <r>
          <rPr>
            <sz val="10"/>
            <color indexed="8"/>
            <rFont val="Tahoma"/>
            <family val="2"/>
          </rPr>
          <t xml:space="preserve">
</t>
        </r>
        <r>
          <rPr>
            <sz val="10"/>
            <color indexed="8"/>
            <rFont val="Tahoma"/>
            <family val="2"/>
          </rPr>
          <t xml:space="preserve">Nominal ACP distance
</t>
        </r>
        <r>
          <rPr>
            <sz val="10"/>
            <color indexed="8"/>
            <rFont val="Tahoma"/>
            <family val="2"/>
          </rPr>
          <t xml:space="preserve">1200, 1000, 600, 400, 300, 200, 150, 100, 50, 25
</t>
        </r>
      </text>
    </comment>
    <comment ref="B7" authorId="1">
      <text>
        <r>
          <rPr>
            <sz val="8"/>
            <color indexed="8"/>
            <rFont val="Tahoma"/>
            <family val="2"/>
          </rPr>
          <t>Autocalculated based on ACP specified times</t>
        </r>
      </text>
    </comment>
    <comment ref="B8" authorId="0">
      <text>
        <r>
          <rPr>
            <b/>
            <sz val="10"/>
            <color indexed="8"/>
            <rFont val="Tahoma"/>
            <family val="2"/>
          </rPr>
          <t>Stephen Hinde:</t>
        </r>
        <r>
          <rPr>
            <sz val="10"/>
            <color indexed="8"/>
            <rFont val="Tahoma"/>
            <family val="2"/>
          </rPr>
          <t xml:space="preserve">
</t>
        </r>
        <r>
          <rPr>
            <sz val="10"/>
            <color indexed="8"/>
            <rFont val="Tahoma"/>
            <family val="2"/>
          </rPr>
          <t xml:space="preserve">Name of event
</t>
        </r>
      </text>
    </comment>
    <comment ref="B9" authorId="0">
      <text>
        <r>
          <rPr>
            <b/>
            <sz val="10"/>
            <color indexed="8"/>
            <rFont val="Tahoma"/>
            <family val="2"/>
          </rPr>
          <t>Stephen Hinde:</t>
        </r>
        <r>
          <rPr>
            <sz val="10"/>
            <color indexed="8"/>
            <rFont val="Tahoma"/>
            <family val="2"/>
          </rPr>
          <t xml:space="preserve">
</t>
        </r>
        <r>
          <rPr>
            <sz val="10"/>
            <color indexed="8"/>
            <rFont val="Tahoma"/>
            <family val="2"/>
          </rPr>
          <t>On event page</t>
        </r>
      </text>
    </comment>
    <comment ref="B10" authorId="0">
      <text>
        <r>
          <rPr>
            <b/>
            <sz val="10"/>
            <color indexed="8"/>
            <rFont val="Tahoma"/>
            <family val="2"/>
          </rPr>
          <t>Stephen Hinde:</t>
        </r>
        <r>
          <rPr>
            <sz val="10"/>
            <color indexed="8"/>
            <rFont val="Tahoma"/>
            <family val="2"/>
          </rPr>
          <t xml:space="preserve">
</t>
        </r>
        <r>
          <rPr>
            <sz val="10"/>
            <color indexed="8"/>
            <rFont val="Tahoma"/>
            <family val="2"/>
          </rPr>
          <t>Official ACP date</t>
        </r>
      </text>
    </comment>
    <comment ref="F10" authorId="0">
      <text>
        <r>
          <rPr>
            <b/>
            <sz val="10"/>
            <color indexed="8"/>
            <rFont val="Tahoma"/>
            <family val="2"/>
          </rPr>
          <t>Stephen Hinde:</t>
        </r>
        <r>
          <rPr>
            <sz val="10"/>
            <color indexed="8"/>
            <rFont val="Tahoma"/>
            <family val="2"/>
          </rPr>
          <t xml:space="preserve">
</t>
        </r>
        <r>
          <rPr>
            <sz val="10"/>
            <color indexed="8"/>
            <rFont val="Tahoma"/>
            <family val="2"/>
          </rPr>
          <t xml:space="preserve">Optional.  </t>
        </r>
      </text>
    </comment>
    <comment ref="B12" authorId="0">
      <text>
        <r>
          <rPr>
            <b/>
            <sz val="10"/>
            <color indexed="8"/>
            <rFont val="Tahoma"/>
            <family val="2"/>
          </rPr>
          <t>Stephen Hinde:</t>
        </r>
        <r>
          <rPr>
            <sz val="10"/>
            <color indexed="8"/>
            <rFont val="Tahoma"/>
            <family val="2"/>
          </rPr>
          <t xml:space="preserve">
</t>
        </r>
        <r>
          <rPr>
            <sz val="10"/>
            <color indexed="8"/>
            <rFont val="Tahoma"/>
            <family val="2"/>
          </rPr>
          <t xml:space="preserve">Ride date
</t>
        </r>
      </text>
    </comment>
    <comment ref="B13" authorId="0">
      <text>
        <r>
          <rPr>
            <b/>
            <sz val="10"/>
            <color indexed="8"/>
            <rFont val="Tahoma"/>
            <family val="2"/>
          </rPr>
          <t>Stephen Hinde:</t>
        </r>
        <r>
          <rPr>
            <sz val="10"/>
            <color indexed="8"/>
            <rFont val="Tahoma"/>
            <family val="2"/>
          </rPr>
          <t xml:space="preserve">
</t>
        </r>
        <r>
          <rPr>
            <sz val="10"/>
            <color indexed="8"/>
            <rFont val="Tahoma"/>
            <family val="2"/>
          </rPr>
          <t xml:space="preserve">24hr clock format
</t>
        </r>
        <r>
          <rPr>
            <sz val="10"/>
            <color indexed="8"/>
            <rFont val="Tahoma"/>
            <family val="2"/>
          </rPr>
          <t>hh:mm</t>
        </r>
      </text>
    </comment>
    <comment ref="F14" authorId="0">
      <text>
        <r>
          <rPr>
            <b/>
            <sz val="10"/>
            <color indexed="8"/>
            <rFont val="Tahoma"/>
            <family val="2"/>
          </rPr>
          <t>Stephen Hinde:</t>
        </r>
        <r>
          <rPr>
            <sz val="10"/>
            <color indexed="8"/>
            <rFont val="Tahoma"/>
            <family val="2"/>
          </rPr>
          <t xml:space="preserve">
</t>
        </r>
        <r>
          <rPr>
            <sz val="10"/>
            <color indexed="8"/>
            <rFont val="Tahoma"/>
            <family val="2"/>
          </rPr>
          <t xml:space="preserve">It is recommended to put the type of control in this space ie 
</t>
        </r>
        <r>
          <rPr>
            <sz val="10"/>
            <color indexed="8"/>
            <rFont val="Tahoma"/>
            <family val="2"/>
          </rPr>
          <t xml:space="preserve">STAFFED
</t>
        </r>
        <r>
          <rPr>
            <sz val="10"/>
            <color indexed="8"/>
            <rFont val="Tahoma"/>
            <family val="2"/>
          </rPr>
          <t xml:space="preserve">BUSINESS INFORMATION
</t>
        </r>
        <r>
          <rPr>
            <sz val="10"/>
            <color indexed="8"/>
            <rFont val="Tahoma"/>
            <family val="2"/>
          </rPr>
          <t>SELF CHECK</t>
        </r>
      </text>
    </comment>
  </commentList>
</comments>
</file>

<file path=xl/sharedStrings.xml><?xml version="1.0" encoding="utf-8"?>
<sst xmlns="http://schemas.openxmlformats.org/spreadsheetml/2006/main" count="151" uniqueCount="108">
  <si>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</si>
  <si>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</si>
  <si>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</si>
  <si>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</si>
  <si>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</si>
  <si>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</si>
  <si>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</si>
  <si>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</si>
  <si>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</si>
  <si>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</si>
  <si>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</si>
  <si>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</si>
  <si>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</si>
  <si>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</si>
  <si>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</si>
  <si>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</si>
  <si>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</si>
  <si>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</si>
  <si>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</si>
  <si>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</si>
  <si>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</si>
  <si>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</si>
  <si>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</si>
  <si>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</si>
  <si>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</si>
  <si>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</si>
  <si>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</si>
  <si>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</si>
  <si>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</si>
  <si>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</si>
  <si>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</si>
  <si>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</si>
  <si>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</si>
  <si>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</si>
  <si>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</si>
  <si>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</si>
  <si>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</si>
  <si>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</si>
  <si>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</si>
  <si>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</si>
  <si>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</si>
  <si>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</si>
  <si>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</si>
  <si>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</si>
  <si>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</si>
  <si>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</si>
  <si>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</si>
  <si>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</si>
  <si>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</si>
  <si>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</si>
  <si>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</si>
  <si>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</si>
  <si>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</si>
  <si>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</si>
  <si>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</si>
  <si>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</si>
  <si>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</si>
  <si>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</si>
  <si>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</si>
  <si>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</si>
  <si>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</si>
  <si>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</si>
  <si>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</si>
  <si>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</si>
  <si>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</si>
  <si>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</si>
  <si>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</si>
  <si>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</si>
  <si>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</si>
  <si>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</si>
  <si>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</si>
  <si>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</si>
  <si>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</si>
  <si>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</si>
  <si>
    <t>778-875-6221</t>
  </si>
  <si>
    <t>35483 Hartley Rd</t>
  </si>
  <si>
    <t>Farmer's Institute</t>
  </si>
  <si>
    <t>Riley Park</t>
  </si>
  <si>
    <t>Ontario St &amp;</t>
  </si>
  <si>
    <t>E 30th Ave</t>
  </si>
  <si>
    <t>49265 Elk View Rd</t>
  </si>
  <si>
    <t>1154 Fadden Rd</t>
  </si>
  <si>
    <t>Birchwood Dairy</t>
  </si>
  <si>
    <t>Fort Langley</t>
  </si>
  <si>
    <t>Sprott St</t>
  </si>
  <si>
    <t>Sperling Ave &amp;</t>
  </si>
  <si>
    <t>3835 Main St</t>
  </si>
  <si>
    <t>Ryder Hatzic Hill LM300-1</t>
  </si>
  <si>
    <t xml:space="preserve">Mc Connell Creek </t>
  </si>
  <si>
    <t>Burnaby Lake Washrooms</t>
  </si>
  <si>
    <t xml:space="preserve">Bulletin Board Posting </t>
  </si>
  <si>
    <t>Musical "A _____ Carol"</t>
  </si>
  <si>
    <t>Community Bulletin Board</t>
  </si>
  <si>
    <t>Sumas Mtn Rd</t>
  </si>
  <si>
    <t xml:space="preserve"> (just past corner of Dawson)</t>
  </si>
  <si>
    <t>"Horse Board &amp; ____ Service"</t>
  </si>
  <si>
    <t>Ryder Lake Park</t>
  </si>
  <si>
    <t>opposite Hall</t>
  </si>
  <si>
    <t>Antique Car</t>
  </si>
  <si>
    <t>Licence Plate #?</t>
  </si>
  <si>
    <t>NE Sidewalk</t>
  </si>
  <si>
    <t>Mavis &amp; Glover</t>
  </si>
  <si>
    <t>"Palisade Block ca. ____"</t>
  </si>
  <si>
    <t># of Changerooms?</t>
  </si>
  <si>
    <t>4210 Main St</t>
  </si>
  <si>
    <t>"The Main" Pub</t>
  </si>
  <si>
    <t>by Washrooms</t>
  </si>
  <si>
    <t>(closes at 12am)</t>
  </si>
</sst>
</file>

<file path=xl/styles.xml><?xml version="1.0" encoding="utf-8"?>
<styleSheet xmlns="http://schemas.openxmlformats.org/spreadsheetml/2006/main">
  <numFmts count="6">
    <numFmt numFmtId="164" formatCode="dd/mmm/yy\ hh:mm\ AM/PM"/>
    <numFmt numFmtId="165" formatCode="d/mmm/yy"/>
    <numFmt numFmtId="166" formatCode="dddd"/>
    <numFmt numFmtId="167" formatCode="0.0"/>
    <numFmt numFmtId="168" formatCode="mmmm\ d\,\ yyyy"/>
    <numFmt numFmtId="169" formatCode="[&lt;=9999999]###\-####;###\-###\-####"/>
  </numFmts>
  <fonts count="32">
    <font>
      <sz val="10"/>
      <name val="Arial"/>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b/>
      <sz val="16"/>
      <name val="Arial"/>
      <family val="2"/>
    </font>
    <font>
      <sz val="8"/>
      <color indexed="8"/>
      <name val="Tahoma"/>
      <family val="2"/>
    </font>
    <font>
      <i/>
      <sz val="16"/>
      <name val="Arial"/>
      <family val="2"/>
    </font>
    <font>
      <b/>
      <i/>
      <sz val="16"/>
      <name val="Arial"/>
      <family val="2"/>
    </font>
    <font>
      <sz val="16"/>
      <name val="Arial Narrow"/>
      <family val="2"/>
    </font>
    <font>
      <sz val="10"/>
      <color indexed="8"/>
      <name val="Tahoma"/>
      <family val="2"/>
    </font>
    <font>
      <b/>
      <sz val="10"/>
      <color indexed="8"/>
      <name val="Tahoma"/>
      <family val="2"/>
    </font>
    <font>
      <sz val="10"/>
      <name val="Arial Narrow"/>
      <family val="2"/>
    </font>
    <font>
      <sz val="16"/>
      <color indexed="10"/>
      <name val="Arial"/>
      <family val="2"/>
    </font>
    <font>
      <sz val="9"/>
      <name val="Arial"/>
      <family val="2"/>
    </font>
    <font>
      <sz val="11"/>
      <name val="Arial Narrow"/>
      <family val="2"/>
    </font>
    <font>
      <sz val="22"/>
      <name val="Arial"/>
      <family val="2"/>
    </font>
    <font>
      <b/>
      <sz val="18"/>
      <name val="Arial"/>
      <family val="2"/>
    </font>
    <font>
      <sz val="14"/>
      <color indexed="10"/>
      <name val="Arial"/>
      <family val="2"/>
    </font>
    <font>
      <sz val="11"/>
      <name val="Arial"/>
      <family val="2"/>
    </font>
    <font>
      <sz val="11"/>
      <color indexed="10"/>
      <name val="Arial"/>
      <family val="2"/>
    </font>
    <font>
      <b/>
      <sz val="22"/>
      <name val="Arial"/>
      <family val="2"/>
    </font>
    <font>
      <sz val="20"/>
      <name val="Arial Narrow"/>
      <family val="2"/>
    </font>
    <font>
      <b/>
      <sz val="20"/>
      <name val="Arial Narrow"/>
      <family val="2"/>
    </font>
    <font>
      <sz val="8"/>
      <name val="Arial"/>
    </font>
    <font>
      <sz val="11"/>
      <color theme="1"/>
      <name val="Calibri"/>
      <family val="2"/>
      <scheme val="minor"/>
    </font>
    <font>
      <sz val="12"/>
      <color theme="1"/>
      <name val="Calibri"/>
      <family val="2"/>
      <scheme val="minor"/>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double">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s>
  <cellStyleXfs count="7">
    <xf numFmtId="0" fontId="0" fillId="0" borderId="0"/>
    <xf numFmtId="0" fontId="30" fillId="0" borderId="0"/>
    <xf numFmtId="0" fontId="31" fillId="0" borderId="0"/>
    <xf numFmtId="0" fontId="31" fillId="0" borderId="0"/>
    <xf numFmtId="0" fontId="31" fillId="0" borderId="0"/>
    <xf numFmtId="0" fontId="31" fillId="0" borderId="0"/>
    <xf numFmtId="0" fontId="1" fillId="0" borderId="0"/>
  </cellStyleXfs>
  <cellXfs count="155">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 xfId="0" applyFill="1" applyBorder="1"/>
    <xf numFmtId="0" fontId="0" fillId="2" borderId="2" xfId="0" applyFill="1" applyBorder="1"/>
    <xf numFmtId="0" fontId="0" fillId="2" borderId="3" xfId="0" applyFill="1" applyBorder="1"/>
    <xf numFmtId="0" fontId="3" fillId="2" borderId="4" xfId="0" applyFont="1" applyFill="1" applyBorder="1" applyAlignment="1">
      <alignment horizontal="center"/>
    </xf>
    <xf numFmtId="0" fontId="0" fillId="2" borderId="5" xfId="0" applyFill="1" applyBorder="1" applyAlignment="1">
      <alignment horizontal="right"/>
    </xf>
    <xf numFmtId="0" fontId="0" fillId="2" borderId="6" xfId="0" applyFill="1" applyBorder="1" applyAlignment="1">
      <alignment horizontal="right"/>
    </xf>
    <xf numFmtId="0" fontId="0" fillId="2" borderId="7" xfId="0" applyFill="1" applyBorder="1" applyAlignment="1">
      <alignment horizontal="right"/>
    </xf>
    <xf numFmtId="0" fontId="0" fillId="0" borderId="0" xfId="0" applyAlignment="1">
      <alignment vertical="top" textRotation="90"/>
    </xf>
    <xf numFmtId="0" fontId="0" fillId="0" borderId="0" xfId="0" applyProtection="1"/>
    <xf numFmtId="0" fontId="0" fillId="0" borderId="0"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8" xfId="0" applyNumberFormat="1" applyBorder="1" applyProtection="1">
      <protection locked="0"/>
    </xf>
    <xf numFmtId="0" fontId="0" fillId="0" borderId="0" xfId="0" applyBorder="1" applyAlignment="1">
      <alignment horizontal="center"/>
    </xf>
    <xf numFmtId="0" fontId="0" fillId="0" borderId="0" xfId="0" applyBorder="1"/>
    <xf numFmtId="0" fontId="6" fillId="0" borderId="0" xfId="0" applyFont="1" applyBorder="1" applyAlignment="1" applyProtection="1">
      <alignment horizontal="right"/>
    </xf>
    <xf numFmtId="0" fontId="1" fillId="2" borderId="7" xfId="0" applyFont="1" applyFill="1" applyBorder="1" applyAlignment="1">
      <alignment horizontal="right"/>
    </xf>
    <xf numFmtId="0" fontId="6" fillId="0" borderId="0" xfId="0" applyFont="1" applyAlignment="1">
      <alignment vertical="center"/>
    </xf>
    <xf numFmtId="167" fontId="0" fillId="0" borderId="9" xfId="0" applyNumberFormat="1" applyBorder="1" applyProtection="1">
      <protection locked="0"/>
    </xf>
    <xf numFmtId="168" fontId="6" fillId="0" borderId="0" xfId="0" applyNumberFormat="1" applyFont="1" applyBorder="1" applyAlignment="1">
      <alignment horizontal="center"/>
    </xf>
    <xf numFmtId="0" fontId="6" fillId="0" borderId="0" xfId="0" applyFont="1" applyBorder="1" applyAlignment="1">
      <alignment horizontal="center"/>
    </xf>
    <xf numFmtId="18" fontId="14" fillId="0" borderId="0" xfId="0" applyNumberFormat="1" applyFont="1" applyBorder="1" applyAlignment="1">
      <alignment horizontal="center" wrapText="1"/>
    </xf>
    <xf numFmtId="0" fontId="17" fillId="2" borderId="2" xfId="0" applyFont="1" applyFill="1" applyBorder="1"/>
    <xf numFmtId="0" fontId="17" fillId="2" borderId="3" xfId="0" applyFont="1" applyFill="1" applyBorder="1"/>
    <xf numFmtId="167" fontId="0" fillId="0" borderId="10" xfId="0" applyNumberFormat="1" applyBorder="1" applyProtection="1">
      <protection locked="0"/>
    </xf>
    <xf numFmtId="0" fontId="8" fillId="0" borderId="11" xfId="0" applyFont="1" applyBorder="1" applyProtection="1">
      <protection locked="0"/>
    </xf>
    <xf numFmtId="49" fontId="8" fillId="0" borderId="11" xfId="0" applyNumberFormat="1" applyFont="1" applyBorder="1" applyAlignment="1" applyProtection="1">
      <alignment horizontal="center"/>
      <protection locked="0"/>
    </xf>
    <xf numFmtId="49" fontId="8" fillId="0" borderId="12" xfId="0" applyNumberFormat="1" applyFont="1" applyBorder="1" applyAlignment="1" applyProtection="1">
      <alignment horizontal="center"/>
      <protection locked="0"/>
    </xf>
    <xf numFmtId="0" fontId="8" fillId="0" borderId="13" xfId="0" applyFont="1" applyBorder="1" applyProtection="1">
      <protection locked="0"/>
    </xf>
    <xf numFmtId="1" fontId="8" fillId="0" borderId="14" xfId="0" applyNumberFormat="1" applyFont="1" applyBorder="1" applyProtection="1">
      <protection locked="0"/>
    </xf>
    <xf numFmtId="15" fontId="8" fillId="0" borderId="14" xfId="0" applyNumberFormat="1" applyFont="1" applyBorder="1" applyProtection="1">
      <protection locked="0"/>
    </xf>
    <xf numFmtId="20" fontId="8" fillId="0" borderId="12" xfId="0" applyNumberFormat="1" applyFont="1" applyBorder="1" applyProtection="1">
      <protection locked="0"/>
    </xf>
    <xf numFmtId="0" fontId="1" fillId="0" borderId="15" xfId="0" applyFont="1" applyBorder="1" applyProtection="1">
      <protection locked="0"/>
    </xf>
    <xf numFmtId="49" fontId="1" fillId="0" borderId="15" xfId="0" applyNumberFormat="1" applyFont="1" applyBorder="1" applyAlignment="1" applyProtection="1">
      <alignment horizontal="center"/>
      <protection locked="0"/>
    </xf>
    <xf numFmtId="49" fontId="1" fillId="0" borderId="14" xfId="0" applyNumberFormat="1" applyFont="1" applyBorder="1" applyAlignment="1" applyProtection="1">
      <alignment horizontal="center"/>
      <protection locked="0"/>
    </xf>
    <xf numFmtId="0" fontId="1" fillId="0" borderId="16" xfId="0" applyFont="1" applyBorder="1" applyProtection="1">
      <protection locked="0"/>
    </xf>
    <xf numFmtId="0" fontId="6" fillId="0" borderId="0" xfId="0" applyFont="1" applyAlignment="1">
      <alignment horizontal="center"/>
    </xf>
    <xf numFmtId="167" fontId="0" fillId="0" borderId="0" xfId="0" applyNumberFormat="1"/>
    <xf numFmtId="0" fontId="5" fillId="0" borderId="0" xfId="0" applyFont="1" applyAlignment="1"/>
    <xf numFmtId="0" fontId="1" fillId="0" borderId="0" xfId="0" applyFont="1"/>
    <xf numFmtId="0" fontId="0" fillId="2" borderId="17" xfId="0" applyFill="1" applyBorder="1" applyAlignment="1">
      <alignment horizontal="right"/>
    </xf>
    <xf numFmtId="15" fontId="8" fillId="0" borderId="18" xfId="0" applyNumberFormat="1" applyFont="1" applyBorder="1" applyProtection="1">
      <protection locked="0"/>
    </xf>
    <xf numFmtId="0" fontId="1" fillId="2" borderId="19" xfId="0" applyFont="1" applyFill="1" applyBorder="1" applyAlignment="1">
      <alignment horizontal="right"/>
    </xf>
    <xf numFmtId="0" fontId="0" fillId="0" borderId="0" xfId="0" applyAlignment="1"/>
    <xf numFmtId="0" fontId="1" fillId="0" borderId="0" xfId="0" applyFont="1" applyAlignment="1"/>
    <xf numFmtId="0" fontId="1" fillId="0" borderId="0" xfId="0" applyFont="1" applyAlignment="1">
      <alignment wrapText="1"/>
    </xf>
    <xf numFmtId="0" fontId="0" fillId="0" borderId="0" xfId="0" applyProtection="1">
      <protection locked="0"/>
    </xf>
    <xf numFmtId="15" fontId="20" fillId="0" borderId="14" xfId="0" applyNumberFormat="1" applyFont="1" applyBorder="1" applyAlignment="1" applyProtection="1">
      <alignment horizontal="center"/>
      <protection locked="0"/>
    </xf>
    <xf numFmtId="0" fontId="19" fillId="2" borderId="19" xfId="0" applyFont="1" applyFill="1" applyBorder="1" applyAlignment="1">
      <alignment horizontal="right"/>
    </xf>
    <xf numFmtId="0" fontId="19" fillId="0" borderId="0" xfId="0" applyFont="1" applyAlignment="1"/>
    <xf numFmtId="0" fontId="19" fillId="0" borderId="0" xfId="0" applyFont="1"/>
    <xf numFmtId="0" fontId="19" fillId="0" borderId="0" xfId="0" applyFont="1" applyAlignment="1">
      <alignment wrapText="1"/>
    </xf>
    <xf numFmtId="0" fontId="3" fillId="2" borderId="4" xfId="0" applyFont="1" applyFill="1" applyBorder="1" applyAlignment="1">
      <alignment horizontal="center" wrapText="1"/>
    </xf>
    <xf numFmtId="0" fontId="6" fillId="0" borderId="0" xfId="0" applyFont="1" applyAlignment="1">
      <alignment vertical="center" wrapText="1"/>
    </xf>
    <xf numFmtId="0" fontId="10" fillId="0" borderId="0" xfId="0" applyFont="1" applyAlignment="1"/>
    <xf numFmtId="0" fontId="6" fillId="0" borderId="0" xfId="0" applyFont="1" applyAlignment="1">
      <alignment horizontal="right"/>
    </xf>
    <xf numFmtId="0" fontId="6" fillId="0" borderId="0" xfId="0" applyFont="1" applyBorder="1" applyAlignment="1" applyProtection="1">
      <protection locked="0"/>
    </xf>
    <xf numFmtId="0" fontId="7" fillId="0" borderId="0" xfId="0" applyFont="1" applyAlignment="1">
      <alignment vertical="center"/>
    </xf>
    <xf numFmtId="0" fontId="2" fillId="0" borderId="0" xfId="0" applyFont="1" applyAlignment="1">
      <alignment vertical="top"/>
    </xf>
    <xf numFmtId="0" fontId="1" fillId="0" borderId="0" xfId="0" applyFont="1" applyBorder="1" applyAlignment="1">
      <alignment vertical="top"/>
    </xf>
    <xf numFmtId="0" fontId="0" fillId="0" borderId="0" xfId="0" applyBorder="1" applyAlignment="1">
      <alignment vertical="top"/>
    </xf>
    <xf numFmtId="0" fontId="7" fillId="0" borderId="0" xfId="0" applyFont="1" applyAlignment="1">
      <alignment horizontal="right" vertical="center"/>
    </xf>
    <xf numFmtId="0" fontId="1" fillId="0" borderId="0" xfId="0" applyFont="1" applyBorder="1" applyAlignment="1">
      <alignment horizontal="right"/>
    </xf>
    <xf numFmtId="0" fontId="7" fillId="0" borderId="0" xfId="0" applyFont="1" applyAlignment="1">
      <alignment horizontal="left" vertical="center"/>
    </xf>
    <xf numFmtId="0" fontId="7" fillId="0" borderId="20" xfId="0" applyFont="1" applyBorder="1" applyAlignment="1">
      <alignment horizontal="right" vertical="center"/>
    </xf>
    <xf numFmtId="0" fontId="7" fillId="0" borderId="20" xfId="0" applyFont="1" applyBorder="1" applyAlignment="1">
      <alignment vertical="center"/>
    </xf>
    <xf numFmtId="0" fontId="7" fillId="0" borderId="20" xfId="0" applyFont="1" applyBorder="1" applyAlignment="1">
      <alignment horizontal="left" vertical="center"/>
    </xf>
    <xf numFmtId="0" fontId="6" fillId="0" borderId="0" xfId="0" quotePrefix="1" applyFont="1" applyAlignment="1">
      <alignment horizontal="left" vertical="center"/>
    </xf>
    <xf numFmtId="0" fontId="6" fillId="0" borderId="0" xfId="0" applyFont="1" applyAlignment="1" applyProtection="1">
      <alignment horizontal="right"/>
    </xf>
    <xf numFmtId="0" fontId="0" fillId="0" borderId="11" xfId="0" applyBorder="1" applyAlignment="1" applyProtection="1">
      <protection locked="0"/>
    </xf>
    <xf numFmtId="0" fontId="0" fillId="0" borderId="0" xfId="0" applyBorder="1" applyAlignment="1" applyProtection="1">
      <protection locked="0"/>
    </xf>
    <xf numFmtId="0" fontId="21" fillId="0" borderId="0" xfId="0" applyFont="1" applyAlignment="1">
      <alignment horizontal="right" vertical="center"/>
    </xf>
    <xf numFmtId="0" fontId="10" fillId="0" borderId="0" xfId="0" applyFont="1" applyAlignment="1">
      <alignment vertical="top"/>
    </xf>
    <xf numFmtId="0" fontId="7" fillId="0" borderId="0" xfId="0" applyFont="1" applyBorder="1" applyAlignment="1">
      <alignment horizontal="right" vertical="center"/>
    </xf>
    <xf numFmtId="0" fontId="7" fillId="0" borderId="0" xfId="0" applyFont="1" applyBorder="1" applyAlignment="1">
      <alignment vertical="center"/>
    </xf>
    <xf numFmtId="0" fontId="7" fillId="0" borderId="0" xfId="0" applyFont="1" applyBorder="1" applyAlignment="1">
      <alignment horizontal="left" vertical="center"/>
    </xf>
    <xf numFmtId="18" fontId="14" fillId="0" borderId="11" xfId="0" applyNumberFormat="1" applyFont="1" applyBorder="1" applyAlignment="1">
      <alignment horizontal="center" wrapText="1"/>
    </xf>
    <xf numFmtId="168" fontId="6" fillId="0" borderId="11" xfId="0" applyNumberFormat="1" applyFont="1" applyBorder="1" applyAlignment="1" applyProtection="1">
      <alignment horizontal="center"/>
      <protection locked="0"/>
    </xf>
    <xf numFmtId="0" fontId="6" fillId="0" borderId="0" xfId="0" applyFont="1" applyAlignment="1">
      <alignment horizontal="left" vertical="center"/>
    </xf>
    <xf numFmtId="0" fontId="21" fillId="0" borderId="0" xfId="0" applyFont="1" applyAlignment="1">
      <alignment horizontal="left" vertical="center"/>
    </xf>
    <xf numFmtId="15" fontId="19" fillId="2" borderId="13" xfId="0" applyNumberFormat="1" applyFont="1" applyFill="1" applyBorder="1" applyAlignment="1">
      <alignment horizontal="center"/>
    </xf>
    <xf numFmtId="168" fontId="6" fillId="0" borderId="0" xfId="0" applyNumberFormat="1" applyFont="1" applyBorder="1" applyAlignment="1" applyProtection="1">
      <alignment horizontal="center"/>
      <protection locked="0"/>
    </xf>
    <xf numFmtId="0" fontId="10" fillId="0" borderId="0" xfId="0" applyFont="1" applyAlignment="1">
      <alignment vertical="center" wrapText="1"/>
    </xf>
    <xf numFmtId="0" fontId="0" fillId="0" borderId="0" xfId="0" applyBorder="1" applyAlignment="1">
      <alignment horizontal="left"/>
    </xf>
    <xf numFmtId="0" fontId="1" fillId="0" borderId="0" xfId="0" applyFont="1" applyAlignment="1">
      <alignment horizontal="right" vertical="top"/>
    </xf>
    <xf numFmtId="15" fontId="1" fillId="0" borderId="0" xfId="0" applyNumberFormat="1" applyFont="1" applyBorder="1" applyAlignment="1">
      <alignment horizontal="left"/>
    </xf>
    <xf numFmtId="0" fontId="3" fillId="0" borderId="0" xfId="0" applyFont="1" applyAlignment="1">
      <alignment horizontal="right" vertical="top"/>
    </xf>
    <xf numFmtId="15" fontId="3" fillId="0" borderId="0" xfId="0" applyNumberFormat="1" applyFont="1" applyAlignment="1">
      <alignment horizontal="left"/>
    </xf>
    <xf numFmtId="0" fontId="1" fillId="2" borderId="18" xfId="0" applyFont="1" applyFill="1" applyBorder="1" applyAlignment="1">
      <alignment horizontal="right" vertical="center"/>
    </xf>
    <xf numFmtId="169" fontId="7" fillId="0" borderId="0" xfId="0" applyNumberFormat="1" applyFont="1" applyAlignment="1">
      <alignment vertical="center"/>
    </xf>
    <xf numFmtId="169" fontId="0" fillId="0" borderId="18" xfId="0" applyNumberFormat="1" applyBorder="1" applyAlignment="1" applyProtection="1">
      <alignment horizontal="left"/>
      <protection locked="0"/>
    </xf>
    <xf numFmtId="0" fontId="0" fillId="2" borderId="21" xfId="0" applyFill="1" applyBorder="1" applyAlignment="1">
      <alignment horizontal="right"/>
    </xf>
    <xf numFmtId="0" fontId="0" fillId="2" borderId="22" xfId="0" applyFill="1" applyBorder="1"/>
    <xf numFmtId="0" fontId="8" fillId="0" borderId="0" xfId="0" applyFont="1" applyBorder="1" applyAlignment="1" applyProtection="1">
      <protection locked="0"/>
    </xf>
    <xf numFmtId="0" fontId="25" fillId="0" borderId="0" xfId="0" applyFont="1"/>
    <xf numFmtId="0" fontId="24" fillId="0" borderId="0" xfId="0" applyFont="1"/>
    <xf numFmtId="0" fontId="24" fillId="0" borderId="0" xfId="0" applyFont="1" applyAlignment="1">
      <alignment vertical="top" wrapText="1"/>
    </xf>
    <xf numFmtId="167" fontId="27" fillId="0" borderId="23" xfId="0" applyNumberFormat="1" applyFont="1" applyBorder="1" applyAlignment="1">
      <alignment horizontal="center" wrapText="1"/>
    </xf>
    <xf numFmtId="0" fontId="27" fillId="0" borderId="22" xfId="0" applyFont="1" applyBorder="1" applyAlignment="1">
      <alignment horizontal="center" vertical="center"/>
    </xf>
    <xf numFmtId="0" fontId="28" fillId="0" borderId="23" xfId="0" applyFont="1" applyBorder="1" applyAlignment="1">
      <alignment horizontal="center" vertical="center" wrapText="1"/>
    </xf>
    <xf numFmtId="0" fontId="4" fillId="0" borderId="24" xfId="0" applyFont="1" applyBorder="1"/>
    <xf numFmtId="167" fontId="28" fillId="0" borderId="23" xfId="0" applyNumberFormat="1" applyFont="1" applyBorder="1" applyAlignment="1">
      <alignment horizontal="center" vertical="center"/>
    </xf>
    <xf numFmtId="18" fontId="28" fillId="0" borderId="23" xfId="0" applyNumberFormat="1" applyFont="1" applyBorder="1" applyAlignment="1">
      <alignment horizontal="center" vertical="center" wrapText="1"/>
    </xf>
    <xf numFmtId="0" fontId="4" fillId="0" borderId="23" xfId="0" applyFont="1" applyBorder="1"/>
    <xf numFmtId="167" fontId="27" fillId="0" borderId="5" xfId="0" applyNumberFormat="1" applyFont="1" applyBorder="1"/>
    <xf numFmtId="0" fontId="27" fillId="0" borderId="11" xfId="0" applyFont="1" applyBorder="1" applyAlignment="1">
      <alignment horizontal="center" vertical="center"/>
    </xf>
    <xf numFmtId="0" fontId="28" fillId="0" borderId="5" xfId="0" applyFont="1" applyBorder="1" applyAlignment="1">
      <alignment horizontal="center" vertical="center" wrapText="1"/>
    </xf>
    <xf numFmtId="0" fontId="4" fillId="0" borderId="5" xfId="0" applyFont="1" applyBorder="1"/>
    <xf numFmtId="0" fontId="27" fillId="0" borderId="23" xfId="0" applyFont="1" applyBorder="1" applyAlignment="1">
      <alignment horizontal="center" vertical="center"/>
    </xf>
    <xf numFmtId="166" fontId="14" fillId="0" borderId="23" xfId="0" applyNumberFormat="1" applyFont="1" applyBorder="1" applyAlignment="1">
      <alignment horizontal="center" vertical="center" wrapText="1"/>
    </xf>
    <xf numFmtId="165" fontId="14" fillId="0" borderId="5" xfId="0" applyNumberFormat="1" applyFont="1" applyBorder="1" applyAlignment="1">
      <alignment horizontal="center" vertical="center" wrapText="1"/>
    </xf>
    <xf numFmtId="0" fontId="1" fillId="2" borderId="25" xfId="0" applyFont="1" applyFill="1" applyBorder="1" applyAlignment="1">
      <alignment horizontal="center"/>
    </xf>
    <xf numFmtId="0" fontId="0" fillId="2" borderId="26" xfId="0" applyFill="1" applyBorder="1" applyAlignment="1">
      <alignment horizontal="center"/>
    </xf>
    <xf numFmtId="0" fontId="0" fillId="2" borderId="25" xfId="0" applyFill="1" applyBorder="1" applyAlignment="1">
      <alignment horizontal="center"/>
    </xf>
    <xf numFmtId="0" fontId="0" fillId="2" borderId="3" xfId="0" applyFill="1" applyBorder="1" applyAlignment="1">
      <alignment horizontal="center"/>
    </xf>
    <xf numFmtId="0" fontId="18" fillId="0" borderId="0" xfId="0" applyFont="1" applyAlignment="1">
      <alignment horizontal="center"/>
    </xf>
    <xf numFmtId="0" fontId="8" fillId="0" borderId="18" xfId="0" applyFont="1" applyBorder="1" applyAlignment="1" applyProtection="1">
      <alignment horizontal="center"/>
      <protection locked="0"/>
    </xf>
    <xf numFmtId="0" fontId="24" fillId="0" borderId="0" xfId="0" applyFont="1" applyAlignment="1">
      <alignment horizontal="left" vertical="top" wrapText="1"/>
    </xf>
    <xf numFmtId="0" fontId="23" fillId="0" borderId="0" xfId="0" applyFont="1" applyAlignment="1">
      <alignment horizontal="right"/>
    </xf>
    <xf numFmtId="0" fontId="28" fillId="0" borderId="27" xfId="0" applyFont="1" applyBorder="1" applyAlignment="1" applyProtection="1">
      <alignment horizontal="center" vertical="center" wrapText="1"/>
      <protection locked="0"/>
    </xf>
    <xf numFmtId="0" fontId="28" fillId="0" borderId="28" xfId="0" applyFont="1" applyBorder="1" applyAlignment="1" applyProtection="1">
      <alignment horizontal="center" vertical="center" wrapText="1"/>
      <protection locked="0"/>
    </xf>
    <xf numFmtId="0" fontId="28" fillId="0" borderId="29" xfId="0" applyFont="1" applyBorder="1" applyAlignment="1" applyProtection="1">
      <alignment horizontal="center" vertical="center" wrapText="1"/>
      <protection locked="0"/>
    </xf>
    <xf numFmtId="0" fontId="28" fillId="0" borderId="30" xfId="0" applyFont="1" applyBorder="1" applyAlignment="1" applyProtection="1">
      <alignment horizontal="center" vertical="center" wrapText="1"/>
      <protection locked="0"/>
    </xf>
    <xf numFmtId="0" fontId="28" fillId="0" borderId="0" xfId="0" applyFont="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0" fontId="28" fillId="0" borderId="10"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6" fillId="0" borderId="0" xfId="0" applyFont="1" applyAlignment="1">
      <alignment horizontal="right" vertical="center"/>
    </xf>
    <xf numFmtId="15" fontId="0" fillId="0" borderId="0" xfId="0" applyNumberFormat="1" applyBorder="1" applyAlignment="1">
      <alignment horizontal="left" vertical="top"/>
    </xf>
    <xf numFmtId="0" fontId="0" fillId="0" borderId="0" xfId="0" applyBorder="1" applyAlignment="1">
      <alignment horizontal="left" vertical="top"/>
    </xf>
    <xf numFmtId="0" fontId="22" fillId="0" borderId="0" xfId="0" applyFont="1" applyAlignment="1">
      <alignment horizontal="left" vertical="center"/>
    </xf>
    <xf numFmtId="0" fontId="6" fillId="0" borderId="0" xfId="0" applyFont="1" applyBorder="1" applyAlignment="1">
      <alignment horizontal="right"/>
    </xf>
    <xf numFmtId="0" fontId="6" fillId="0" borderId="0" xfId="0" applyFont="1" applyAlignment="1">
      <alignment horizontal="right"/>
    </xf>
    <xf numFmtId="0" fontId="2" fillId="0" borderId="28" xfId="0" applyFont="1" applyBorder="1" applyAlignment="1">
      <alignment horizontal="center" vertical="top"/>
    </xf>
    <xf numFmtId="0" fontId="6" fillId="0" borderId="0" xfId="0" applyFont="1" applyAlignment="1">
      <alignment horizontal="center" vertical="center"/>
    </xf>
    <xf numFmtId="0" fontId="3" fillId="2" borderId="25" xfId="0" applyFont="1" applyFill="1" applyBorder="1" applyAlignment="1">
      <alignment horizontal="center"/>
    </xf>
    <xf numFmtId="0" fontId="3" fillId="2" borderId="26" xfId="0" applyFont="1" applyFill="1" applyBorder="1" applyAlignment="1">
      <alignment horizontal="center"/>
    </xf>
    <xf numFmtId="0" fontId="3" fillId="2" borderId="3" xfId="0" applyFont="1" applyFill="1" applyBorder="1" applyAlignment="1">
      <alignment horizontal="center"/>
    </xf>
    <xf numFmtId="0" fontId="1" fillId="0" borderId="0" xfId="0" applyFont="1" applyAlignment="1">
      <alignment horizontal="left"/>
    </xf>
    <xf numFmtId="0" fontId="12" fillId="0" borderId="11" xfId="0" applyFont="1" applyBorder="1" applyAlignment="1">
      <alignment horizontal="center" vertical="center"/>
    </xf>
    <xf numFmtId="0" fontId="6" fillId="0" borderId="0" xfId="0" applyFont="1" applyAlignment="1">
      <alignment horizontal="right" vertical="center" wrapText="1"/>
    </xf>
    <xf numFmtId="0" fontId="6" fillId="0" borderId="0" xfId="0" applyFont="1" applyAlignment="1">
      <alignment horizontal="left" vertical="center"/>
    </xf>
    <xf numFmtId="2" fontId="0" fillId="0" borderId="0" xfId="0" applyNumberFormat="1" applyAlignment="1">
      <alignment horizontal="center"/>
    </xf>
    <xf numFmtId="2" fontId="0" fillId="0" borderId="11" xfId="0" applyNumberFormat="1" applyBorder="1" applyAlignment="1">
      <alignment horizontal="center"/>
    </xf>
    <xf numFmtId="0" fontId="0" fillId="0" borderId="0" xfId="0" applyAlignment="1">
      <alignment horizontal="center"/>
    </xf>
    <xf numFmtId="0" fontId="0" fillId="0" borderId="11" xfId="0" applyBorder="1" applyAlignment="1">
      <alignment horizontal="center"/>
    </xf>
    <xf numFmtId="0" fontId="26" fillId="0" borderId="0" xfId="0" applyFont="1" applyAlignment="1">
      <alignment horizontal="center" vertical="center" wrapText="1"/>
    </xf>
    <xf numFmtId="0" fontId="5" fillId="0" borderId="0" xfId="0" applyFont="1" applyAlignment="1">
      <alignment horizontal="center"/>
    </xf>
    <xf numFmtId="0" fontId="6" fillId="0" borderId="0" xfId="0" applyFont="1" applyAlignment="1">
      <alignment horizontal="center" vertical="center" wrapText="1"/>
    </xf>
  </cellXfs>
  <cellStyles count="7">
    <cellStyle name="Normal" xfId="0" builtinId="0"/>
    <cellStyle name="Normal 2" xfId="1"/>
    <cellStyle name="Normal 3" xfId="2"/>
    <cellStyle name="Normal 3 2" xfId="3"/>
    <cellStyle name="Normal 3 2 2" xfId="4"/>
    <cellStyle name="Normal 3 2 3" xfId="5"/>
    <cellStyle name="Normal 4" xfId="6"/>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2</xdr:row>
      <xdr:rowOff>28575</xdr:rowOff>
    </xdr:from>
    <xdr:to>
      <xdr:col>2</xdr:col>
      <xdr:colOff>695325</xdr:colOff>
      <xdr:row>6</xdr:row>
      <xdr:rowOff>9525</xdr:rowOff>
    </xdr:to>
    <xdr:pic>
      <xdr:nvPicPr>
        <xdr:cNvPr id="3073" name="Picture 1"/>
        <xdr:cNvPicPr>
          <a:picLocks noChangeAspect="1"/>
        </xdr:cNvPicPr>
      </xdr:nvPicPr>
      <xdr:blipFill>
        <a:blip xmlns:r="http://schemas.openxmlformats.org/officeDocument/2006/relationships" r:embed="rId1"/>
        <a:srcRect/>
        <a:stretch>
          <a:fillRect/>
        </a:stretch>
      </xdr:blipFill>
      <xdr:spPr bwMode="auto">
        <a:xfrm>
          <a:off x="104775" y="419100"/>
          <a:ext cx="1571625" cy="13049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2</xdr:row>
      <xdr:rowOff>28575</xdr:rowOff>
    </xdr:from>
    <xdr:to>
      <xdr:col>2</xdr:col>
      <xdr:colOff>695325</xdr:colOff>
      <xdr:row>6</xdr:row>
      <xdr:rowOff>9525</xdr:rowOff>
    </xdr:to>
    <xdr:pic>
      <xdr:nvPicPr>
        <xdr:cNvPr id="4097" name="Picture 1"/>
        <xdr:cNvPicPr>
          <a:picLocks noChangeAspect="1"/>
        </xdr:cNvPicPr>
      </xdr:nvPicPr>
      <xdr:blipFill>
        <a:blip xmlns:r="http://schemas.openxmlformats.org/officeDocument/2006/relationships" r:embed="rId1"/>
        <a:srcRect/>
        <a:stretch>
          <a:fillRect/>
        </a:stretch>
      </xdr:blipFill>
      <xdr:spPr bwMode="auto">
        <a:xfrm>
          <a:off x="104775" y="419100"/>
          <a:ext cx="1571625" cy="1304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G37"/>
  <sheetViews>
    <sheetView showGridLines="0" topLeftCell="D9" zoomScale="140" zoomScaleNormal="140" zoomScalePageLayoutView="135" workbookViewId="0">
      <selection activeCell="H22" sqref="H22"/>
    </sheetView>
  </sheetViews>
  <sheetFormatPr defaultColWidth="8.85546875" defaultRowHeight="12.75"/>
  <cols>
    <col min="1" max="1" width="16.42578125" style="1" customWidth="1"/>
    <col min="2" max="2" width="10.85546875" customWidth="1"/>
    <col min="3" max="3" width="1" style="2" hidden="1" customWidth="1"/>
    <col min="4" max="4" width="8.28515625" customWidth="1"/>
    <col min="5" max="5" width="17" bestFit="1" customWidth="1"/>
    <col min="6" max="11" width="34.140625" customWidth="1"/>
    <col min="12" max="15" width="17.85546875" hidden="1" customWidth="1"/>
    <col min="16" max="16" width="2.140625" customWidth="1"/>
  </cols>
  <sheetData>
    <row r="1" spans="1:33" ht="20.100000000000001" customHeight="1">
      <c r="A1" s="120" t="s">
        <v>55</v>
      </c>
      <c r="B1" s="120"/>
      <c r="C1" s="120"/>
      <c r="D1" s="120"/>
      <c r="E1" s="120"/>
      <c r="F1" s="120"/>
      <c r="G1" s="120"/>
      <c r="H1" s="49" t="s">
        <v>53</v>
      </c>
      <c r="Q1" s="122" t="s">
        <v>71</v>
      </c>
      <c r="R1" s="122"/>
      <c r="S1" s="122"/>
      <c r="T1" s="122"/>
      <c r="U1" s="122"/>
      <c r="V1" s="122"/>
      <c r="W1" s="122"/>
      <c r="X1" s="122"/>
      <c r="Y1" s="122"/>
      <c r="Z1" s="122"/>
      <c r="AA1" s="122"/>
      <c r="AB1" s="122"/>
      <c r="AC1" s="122"/>
      <c r="AD1" s="122"/>
      <c r="AE1" s="122"/>
      <c r="AF1" s="122"/>
      <c r="AG1" s="101"/>
    </row>
    <row r="2" spans="1:33" ht="12.95" customHeight="1" thickBot="1">
      <c r="H2" s="50"/>
      <c r="I2" s="50"/>
      <c r="Q2" s="122"/>
      <c r="R2" s="122"/>
      <c r="S2" s="122"/>
      <c r="T2" s="122"/>
      <c r="U2" s="122"/>
      <c r="V2" s="122"/>
      <c r="W2" s="122"/>
      <c r="X2" s="122"/>
      <c r="Y2" s="122"/>
      <c r="Z2" s="122"/>
      <c r="AA2" s="122"/>
      <c r="AB2" s="122"/>
      <c r="AC2" s="122"/>
      <c r="AD2" s="122"/>
      <c r="AE2" s="122"/>
      <c r="AF2" s="122"/>
      <c r="AG2" s="101"/>
    </row>
    <row r="3" spans="1:33" s="55" customFormat="1" ht="12.95" customHeight="1" thickBot="1">
      <c r="A3" s="53" t="s">
        <v>52</v>
      </c>
      <c r="B3" s="85">
        <v>45393</v>
      </c>
      <c r="C3" s="54"/>
      <c r="D3" s="54"/>
      <c r="G3" s="54"/>
      <c r="H3" s="56"/>
      <c r="I3" s="56"/>
      <c r="Q3" s="122"/>
      <c r="R3" s="122"/>
      <c r="S3" s="122"/>
      <c r="T3" s="122"/>
      <c r="U3" s="122"/>
      <c r="V3" s="122"/>
      <c r="W3" s="122"/>
      <c r="X3" s="122"/>
      <c r="Y3" s="122"/>
      <c r="Z3" s="122"/>
      <c r="AA3" s="122"/>
      <c r="AB3" s="122"/>
      <c r="AC3" s="122"/>
      <c r="AD3" s="122"/>
      <c r="AE3" s="122"/>
      <c r="AF3" s="122"/>
      <c r="AG3" s="101"/>
    </row>
    <row r="4" spans="1:33" ht="12.95" customHeight="1">
      <c r="A4" s="47" t="s">
        <v>54</v>
      </c>
      <c r="B4" s="52"/>
      <c r="C4" s="48"/>
      <c r="D4" s="48"/>
      <c r="G4" s="48"/>
      <c r="H4" s="50"/>
      <c r="I4" s="50"/>
      <c r="Q4" s="122"/>
      <c r="R4" s="122"/>
      <c r="S4" s="122"/>
      <c r="T4" s="122"/>
      <c r="U4" s="122"/>
      <c r="V4" s="122"/>
      <c r="W4" s="122"/>
      <c r="X4" s="122"/>
      <c r="Y4" s="122"/>
      <c r="Z4" s="122"/>
      <c r="AA4" s="122"/>
      <c r="AB4" s="122"/>
      <c r="AC4" s="122"/>
      <c r="AD4" s="122"/>
      <c r="AE4" s="122"/>
      <c r="AF4" s="122"/>
      <c r="AG4" s="101"/>
    </row>
    <row r="5" spans="1:33" ht="6.95" customHeight="1" thickBot="1">
      <c r="H5" s="50"/>
      <c r="I5" s="50"/>
      <c r="Q5" s="101"/>
      <c r="R5" s="101"/>
      <c r="S5" s="101"/>
      <c r="T5" s="101"/>
      <c r="U5" s="101"/>
      <c r="V5" s="101"/>
      <c r="W5" s="101"/>
      <c r="X5" s="101"/>
      <c r="Y5" s="101"/>
      <c r="Z5" s="101"/>
      <c r="AA5" s="101"/>
      <c r="AB5" s="101"/>
      <c r="AC5" s="101"/>
      <c r="AD5" s="101"/>
      <c r="AE5" s="101"/>
      <c r="AF5" s="101"/>
      <c r="AG5" s="101"/>
    </row>
    <row r="6" spans="1:33" ht="18">
      <c r="A6" s="10" t="s">
        <v>15</v>
      </c>
      <c r="B6" s="33">
        <v>300</v>
      </c>
      <c r="C6">
        <f ca="1">IF(Brevet_Length&gt;=1200,Brevet_Length,IF(Brevet_Length&gt;=1000,1000,IF(Brevet_Length&gt;=600,600,IF(Brevet_Length&gt;=400,400,IF(Brevet_Length&gt;=300,300,IF(Brevet_Length&gt;=200,200,100))))))</f>
        <v>300</v>
      </c>
      <c r="J6" s="123" t="s">
        <v>40</v>
      </c>
      <c r="K6" s="123"/>
      <c r="Q6" s="99" t="s">
        <v>41</v>
      </c>
      <c r="R6" s="99"/>
      <c r="S6" s="99"/>
      <c r="T6" s="99"/>
      <c r="U6" s="99"/>
      <c r="V6" s="99"/>
      <c r="W6" s="99"/>
      <c r="X6" s="100"/>
      <c r="Y6" s="100"/>
      <c r="Z6" s="100"/>
    </row>
    <row r="7" spans="1:33" ht="14.25">
      <c r="A7" s="11" t="s">
        <v>16</v>
      </c>
      <c r="B7" s="97">
        <f ca="1">IF(brevet=1200,90,IF(brevet=1000,75,IF(brevet=600,40,IF(brevet=400,27,IF(brevet=300,20,IF(brevet=200,13.5,IF(brevet&lt;200,L7,0)))))))</f>
        <v>20</v>
      </c>
      <c r="L7">
        <f ca="1">IF(Brevet_Length=150,10.5,IF(Brevet_Length=100,7,IF(Brevet_Length=50,3.5,IF(Brevet_Length=25, 2,0))))</f>
        <v>0</v>
      </c>
      <c r="Q7" s="100" t="s">
        <v>42</v>
      </c>
      <c r="R7" s="100"/>
      <c r="S7" s="100"/>
      <c r="T7" s="100"/>
      <c r="U7" s="100"/>
      <c r="V7" s="100"/>
      <c r="W7" s="100"/>
      <c r="X7" s="100"/>
      <c r="Y7" s="100"/>
      <c r="Z7" s="100"/>
    </row>
    <row r="8" spans="1:33" ht="18">
      <c r="A8" s="96" t="s">
        <v>17</v>
      </c>
      <c r="B8" s="121" t="s">
        <v>87</v>
      </c>
      <c r="C8" s="121"/>
      <c r="D8" s="121"/>
      <c r="E8" s="121"/>
      <c r="F8" s="121"/>
      <c r="G8" s="98"/>
      <c r="H8" s="98"/>
      <c r="I8" s="18"/>
      <c r="J8" s="18"/>
      <c r="K8" s="18"/>
      <c r="O8" s="19"/>
      <c r="P8" s="19"/>
      <c r="Q8" s="99" t="s">
        <v>43</v>
      </c>
      <c r="R8" s="100"/>
      <c r="S8" s="100"/>
      <c r="T8" s="100"/>
      <c r="U8" s="100"/>
      <c r="V8" s="100"/>
      <c r="W8" s="100"/>
      <c r="X8" s="100"/>
      <c r="Y8" s="100"/>
      <c r="Z8" s="100"/>
    </row>
    <row r="9" spans="1:33" ht="18">
      <c r="A9" s="11" t="s">
        <v>18</v>
      </c>
      <c r="B9" s="34">
        <v>5602</v>
      </c>
      <c r="C9" s="15"/>
      <c r="F9" s="16"/>
      <c r="G9" s="16"/>
      <c r="H9" s="16"/>
      <c r="I9" s="16"/>
      <c r="J9" s="16"/>
      <c r="K9" s="16"/>
      <c r="Q9" s="99" t="s">
        <v>44</v>
      </c>
      <c r="R9" s="100"/>
      <c r="S9" s="100"/>
      <c r="T9" s="100"/>
      <c r="U9" s="100"/>
      <c r="V9" s="100"/>
      <c r="W9" s="100"/>
      <c r="X9" s="100"/>
      <c r="Y9" s="100"/>
      <c r="Z9" s="100"/>
    </row>
    <row r="10" spans="1:33" ht="18">
      <c r="A10" s="21" t="s">
        <v>32</v>
      </c>
      <c r="B10" s="35">
        <v>46137</v>
      </c>
      <c r="E10" s="93" t="s">
        <v>66</v>
      </c>
      <c r="F10" s="95" t="s">
        <v>74</v>
      </c>
      <c r="Q10" s="99" t="s">
        <v>45</v>
      </c>
      <c r="R10" s="100"/>
      <c r="S10" s="100"/>
      <c r="T10" s="100"/>
      <c r="U10" s="100"/>
      <c r="V10" s="100"/>
      <c r="W10" s="100"/>
      <c r="X10" s="100"/>
      <c r="Y10" s="100"/>
      <c r="Z10" s="100"/>
    </row>
    <row r="11" spans="1:33" ht="6" customHeight="1">
      <c r="B11" s="51"/>
      <c r="Q11" s="100"/>
      <c r="R11" s="100"/>
      <c r="S11" s="100"/>
      <c r="T11" s="100"/>
      <c r="U11" s="100"/>
      <c r="V11" s="100"/>
      <c r="W11" s="100"/>
      <c r="X11" s="100"/>
      <c r="Y11" s="100"/>
      <c r="Z11" s="100"/>
    </row>
    <row r="12" spans="1:33" ht="18" customHeight="1" thickBot="1">
      <c r="A12" s="45" t="s">
        <v>19</v>
      </c>
      <c r="B12" s="46">
        <v>46137</v>
      </c>
      <c r="Q12" s="99" t="s">
        <v>49</v>
      </c>
      <c r="R12" s="100"/>
      <c r="S12" s="100"/>
      <c r="T12" s="100"/>
      <c r="U12" s="100"/>
      <c r="V12" s="100"/>
      <c r="W12" s="100"/>
      <c r="X12" s="100"/>
      <c r="Y12" s="100"/>
      <c r="Z12" s="100"/>
    </row>
    <row r="13" spans="1:33" ht="18.75" thickBot="1">
      <c r="A13" s="9" t="s">
        <v>20</v>
      </c>
      <c r="B13" s="36">
        <v>0.25</v>
      </c>
      <c r="D13" s="116" t="s">
        <v>51</v>
      </c>
      <c r="E13" s="117"/>
      <c r="F13" s="117"/>
      <c r="G13" s="117"/>
      <c r="H13" s="117"/>
      <c r="I13" s="118" t="s">
        <v>47</v>
      </c>
      <c r="J13" s="117"/>
      <c r="K13" s="119"/>
      <c r="Q13" s="99" t="s">
        <v>48</v>
      </c>
      <c r="R13" s="100"/>
      <c r="S13" s="100"/>
      <c r="T13" s="100"/>
      <c r="U13" s="100"/>
      <c r="V13" s="100"/>
      <c r="W13" s="100"/>
      <c r="X13" s="100"/>
      <c r="Y13" s="100"/>
      <c r="Z13" s="100"/>
    </row>
    <row r="14" spans="1:33" ht="15" thickBot="1">
      <c r="D14" s="5" t="s">
        <v>21</v>
      </c>
      <c r="E14" s="6" t="s">
        <v>22</v>
      </c>
      <c r="F14" s="27" t="s">
        <v>23</v>
      </c>
      <c r="G14" s="27" t="s">
        <v>24</v>
      </c>
      <c r="H14" s="28" t="s">
        <v>25</v>
      </c>
      <c r="I14" s="6" t="s">
        <v>37</v>
      </c>
      <c r="J14" s="6" t="s">
        <v>38</v>
      </c>
      <c r="K14" s="7" t="s">
        <v>39</v>
      </c>
      <c r="L14" t="s">
        <v>0</v>
      </c>
      <c r="M14" t="s">
        <v>1</v>
      </c>
      <c r="N14" t="s">
        <v>2</v>
      </c>
      <c r="O14" t="s">
        <v>3</v>
      </c>
      <c r="Q14" s="99" t="s">
        <v>67</v>
      </c>
      <c r="R14" s="100"/>
      <c r="S14" s="100"/>
      <c r="T14" s="100"/>
      <c r="U14" s="100"/>
      <c r="V14" s="100"/>
      <c r="W14" s="100"/>
      <c r="X14" s="100"/>
      <c r="Y14" s="100"/>
      <c r="Z14" s="100"/>
    </row>
    <row r="15" spans="1:33" ht="17.100000000000001" customHeight="1">
      <c r="C15" s="2" t="s">
        <v>4</v>
      </c>
      <c r="D15" s="17">
        <v>0</v>
      </c>
      <c r="E15" s="37" t="s">
        <v>77</v>
      </c>
      <c r="F15" s="38" t="s">
        <v>78</v>
      </c>
      <c r="G15" s="38" t="s">
        <v>79</v>
      </c>
      <c r="H15" s="39"/>
      <c r="I15" s="38"/>
      <c r="J15" s="38"/>
      <c r="K15" s="39"/>
      <c r="L15" s="3">
        <f ca="1">Start_date+Start_time</f>
        <v>46137.25</v>
      </c>
      <c r="M15" s="3">
        <f ca="1">L15+"1:00"</f>
        <v>46137.291666666664</v>
      </c>
      <c r="N15" s="4">
        <f ca="1">IF(ISBLANK(Distance),"",Open Control_1)</f>
        <v>46137.25</v>
      </c>
      <c r="O15" s="4">
        <f ca="1">IF(ISBLANK(Distance),"",Close Control_1)</f>
        <v>46137.291666666664</v>
      </c>
      <c r="Q15" s="99" t="s">
        <v>72</v>
      </c>
      <c r="R15" s="100"/>
      <c r="S15" s="100"/>
      <c r="T15" s="100"/>
      <c r="U15" s="100"/>
      <c r="V15" s="100"/>
      <c r="W15" s="100"/>
      <c r="X15" s="100"/>
      <c r="Y15" s="100"/>
      <c r="Z15" s="100"/>
    </row>
    <row r="16" spans="1:33" ht="17.100000000000001" customHeight="1">
      <c r="B16" s="42"/>
      <c r="C16" s="2" t="s">
        <v>5</v>
      </c>
      <c r="D16" s="17">
        <v>92.8</v>
      </c>
      <c r="E16" s="37" t="s">
        <v>75</v>
      </c>
      <c r="F16" s="38" t="s">
        <v>88</v>
      </c>
      <c r="G16" s="38" t="s">
        <v>76</v>
      </c>
      <c r="H16" s="39" t="s">
        <v>90</v>
      </c>
      <c r="I16" s="38" t="s">
        <v>91</v>
      </c>
      <c r="J16" s="38"/>
      <c r="K16" s="39"/>
      <c r="L16">
        <f ca="1">IF(ISBLANK(Distance),"",IF(Distance&gt;1000,(Distance-1000)/26+33.0847,(IF(Distance&gt;600,(Distance-600)/28+18.799,(IF(Distance&gt;400,(Distance-400)/30+12.1324,(IF(Distance&gt;200,(Distance-200)/32+5.8824,Distance/34))))))))</f>
        <v>2.7294117647058824</v>
      </c>
      <c r="M16">
        <f ca="1">IF(ISBLANK(Distance),"",IF(Distance&gt;=brevet,D16200IF(brevet&gt;1200,(brevet-1200)*75/1000+90,Max_time),IF(Distance&gt;1200,(Distance-1200)*75/1000+90,IF(Distance&gt;1000,(Distance-1000)/(1000/75)+75,IF(Distance&gt;600,(Distance-600)/(400/35)+40,IF(Distance&lt;=60,(Distance/20+1),Distance/15))))))</f>
        <v>6.1866666666666665</v>
      </c>
      <c r="N16" s="4">
        <f ca="1">IF(ISBLANK(Distance),"",Open_time Control_1+(INT(Open)&amp;":"&amp;IF(ROUND(((Open-INT(Open))*60),0)&lt;10,0,"")&amp;ROUND(((Open-INT(Open))*60),0)))</f>
        <v>46137.363888888889</v>
      </c>
      <c r="O16" s="4">
        <f ca="1">IF(ISBLANK(Distance),"",Open_time Control_1+(INT(Close)&amp;":"&amp;IF(ROUND(((Close-INT(Close))*60),0)&lt;10,0,"")&amp;ROUND(((Close-INT(Close))*60),0)))</f>
        <v>46137.507638888892</v>
      </c>
      <c r="Q16" s="99" t="s">
        <v>68</v>
      </c>
      <c r="R16" s="100"/>
      <c r="S16" s="100"/>
      <c r="T16" s="100"/>
      <c r="U16" s="100"/>
      <c r="V16" s="100"/>
      <c r="W16" s="100"/>
      <c r="X16" s="100"/>
      <c r="Y16" s="100"/>
      <c r="Z16" s="100"/>
    </row>
    <row r="17" spans="2:26" ht="17.100000000000001" customHeight="1">
      <c r="B17" s="42"/>
      <c r="C17" s="2" t="s">
        <v>6</v>
      </c>
      <c r="D17" s="17">
        <v>128.80000000000001</v>
      </c>
      <c r="E17" s="37" t="s">
        <v>93</v>
      </c>
      <c r="F17" s="38" t="s">
        <v>94</v>
      </c>
      <c r="G17" s="38" t="s">
        <v>92</v>
      </c>
      <c r="H17" s="39"/>
      <c r="I17" s="38" t="s">
        <v>95</v>
      </c>
      <c r="J17" s="38"/>
      <c r="K17" s="39"/>
      <c r="L17">
        <f ca="1">IF(ISBLANK(Distance),"",IF(Distance&gt;1000,(Distance-1000)/26+33.0847,(IF(Distance&gt;600,(Distance-600)/28+18.799,(IF(Distance&gt;400,(Distance-400)/30+12.1324,(IF(Distance&gt;200,(Distance-200)/32+5.8824,Distance/34))))))))</f>
        <v>3.7882352941176474</v>
      </c>
      <c r="M17">
        <f t="shared" ref="M17:M24" ca="1" si="0">IF(ISBLANK(Distance),"",IF(Distance&gt;=brevet,IF(brevet&gt;1200,(brevet-1200)*75/1000+90,Max_time),IF(Distance&gt;1200,(Distance-1200)*75/1000+90,IF(Distance&gt;1000,(Distance-1000)/(1000/75)+75,IF(Distance&gt;600,(Distance-600)/(400/35)+40,IF(Distance&lt;=60,(Distance/20+1),Distance/15))))))</f>
        <v>8.5866666666666678</v>
      </c>
      <c r="N17" s="4">
        <f ca="1">IF(ISBLANK(Distance),"",Open_time Control_1+(INT(Open)&amp;":"&amp;IF(ROUND(((Open-INT(Open))*60),0)&lt;10,0,"")&amp;ROUND(((Open-INT(Open))*60),0)))</f>
        <v>46137.407638888886</v>
      </c>
      <c r="O17" s="4">
        <f ca="1">IF(ISBLANK(Distance),"",Open_time Control_1+(INT(Close)&amp;":"&amp;IF(ROUND(((Close-INT(Close))*60),0)&lt;10,0,"")&amp;ROUND(((Close-INT(Close))*60),0)))</f>
        <v>46137.607638888891</v>
      </c>
      <c r="Q17" s="99" t="s">
        <v>46</v>
      </c>
      <c r="R17" s="100"/>
      <c r="S17" s="100"/>
      <c r="T17" s="100"/>
      <c r="U17" s="100"/>
      <c r="V17" s="100"/>
      <c r="W17" s="100"/>
      <c r="X17" s="100"/>
      <c r="Y17" s="100"/>
      <c r="Z17" s="100"/>
    </row>
    <row r="18" spans="2:26" ht="17.100000000000001" customHeight="1">
      <c r="B18" s="42"/>
      <c r="C18" s="2" t="s">
        <v>7</v>
      </c>
      <c r="D18" s="17">
        <v>166.1</v>
      </c>
      <c r="E18" s="37" t="s">
        <v>80</v>
      </c>
      <c r="F18" s="38" t="s">
        <v>96</v>
      </c>
      <c r="G18" s="38" t="s">
        <v>97</v>
      </c>
      <c r="H18" s="39"/>
      <c r="I18" s="38"/>
      <c r="J18" s="38"/>
      <c r="K18" s="39"/>
      <c r="L18">
        <f t="shared" ref="L18:L24" ca="1" si="1">IF(ISBLANK(Distance),"",IF(Distance&gt;1000,(Distance-1000)/26+33.0847,(IF(Distance&gt;600,(Distance-600)/28+18.799,(IF(Distance&gt;400,(Distance-400)/30+12.1324,(IF(Distance&gt;200,(Distance-200)/32+5.8824,Distance/34))))))))</f>
        <v>4.8852941176470583</v>
      </c>
      <c r="M18">
        <f t="shared" ca="1" si="0"/>
        <v>11.073333333333332</v>
      </c>
      <c r="N18" s="4">
        <f ca="1">IF(ISBLANK(Distance),"",Open_time Control_1+(INT(Open)&amp;":"&amp;IF(ROUND(((Open-INT(Open))*60),0)&lt;10,0,"")&amp;ROUND(((Open-INT(Open))*60),0)))</f>
        <v>46137.453472222223</v>
      </c>
      <c r="O18" s="4">
        <f ca="1">IF(ISBLANK(Distance),"",Open_time Control_1+(INT(Close)&amp;":"&amp;IF(ROUND(((Close-INT(Close))*60),0)&lt;10,0,"")&amp;ROUND(((Close-INT(Close))*60),0)))</f>
        <v>46137.711111111108</v>
      </c>
    </row>
    <row r="19" spans="2:26" ht="17.100000000000001" customHeight="1">
      <c r="B19" s="42"/>
      <c r="C19" s="2" t="s">
        <v>8</v>
      </c>
      <c r="D19" s="17">
        <v>203.3</v>
      </c>
      <c r="E19" s="37" t="s">
        <v>81</v>
      </c>
      <c r="F19" s="38" t="s">
        <v>82</v>
      </c>
      <c r="G19" s="38" t="s">
        <v>98</v>
      </c>
      <c r="H19" s="39" t="s">
        <v>106</v>
      </c>
      <c r="I19" s="38" t="s">
        <v>99</v>
      </c>
      <c r="J19" s="38"/>
      <c r="K19" s="39"/>
      <c r="L19">
        <f t="shared" ca="1" si="1"/>
        <v>5.985525</v>
      </c>
      <c r="M19">
        <f t="shared" ca="1" si="0"/>
        <v>13.553333333333335</v>
      </c>
      <c r="N19" s="4">
        <f ca="1">IF(ISBLANK(Distance),"",Open_time Control_1+(INT(Open)&amp;":"&amp;IF(ROUND(((Open-INT(Open))*60),0)&lt;10,0,"")&amp;ROUND(((Open-INT(Open))*60),0)))</f>
        <v>46137.499305555553</v>
      </c>
      <c r="O19" s="4">
        <f ca="1">IF(ISBLANK(Distance),"",Open_time Control_1+(INT(Close)&amp;":"&amp;IF(ROUND(((Close-INT(Close))*60),0)&lt;10,0,"")&amp;ROUND(((Close-INT(Close))*60),0)))</f>
        <v>46137.814583333333</v>
      </c>
      <c r="Q19" s="44"/>
    </row>
    <row r="20" spans="2:26" ht="17.100000000000001" customHeight="1">
      <c r="B20" s="42"/>
      <c r="C20" s="2" t="s">
        <v>9</v>
      </c>
      <c r="D20" s="17">
        <v>247</v>
      </c>
      <c r="E20" s="37" t="s">
        <v>83</v>
      </c>
      <c r="F20" s="38" t="s">
        <v>100</v>
      </c>
      <c r="G20" s="38" t="s">
        <v>101</v>
      </c>
      <c r="H20" s="39"/>
      <c r="I20" s="38" t="s">
        <v>102</v>
      </c>
      <c r="J20" s="38"/>
      <c r="K20" s="39"/>
      <c r="L20">
        <f t="shared" ca="1" si="1"/>
        <v>7.3511499999999996</v>
      </c>
      <c r="M20">
        <f t="shared" ca="1" si="0"/>
        <v>16.466666666666665</v>
      </c>
      <c r="N20" s="4">
        <f ca="1">IF(ISBLANK(Distance),"",Open_time Control_1+(INT(Open)&amp;":"&amp;IF(ROUND(((Open-INT(Open))*60),0)&lt;10,0,"")&amp;ROUND(((Open-INT(Open))*60),0)))</f>
        <v>46137.556250000001</v>
      </c>
      <c r="O20" s="4">
        <f ca="1">IF(ISBLANK(Distance),"",Open_time Control_1+(INT(Close)&amp;":"&amp;IF(ROUND(((Close-INT(Close))*60),0)&lt;10,0,"")&amp;ROUND(((Close-INT(Close))*60),0)))</f>
        <v>46137.936111111114</v>
      </c>
    </row>
    <row r="21" spans="2:26" ht="17.100000000000001" customHeight="1">
      <c r="B21" s="42"/>
      <c r="C21" s="2" t="s">
        <v>10</v>
      </c>
      <c r="D21" s="17">
        <v>289.10000000000002</v>
      </c>
      <c r="E21" s="37" t="s">
        <v>89</v>
      </c>
      <c r="F21" s="38" t="s">
        <v>85</v>
      </c>
      <c r="G21" s="38" t="s">
        <v>84</v>
      </c>
      <c r="H21" s="39"/>
      <c r="I21" s="38" t="s">
        <v>103</v>
      </c>
      <c r="J21" s="38"/>
      <c r="K21" s="39"/>
      <c r="L21">
        <f t="shared" ca="1" si="1"/>
        <v>8.6667750000000012</v>
      </c>
      <c r="M21">
        <f t="shared" ca="1" si="0"/>
        <v>19.273333333333333</v>
      </c>
      <c r="N21" s="4">
        <f ca="1">IF(ISBLANK(Distance),"",Open_time Control_1+(INT(Open)&amp;":"&amp;IF(ROUND(((Open-INT(Open))*60),0)&lt;10,0,"")&amp;ROUND(((Open-INT(Open))*60),0)))</f>
        <v>46137.611111111109</v>
      </c>
      <c r="O21" s="4">
        <f ca="1">IF(ISBLANK(Distance),"",Open_time Control_1+(INT(Close)&amp;":"&amp;IF(ROUND(((Close-INT(Close))*60),0)&lt;10,0,"")&amp;ROUND(((Close-INT(Close))*60),0)))</f>
        <v>46138.052777777775</v>
      </c>
    </row>
    <row r="22" spans="2:26" ht="17.100000000000001" customHeight="1">
      <c r="B22" s="42"/>
      <c r="C22" s="2" t="s">
        <v>11</v>
      </c>
      <c r="D22" s="17">
        <v>303.39999999999998</v>
      </c>
      <c r="E22" s="37" t="s">
        <v>86</v>
      </c>
      <c r="F22" s="38" t="s">
        <v>104</v>
      </c>
      <c r="G22" s="38" t="s">
        <v>105</v>
      </c>
      <c r="H22" s="39" t="s">
        <v>107</v>
      </c>
      <c r="I22" s="38"/>
      <c r="J22" s="38"/>
      <c r="K22" s="39"/>
      <c r="L22">
        <f t="shared" ca="1" si="1"/>
        <v>9.1136499999999998</v>
      </c>
      <c r="M22">
        <f t="shared" ca="1" si="0"/>
        <v>20</v>
      </c>
      <c r="N22" s="4">
        <f ca="1">IF(ISBLANK(Distance),"",Open_time Control_1+(INT(Open)&amp;":"&amp;IF(ROUND(((Open-INT(Open))*60),0)&lt;10,0,"")&amp;ROUND(((Open-INT(Open))*60),0)))</f>
        <v>46137.629861111112</v>
      </c>
      <c r="O22" s="4">
        <f ca="1">IF(ISBLANK(Distance),"",Open_time Control_1+(INT(Close)&amp;":"&amp;IF(ROUND(((Close-INT(Close))*60),0)&lt;10,0,"")&amp;ROUND(((Close-INT(Close))*60),0)))</f>
        <v>46138.083333333336</v>
      </c>
    </row>
    <row r="23" spans="2:26" ht="17.100000000000001" customHeight="1">
      <c r="B23" s="42"/>
      <c r="C23" s="2" t="s">
        <v>12</v>
      </c>
      <c r="D23" s="17"/>
      <c r="E23" s="37"/>
      <c r="F23" s="38"/>
      <c r="G23" s="38"/>
      <c r="H23" s="39"/>
      <c r="I23" s="38"/>
      <c r="J23" s="38"/>
      <c r="K23" s="39"/>
      <c r="L23" t="str">
        <f t="shared" ca="1" si="1"/>
        <v/>
      </c>
      <c r="M23" t="str">
        <f t="shared" ca="1" si="0"/>
        <v/>
      </c>
      <c r="N23" s="4" t="str">
        <f ca="1">IF(ISBLANK(Distance),"",Open_time Control_1+(INT(Open)&amp;":"&amp;IF(ROUND(((Open-INT(Open))*60),0)&lt;10,0,"")&amp;ROUND(((Open-INT(Open))*60),0)))</f>
        <v/>
      </c>
      <c r="O23" s="4" t="str">
        <f ca="1">IF(ISBLANK(Distance),"",Open_time Control_1+(INT(Close)&amp;":"&amp;IF(ROUND(((Close-INT(Close))*60),0)&lt;10,0,"")&amp;ROUND(((Close-INT(Close))*60),0)))</f>
        <v/>
      </c>
    </row>
    <row r="24" spans="2:26" ht="17.100000000000001" customHeight="1" thickBot="1">
      <c r="B24" s="42"/>
      <c r="C24" s="2" t="s">
        <v>13</v>
      </c>
      <c r="D24" s="23"/>
      <c r="E24" s="40"/>
      <c r="F24" s="38"/>
      <c r="G24" s="38"/>
      <c r="H24" s="39"/>
      <c r="I24" s="38"/>
      <c r="J24" s="38"/>
      <c r="K24" s="39"/>
      <c r="L24" t="str">
        <f t="shared" ca="1" si="1"/>
        <v/>
      </c>
      <c r="M24" t="str">
        <f t="shared" ca="1" si="0"/>
        <v/>
      </c>
      <c r="N24" s="4" t="str">
        <f ca="1">IF(ISBLANK(Distance),"",Open_time Control_1+(INT(Open)&amp;":"&amp;IF(ROUND(((Open-INT(Open))*60),0)&lt;10,0,"")&amp;ROUND(((Open-INT(Open))*60),0)))</f>
        <v/>
      </c>
      <c r="O24" s="4" t="str">
        <f ca="1">IF(ISBLANK(Distance),"",Open_time Control_1+(INT(Close)&amp;":"&amp;IF(ROUND(((Close-INT(Close))*60),0)&lt;10,0,"")&amp;ROUND(((Close-INT(Close))*60),0)))</f>
        <v/>
      </c>
    </row>
    <row r="25" spans="2:26" ht="6.95" customHeight="1" thickBot="1">
      <c r="D25" s="29"/>
      <c r="E25" s="30"/>
      <c r="F25" s="31"/>
      <c r="G25" s="31"/>
      <c r="H25" s="31"/>
      <c r="I25" s="31"/>
      <c r="J25" s="31"/>
      <c r="K25" s="32"/>
      <c r="N25" s="4"/>
      <c r="O25" s="4"/>
    </row>
    <row r="26" spans="2:26" ht="13.5" thickBot="1">
      <c r="D26" s="116" t="s">
        <v>69</v>
      </c>
      <c r="E26" s="117"/>
      <c r="F26" s="117"/>
      <c r="G26" s="117"/>
      <c r="H26" s="117"/>
      <c r="I26" s="118" t="s">
        <v>70</v>
      </c>
      <c r="J26" s="117"/>
      <c r="K26" s="119"/>
    </row>
    <row r="27" spans="2:26" ht="13.5" thickBot="1">
      <c r="D27" s="5" t="s">
        <v>21</v>
      </c>
      <c r="E27" s="6" t="s">
        <v>22</v>
      </c>
      <c r="F27" s="27" t="s">
        <v>23</v>
      </c>
      <c r="G27" s="27" t="s">
        <v>24</v>
      </c>
      <c r="H27" s="28" t="s">
        <v>25</v>
      </c>
      <c r="I27" s="6" t="s">
        <v>37</v>
      </c>
      <c r="J27" s="6" t="s">
        <v>38</v>
      </c>
      <c r="K27" s="7" t="s">
        <v>39</v>
      </c>
      <c r="L27" t="s">
        <v>0</v>
      </c>
      <c r="M27" t="s">
        <v>1</v>
      </c>
      <c r="N27" t="s">
        <v>2</v>
      </c>
      <c r="O27" t="s">
        <v>3</v>
      </c>
    </row>
    <row r="28" spans="2:26" ht="17.100000000000001" customHeight="1">
      <c r="D28" s="17"/>
      <c r="E28" s="37"/>
      <c r="F28" s="38"/>
      <c r="G28" s="38"/>
      <c r="H28" s="39"/>
      <c r="I28" s="38"/>
      <c r="J28" s="38"/>
      <c r="K28" s="39"/>
      <c r="L28" t="str">
        <f>IF(ISBLANK(D28),"",IF(D28&gt;1000,(D28-1000)/26+33.0847,(IF(D28&gt;600,(D28-600)/28+18.799,(IF(D28&gt;400,(D28-400)/30+12.1324,(IF(D28&gt;200,(D28-200)/32+5.8824,D28/34))))))))</f>
        <v/>
      </c>
      <c r="M28" t="str">
        <f t="shared" ref="M28:M37" ca="1" si="2">IF(ISBLANK(D28),"",IF((D28=0),1,IF(D28&gt;=brevet,IF(brevet&gt;1200,(brevet-1200)*75/1000+90,Max_time),IF(D28&gt;1200,(D28-1200)*75/1000+90,IF(D28&gt;1000,(D28-1000)/(1000/75)+75,IF(D28&gt;600,(D28-600)/(400/35)+40,IF(D28&lt;=60,D28/20+1,D28/15)))))))</f>
        <v/>
      </c>
      <c r="N28" s="4" t="str">
        <f ca="1">IF(ISBLANK(D28),"",Open_time Control_1+(INT(L28)&amp;":"&amp;IF(ROUND(((L28-INT(L28))*60),0)&lt;10,0,"")&amp;ROUND(((L28-INT(L28))*60),0)))</f>
        <v/>
      </c>
      <c r="O28" s="4" t="str">
        <f ca="1">IF(ISBLANK(D28),"",Open_time Control_1+(INT(M28)&amp;":"&amp;IF(ROUND(((M28-INT(M28))*60),0)&lt;10,0,"")&amp;ROUND(((M28-INT(M28))*60),0)))</f>
        <v/>
      </c>
    </row>
    <row r="29" spans="2:26" ht="17.100000000000001" customHeight="1">
      <c r="D29" s="17"/>
      <c r="E29" s="37"/>
      <c r="F29" s="38"/>
      <c r="G29" s="38"/>
      <c r="H29" s="39"/>
      <c r="I29" s="38"/>
      <c r="J29" s="38"/>
      <c r="K29" s="39"/>
      <c r="L29" t="str">
        <f t="shared" ref="L29:L37" si="3">IF(ISBLANK(D29),"",IF(D29&gt;1000,(D29-1000)/26+33.0847,(IF(D29&gt;600,(D29-600)/28+18.799,(IF(D29&gt;400,(D29-400)/30+12.1324,(IF(D29&gt;200,(D29-200)/32+5.8824,D29/34))))))))</f>
        <v/>
      </c>
      <c r="M29" t="str">
        <f t="shared" ca="1" si="2"/>
        <v/>
      </c>
      <c r="N29" s="4" t="str">
        <f ca="1">IF(ISBLANK(D29),"",Open_time Control_1+(INT(L29)&amp;":"&amp;IF(ROUND(((L29-INT(L29))*60),0)&lt;10,0,"")&amp;ROUND(((L29-INT(L29))*60),0)))</f>
        <v/>
      </c>
      <c r="O29" s="4" t="str">
        <f ca="1">IF(ISBLANK(D29),"",Open_time Control_1+(INT(M29)&amp;":"&amp;IF(ROUND(((M29-INT(M29))*60),0)&lt;10,0,"")&amp;ROUND(((M29-INT(M29))*60),0)))</f>
        <v/>
      </c>
    </row>
    <row r="30" spans="2:26" ht="17.100000000000001" customHeight="1">
      <c r="D30" s="17"/>
      <c r="E30" s="37"/>
      <c r="F30" s="38"/>
      <c r="G30" s="38"/>
      <c r="H30" s="39"/>
      <c r="I30" s="38"/>
      <c r="J30" s="38"/>
      <c r="K30" s="39"/>
      <c r="L30" t="str">
        <f t="shared" si="3"/>
        <v/>
      </c>
      <c r="M30" t="str">
        <f t="shared" ca="1" si="2"/>
        <v/>
      </c>
      <c r="N30" s="4" t="str">
        <f ca="1">IF(ISBLANK(D30),"",Open_time Control_1+(INT(L30)&amp;":"&amp;IF(ROUND(((L30-INT(L30))*60),0)&lt;10,0,"")&amp;ROUND(((L30-INT(L30))*60),0)))</f>
        <v/>
      </c>
      <c r="O30" s="4" t="str">
        <f ca="1">IF(ISBLANK(D30),"",Open_time Control_1+(INT(M30)&amp;":"&amp;IF(ROUND(((M30-INT(M30))*60),0)&lt;10,0,"")&amp;ROUND(((M30-INT(M30))*60),0)))</f>
        <v/>
      </c>
    </row>
    <row r="31" spans="2:26" ht="17.100000000000001" customHeight="1">
      <c r="D31" s="17"/>
      <c r="E31" s="37"/>
      <c r="F31" s="38"/>
      <c r="G31" s="38"/>
      <c r="H31" s="39"/>
      <c r="I31" s="38"/>
      <c r="J31" s="38"/>
      <c r="K31" s="39"/>
      <c r="L31" t="str">
        <f t="shared" si="3"/>
        <v/>
      </c>
      <c r="M31" t="str">
        <f t="shared" ca="1" si="2"/>
        <v/>
      </c>
      <c r="N31" s="4" t="str">
        <f ca="1">IF(ISBLANK(D31),"",Open_time Control_1+(INT(L31)&amp;":"&amp;IF(ROUND(((L31-INT(L31))*60),0)&lt;10,0,"")&amp;ROUND(((L31-INT(L31))*60),0)))</f>
        <v/>
      </c>
      <c r="O31" s="4" t="str">
        <f ca="1">IF(ISBLANK(D31),"",Open_time Control_1+(INT(M31)&amp;":"&amp;IF(ROUND(((M31-INT(M31))*60),0)&lt;10,0,"")&amp;ROUND(((M31-INT(M31))*60),0)))</f>
        <v/>
      </c>
    </row>
    <row r="32" spans="2:26" ht="17.100000000000001" customHeight="1">
      <c r="D32" s="17"/>
      <c r="E32" s="37"/>
      <c r="F32" s="38"/>
      <c r="G32" s="38"/>
      <c r="H32" s="39"/>
      <c r="I32" s="38"/>
      <c r="J32" s="38"/>
      <c r="K32" s="39"/>
      <c r="L32" t="str">
        <f t="shared" si="3"/>
        <v/>
      </c>
      <c r="M32" t="str">
        <f t="shared" ca="1" si="2"/>
        <v/>
      </c>
      <c r="N32" s="4" t="str">
        <f ca="1">IF(ISBLANK(D32),"",Open_time Control_1+(INT(L32)&amp;":"&amp;IF(ROUND(((L32-INT(L32))*60),0)&lt;10,0,"")&amp;ROUND(((L32-INT(L32))*60),0)))</f>
        <v/>
      </c>
      <c r="O32" s="4" t="str">
        <f ca="1">IF(ISBLANK(D32),"",Open_time Control_1+(INT(M32)&amp;":"&amp;IF(ROUND(((M32-INT(M32))*60),0)&lt;10,0,"")&amp;ROUND(((M32-INT(M32))*60),0)))</f>
        <v/>
      </c>
    </row>
    <row r="33" spans="4:15" ht="17.100000000000001" customHeight="1">
      <c r="D33" s="17"/>
      <c r="E33" s="37"/>
      <c r="F33" s="38"/>
      <c r="G33" s="38"/>
      <c r="H33" s="39"/>
      <c r="I33" s="38"/>
      <c r="J33" s="38"/>
      <c r="K33" s="39"/>
      <c r="L33" t="str">
        <f t="shared" si="3"/>
        <v/>
      </c>
      <c r="M33" t="str">
        <f t="shared" ca="1" si="2"/>
        <v/>
      </c>
      <c r="N33" s="4" t="str">
        <f ca="1">IF(ISBLANK(D33),"",Open_time Control_1+(INT(L33)&amp;":"&amp;IF(ROUND(((L33-INT(L33))*60),0)&lt;10,0,"")&amp;ROUND(((L33-INT(L33))*60),0)))</f>
        <v/>
      </c>
      <c r="O33" s="4" t="str">
        <f ca="1">IF(ISBLANK(D33),"",Open_time Control_1+(INT(M33)&amp;":"&amp;IF(ROUND(((M33-INT(M33))*60),0)&lt;10,0,"")&amp;ROUND(((M33-INT(M33))*60),0)))</f>
        <v/>
      </c>
    </row>
    <row r="34" spans="4:15" ht="17.100000000000001" customHeight="1">
      <c r="D34" s="17"/>
      <c r="E34" s="37"/>
      <c r="F34" s="38"/>
      <c r="G34" s="38"/>
      <c r="H34" s="39"/>
      <c r="I34" s="38"/>
      <c r="J34" s="38"/>
      <c r="K34" s="39"/>
      <c r="L34" t="str">
        <f t="shared" si="3"/>
        <v/>
      </c>
      <c r="M34" t="str">
        <f t="shared" ca="1" si="2"/>
        <v/>
      </c>
      <c r="N34" s="4" t="str">
        <f ca="1">IF(ISBLANK(D34),"",Open_time Control_1+(INT(L34)&amp;":"&amp;IF(ROUND(((L34-INT(L34))*60),0)&lt;10,0,"")&amp;ROUND(((L34-INT(L34))*60),0)))</f>
        <v/>
      </c>
      <c r="O34" s="4" t="str">
        <f ca="1">IF(ISBLANK(D34),"",Open_time Control_1+(INT(M34)&amp;":"&amp;IF(ROUND(((M34-INT(M34))*60),0)&lt;10,0,"")&amp;ROUND(((M34-INT(M34))*60),0)))</f>
        <v/>
      </c>
    </row>
    <row r="35" spans="4:15" ht="17.100000000000001" customHeight="1">
      <c r="D35" s="17"/>
      <c r="E35" s="37"/>
      <c r="F35" s="38"/>
      <c r="G35" s="38"/>
      <c r="H35" s="39"/>
      <c r="I35" s="38"/>
      <c r="J35" s="38"/>
      <c r="K35" s="39"/>
      <c r="L35" t="str">
        <f t="shared" si="3"/>
        <v/>
      </c>
      <c r="M35" t="str">
        <f t="shared" ca="1" si="2"/>
        <v/>
      </c>
      <c r="N35" s="4" t="str">
        <f ca="1">IF(ISBLANK(D35),"",Open_time Control_1+(INT(L35)&amp;":"&amp;IF(ROUND(((L35-INT(L35))*60),0)&lt;10,0,"")&amp;ROUND(((L35-INT(L35))*60),0)))</f>
        <v/>
      </c>
      <c r="O35" s="4" t="str">
        <f ca="1">IF(ISBLANK(D35),"",Open_time Control_1+(INT(M35)&amp;":"&amp;IF(ROUND(((M35-INT(M35))*60),0)&lt;10,0,"")&amp;ROUND(((M35-INT(M35))*60),0)))</f>
        <v/>
      </c>
    </row>
    <row r="36" spans="4:15" ht="17.100000000000001" customHeight="1">
      <c r="D36" s="17"/>
      <c r="E36" s="37"/>
      <c r="F36" s="38"/>
      <c r="G36" s="38"/>
      <c r="H36" s="39"/>
      <c r="I36" s="38"/>
      <c r="J36" s="38"/>
      <c r="K36" s="39"/>
      <c r="L36" t="str">
        <f t="shared" si="3"/>
        <v/>
      </c>
      <c r="M36" t="str">
        <f t="shared" ca="1" si="2"/>
        <v/>
      </c>
      <c r="N36" s="4" t="str">
        <f ca="1">IF(ISBLANK(D36),"",Open_time Control_1+(INT(L36)&amp;":"&amp;IF(ROUND(((L36-INT(L36))*60),0)&lt;10,0,"")&amp;ROUND(((L36-INT(L36))*60),0)))</f>
        <v/>
      </c>
      <c r="O36" s="4" t="str">
        <f ca="1">IF(ISBLANK(D36),"",Open_time Control_1+(INT(M36)&amp;":"&amp;IF(ROUND(((M36-INT(M36))*60),0)&lt;10,0,"")&amp;ROUND(((M36-INT(M36))*60),0)))</f>
        <v/>
      </c>
    </row>
    <row r="37" spans="4:15" ht="17.100000000000001" customHeight="1" thickBot="1">
      <c r="D37" s="23"/>
      <c r="E37" s="37"/>
      <c r="F37" s="38"/>
      <c r="G37" s="38"/>
      <c r="H37" s="39"/>
      <c r="I37" s="38"/>
      <c r="J37" s="38"/>
      <c r="K37" s="39"/>
      <c r="L37" t="str">
        <f t="shared" si="3"/>
        <v/>
      </c>
      <c r="M37" t="str">
        <f t="shared" ca="1" si="2"/>
        <v/>
      </c>
      <c r="N37" s="4" t="str">
        <f ca="1">IF(ISBLANK(D37),"",Open_time Control_1+(INT(L37)&amp;":"&amp;IF(ROUND(((L37-INT(L37))*60),0)&lt;10,0,"")&amp;ROUND(((L37-INT(L37))*60),0)))</f>
        <v/>
      </c>
      <c r="O37" s="4" t="str">
        <f ca="1">IF(ISBLANK(D37),"",Open_time Control_1+(INT(M37)&amp;":"&amp;IF(ROUND(((M37-INT(M37))*60),0)&lt;10,0,"")&amp;ROUND(((M37-INT(M37))*60),0)))</f>
        <v/>
      </c>
    </row>
  </sheetData>
  <sheetProtection sheet="1" objects="1" scenarios="1" formatCells="0" selectLockedCells="1"/>
  <mergeCells count="8">
    <mergeCell ref="D26:H26"/>
    <mergeCell ref="I26:K26"/>
    <mergeCell ref="A1:G1"/>
    <mergeCell ref="B8:F8"/>
    <mergeCell ref="Q1:AF4"/>
    <mergeCell ref="J6:K6"/>
    <mergeCell ref="D13:H13"/>
    <mergeCell ref="I13:K13"/>
  </mergeCells>
  <phoneticPr fontId="9" type="noConversion"/>
  <pageMargins left="0.75" right="0.75" top="1" bottom="1" header="0.5" footer="0.5"/>
  <pageSetup orientation="portrait" horizontalDpi="4294967292" verticalDpi="4294967292" r:id="rId1"/>
  <headerFooter>
    <oddHeader>&amp;A</oddHeader>
    <oddFooter>Page &amp;P</oddFooter>
  </headerFooter>
  <legacyDrawing r:id="rId2"/>
</worksheet>
</file>

<file path=xl/worksheets/sheet2.xml><?xml version="1.0" encoding="utf-8"?>
<worksheet xmlns="http://schemas.openxmlformats.org/spreadsheetml/2006/main" xmlns:r="http://schemas.openxmlformats.org/officeDocument/2006/relationships">
  <sheetPr>
    <pageSetUpPr fitToPage="1"/>
  </sheetPr>
  <dimension ref="B1:O57"/>
  <sheetViews>
    <sheetView tabSelected="1" topLeftCell="A21" zoomScale="115" zoomScaleNormal="115" zoomScalePageLayoutView="75" workbookViewId="0">
      <selection activeCell="F26" sqref="F26"/>
    </sheetView>
  </sheetViews>
  <sheetFormatPr defaultColWidth="8.85546875" defaultRowHeight="12.75"/>
  <cols>
    <col min="1" max="1" width="1.85546875" customWidth="1"/>
    <col min="2" max="2" width="12.85546875" customWidth="1"/>
    <col min="3" max="4" width="15.85546875" customWidth="1"/>
    <col min="5" max="5" width="25.85546875" customWidth="1"/>
    <col min="6" max="6" width="40.85546875" customWidth="1"/>
    <col min="7" max="7" width="12.85546875" customWidth="1"/>
    <col min="8" max="8" width="25.85546875" customWidth="1"/>
    <col min="9" max="9" width="30.85546875" customWidth="1"/>
    <col min="10" max="10" width="25.85546875" customWidth="1"/>
    <col min="11" max="11" width="1.85546875" customWidth="1"/>
    <col min="12" max="12" width="8.85546875" customWidth="1"/>
  </cols>
  <sheetData>
    <row r="1" spans="2:15">
      <c r="K1" s="88"/>
      <c r="L1" s="88"/>
      <c r="M1" s="88"/>
    </row>
    <row r="2" spans="2:15" ht="18">
      <c r="C2" s="144" t="s">
        <v>33</v>
      </c>
      <c r="D2" s="144"/>
      <c r="E2" s="144"/>
      <c r="F2" s="144"/>
      <c r="G2" s="63"/>
      <c r="H2" s="63"/>
      <c r="I2" s="91" t="s">
        <v>58</v>
      </c>
      <c r="J2" s="92">
        <f ca="1">'Control Entry'!B4</f>
        <v>0</v>
      </c>
      <c r="K2" s="63"/>
      <c r="L2" s="63"/>
    </row>
    <row r="3" spans="2:15" ht="45" customHeight="1">
      <c r="D3" s="12"/>
      <c r="E3" s="153" t="s">
        <v>29</v>
      </c>
      <c r="F3" s="153"/>
      <c r="G3" s="153"/>
      <c r="H3" s="153"/>
      <c r="I3" s="76" t="s">
        <v>60</v>
      </c>
      <c r="J3" s="84">
        <f ca="1">IF(ISBLANK(Brevet_Number),"",Brevet_Number)</f>
        <v>5602</v>
      </c>
      <c r="K3" s="43"/>
      <c r="L3" s="43"/>
    </row>
    <row r="4" spans="2:15" ht="20.100000000000001" customHeight="1">
      <c r="C4" s="12"/>
      <c r="E4" s="154" t="str">
        <f ca="1">IF(ISBLANK(Brevet_Length),"",Brevet_Length&amp;" km Randonnée")</f>
        <v>300 km Randonnée</v>
      </c>
      <c r="F4" s="154"/>
      <c r="G4" s="154"/>
      <c r="H4" s="154"/>
      <c r="K4" s="58"/>
      <c r="L4" s="58"/>
    </row>
    <row r="5" spans="2:15" ht="20.100000000000001" customHeight="1">
      <c r="D5" s="59"/>
      <c r="E5" s="152" t="str">
        <f ca="1">IF(ISBLANK(Brevet_Description),"",Brevet_Description)</f>
        <v>Ryder Hatzic Hill LM300-1</v>
      </c>
      <c r="F5" s="152"/>
      <c r="G5" s="152"/>
      <c r="H5" s="152"/>
      <c r="I5" s="87"/>
      <c r="J5" s="59"/>
      <c r="K5" s="59"/>
      <c r="L5" s="59"/>
    </row>
    <row r="6" spans="2:15" ht="20.25">
      <c r="D6" s="77"/>
      <c r="E6" s="152"/>
      <c r="F6" s="152"/>
      <c r="G6" s="152"/>
      <c r="H6" s="152"/>
      <c r="I6" s="87"/>
      <c r="J6" s="77"/>
      <c r="K6" s="59"/>
      <c r="L6" s="59"/>
    </row>
    <row r="7" spans="2:15" ht="24.95" customHeight="1">
      <c r="C7" s="148"/>
      <c r="D7" s="148"/>
      <c r="E7" s="148"/>
      <c r="F7" s="148"/>
      <c r="H7" s="150"/>
    </row>
    <row r="8" spans="2:15" ht="21" thickBot="1">
      <c r="B8" s="60" t="s">
        <v>61</v>
      </c>
      <c r="C8" s="149"/>
      <c r="D8" s="149"/>
      <c r="E8" s="149"/>
      <c r="F8" s="149"/>
      <c r="G8" s="20" t="s">
        <v>31</v>
      </c>
      <c r="H8" s="151"/>
      <c r="I8" s="61"/>
      <c r="J8" s="61"/>
      <c r="K8" s="61"/>
      <c r="L8" s="19"/>
    </row>
    <row r="9" spans="2:15" ht="21.95" customHeight="1">
      <c r="B9" s="78"/>
      <c r="C9" s="78"/>
      <c r="D9" s="78"/>
      <c r="E9" s="78"/>
      <c r="F9" s="79"/>
      <c r="G9" s="80"/>
      <c r="H9" s="80"/>
      <c r="I9" s="80"/>
      <c r="J9" s="79"/>
    </row>
    <row r="10" spans="2:15" ht="20.100000000000001" customHeight="1">
      <c r="B10" s="146" t="s">
        <v>34</v>
      </c>
      <c r="C10" s="146"/>
      <c r="D10" s="72" t="s">
        <v>35</v>
      </c>
      <c r="E10" s="147" t="s">
        <v>57</v>
      </c>
      <c r="F10" s="147"/>
      <c r="G10" s="147"/>
      <c r="H10" s="83"/>
      <c r="I10" s="67"/>
      <c r="J10" s="67"/>
      <c r="K10" s="22"/>
      <c r="L10" s="133"/>
      <c r="M10" s="133"/>
      <c r="N10" s="133"/>
      <c r="O10" s="133"/>
    </row>
    <row r="11" spans="2:15" ht="23.25">
      <c r="B11" s="66"/>
      <c r="C11" s="66" t="s">
        <v>73</v>
      </c>
      <c r="D11" s="66"/>
      <c r="E11" s="66"/>
      <c r="F11" s="62"/>
      <c r="G11" s="68"/>
      <c r="H11" s="68"/>
      <c r="I11" s="68"/>
      <c r="J11" s="62"/>
    </row>
    <row r="12" spans="2:15" ht="21" thickBot="1">
      <c r="D12" s="137" t="s">
        <v>19</v>
      </c>
      <c r="E12" s="137"/>
      <c r="F12" s="82">
        <f ca="1">IF(ISBLANK('Control Entry'!B12),"",'Control Entry'!B12)</f>
        <v>46137</v>
      </c>
      <c r="G12" s="86"/>
      <c r="H12" s="73" t="s">
        <v>63</v>
      </c>
      <c r="I12" s="81">
        <f ca="1">IF(ISBLANK('Control Entry'!B13),"",'Control Entry'!B13)</f>
        <v>0.25</v>
      </c>
      <c r="J12" s="26"/>
    </row>
    <row r="13" spans="2:15" ht="20.25">
      <c r="D13" s="25"/>
      <c r="E13" s="25"/>
      <c r="F13" s="24"/>
      <c r="G13" s="24"/>
      <c r="H13" s="24"/>
      <c r="J13" s="19"/>
      <c r="K13" s="14"/>
      <c r="L13" s="26"/>
      <c r="M13" s="26"/>
      <c r="N13" s="26"/>
      <c r="O13" s="19"/>
    </row>
    <row r="14" spans="2:15" ht="21" thickBot="1">
      <c r="D14" s="138" t="s">
        <v>62</v>
      </c>
      <c r="E14" s="138"/>
      <c r="F14" s="82"/>
      <c r="G14" s="86"/>
      <c r="H14" s="73" t="s">
        <v>64</v>
      </c>
      <c r="I14" s="81"/>
      <c r="J14" s="26"/>
      <c r="K14" s="13"/>
      <c r="L14" s="75"/>
      <c r="M14" s="75"/>
      <c r="N14" s="75"/>
    </row>
    <row r="15" spans="2:15" ht="20.25">
      <c r="B15" s="41"/>
      <c r="C15" s="41"/>
      <c r="D15" s="24"/>
      <c r="E15" s="24"/>
      <c r="H15" s="24"/>
      <c r="I15" s="14"/>
      <c r="J15" s="14"/>
      <c r="K15" s="14"/>
      <c r="L15" s="14"/>
      <c r="M15" s="14"/>
      <c r="N15" s="14"/>
      <c r="O15" s="19"/>
    </row>
    <row r="16" spans="2:15" ht="21" thickBot="1">
      <c r="C16" s="74"/>
      <c r="D16" s="74"/>
      <c r="E16" s="74"/>
      <c r="F16" s="74"/>
      <c r="H16" s="20" t="s">
        <v>65</v>
      </c>
      <c r="I16" s="81"/>
      <c r="J16" s="26"/>
      <c r="K16" s="13"/>
      <c r="L16" s="75"/>
      <c r="M16" s="75"/>
      <c r="N16" s="75"/>
    </row>
    <row r="17" spans="2:15" ht="20.25">
      <c r="C17" s="139" t="s">
        <v>14</v>
      </c>
      <c r="D17" s="139"/>
      <c r="E17" s="139"/>
      <c r="F17" s="139"/>
      <c r="G17" s="22"/>
      <c r="H17" s="22"/>
      <c r="I17" s="140"/>
      <c r="J17" s="140"/>
      <c r="K17" s="22"/>
      <c r="L17" s="133"/>
      <c r="M17" s="133"/>
      <c r="N17" s="133"/>
      <c r="O17" s="133"/>
    </row>
    <row r="18" spans="2:15" ht="6" customHeight="1" thickBot="1">
      <c r="B18" s="69"/>
      <c r="C18" s="69"/>
      <c r="D18" s="69"/>
      <c r="E18" s="69"/>
      <c r="F18" s="70"/>
      <c r="G18" s="71"/>
      <c r="H18" s="71"/>
      <c r="I18" s="71"/>
      <c r="J18" s="70"/>
    </row>
    <row r="19" spans="2:15" ht="21.75" thickTop="1" thickBot="1">
      <c r="B19" s="145" t="s">
        <v>50</v>
      </c>
      <c r="C19" s="145"/>
      <c r="D19" s="145"/>
      <c r="E19" s="145"/>
      <c r="F19" s="145"/>
      <c r="G19" s="145"/>
      <c r="H19" s="145"/>
      <c r="I19" s="145"/>
      <c r="J19" s="145"/>
    </row>
    <row r="20" spans="2:15" ht="36.75" thickBot="1">
      <c r="B20" s="57" t="s">
        <v>26</v>
      </c>
      <c r="C20" s="8" t="s">
        <v>0</v>
      </c>
      <c r="D20" s="8" t="s">
        <v>1</v>
      </c>
      <c r="E20" s="8" t="s">
        <v>22</v>
      </c>
      <c r="F20" s="8" t="s">
        <v>27</v>
      </c>
      <c r="G20" s="141" t="s">
        <v>36</v>
      </c>
      <c r="H20" s="142"/>
      <c r="I20" s="143"/>
      <c r="J20" s="57" t="s">
        <v>28</v>
      </c>
    </row>
    <row r="21" spans="2:15" ht="39.950000000000003" customHeight="1">
      <c r="B21" s="102"/>
      <c r="C21" s="114">
        <f ca="1">Control_1 Open_time</f>
        <v>46137.25</v>
      </c>
      <c r="D21" s="114">
        <f ca="1">Control_1 Close_time</f>
        <v>46137.291666666664</v>
      </c>
      <c r="E21" s="103"/>
      <c r="F21" s="104" t="str">
        <f ca="1">IF(ISBLANK(Control_1 Establishment_1),"",Control_1 Establishment_1)</f>
        <v>Ontario St &amp;</v>
      </c>
      <c r="G21" s="124" t="str">
        <f ca="1">IF(ISBLANK('Control Entry'!I15),"",'Control Entry'!I15)</f>
        <v/>
      </c>
      <c r="H21" s="125"/>
      <c r="I21" s="126"/>
      <c r="J21" s="105"/>
    </row>
    <row r="22" spans="2:15" ht="39.950000000000003" customHeight="1">
      <c r="B22" s="106">
        <f ca="1">IF(ISBLANK(Distance Control_1),"",Control_1 Distance)</f>
        <v>0</v>
      </c>
      <c r="C22" s="107">
        <f ca="1">Control_1 Open_time</f>
        <v>46137.25</v>
      </c>
      <c r="D22" s="107">
        <f ca="1">Control_1 Close_time</f>
        <v>46137.291666666664</v>
      </c>
      <c r="E22" s="104" t="str">
        <f ca="1">IF(ISBLANK(Locale Control_1),"",Locale Control_1)</f>
        <v>Riley Park</v>
      </c>
      <c r="F22" s="104" t="str">
        <f ca="1">IF(ISBLANK(Control_1 Establishment_2),"",Control_1 Establishment_2)</f>
        <v>E 30th Ave</v>
      </c>
      <c r="G22" s="127" t="str">
        <f ca="1">IF(ISBLANK('Control Entry'!J15),"",'Control Entry'!J15)</f>
        <v/>
      </c>
      <c r="H22" s="128"/>
      <c r="I22" s="129"/>
      <c r="J22" s="108"/>
    </row>
    <row r="23" spans="2:15" ht="39.950000000000003" customHeight="1" thickBot="1">
      <c r="B23" s="109"/>
      <c r="C23" s="115">
        <f ca="1">Control_1 Open_time</f>
        <v>46137.25</v>
      </c>
      <c r="D23" s="115">
        <f ca="1">Control_1 Close_time</f>
        <v>46137.291666666664</v>
      </c>
      <c r="E23" s="110"/>
      <c r="F23" s="111" t="str">
        <f ca="1">IF(ISBLANK(Control_1 Establishment_3),"",Control_1 Establishment_3)</f>
        <v/>
      </c>
      <c r="G23" s="130" t="str">
        <f ca="1">IF(ISBLANK('Control Entry'!K15),"",'Control Entry'!K15)</f>
        <v/>
      </c>
      <c r="H23" s="131"/>
      <c r="I23" s="132"/>
      <c r="J23" s="112"/>
    </row>
    <row r="24" spans="2:15" ht="39.950000000000003" customHeight="1">
      <c r="B24" s="102"/>
      <c r="C24" s="114">
        <f ca="1">Control_2 Open_time</f>
        <v>46137.363888888889</v>
      </c>
      <c r="D24" s="114">
        <f ca="1">Control_2 Close_time</f>
        <v>46137.507638888892</v>
      </c>
      <c r="E24" s="113"/>
      <c r="F24" s="104" t="str">
        <f ca="1">IF(ISBLANK(Control_2 Establishment_1),"",Control_2 Establishment_1)</f>
        <v xml:space="preserve">Mc Connell Creek </v>
      </c>
      <c r="G24" s="124" t="str">
        <f ca="1">IF(ISBLANK('Control Entry'!I16),"",'Control Entry'!I16)</f>
        <v>Musical "A _____ Carol"</v>
      </c>
      <c r="H24" s="125"/>
      <c r="I24" s="126"/>
      <c r="J24" s="105"/>
    </row>
    <row r="25" spans="2:15" ht="39.950000000000003" customHeight="1">
      <c r="B25" s="106">
        <f ca="1">IF(ISBLANK(Distance Control_2),"",Control_2 Distance)</f>
        <v>92.8</v>
      </c>
      <c r="C25" s="107">
        <f ca="1">Control_2 Open_time</f>
        <v>46137.363888888889</v>
      </c>
      <c r="D25" s="107">
        <f ca="1">Control_2 Close_time</f>
        <v>46137.507638888892</v>
      </c>
      <c r="E25" s="104" t="str">
        <f ca="1">IF(ISBLANK(Locale Control_2),"",Locale Control_2)</f>
        <v>35483 Hartley Rd</v>
      </c>
      <c r="F25" s="104" t="str">
        <f ca="1">IF(ISBLANK(Control_2 Establishment_2),"",Control_2 Establishment_2)</f>
        <v>Farmer's Institute</v>
      </c>
      <c r="G25" s="127" t="str">
        <f ca="1">IF(ISBLANK('Control Entry'!J16),"",'Control Entry'!J16)</f>
        <v/>
      </c>
      <c r="H25" s="128"/>
      <c r="I25" s="129"/>
      <c r="J25" s="108"/>
    </row>
    <row r="26" spans="2:15" ht="39.950000000000003" customHeight="1" thickBot="1">
      <c r="B26" s="109"/>
      <c r="C26" s="115">
        <f ca="1">Control_2 Open_time</f>
        <v>46137.363888888889</v>
      </c>
      <c r="D26" s="115">
        <f ca="1">Control_2 Close_time</f>
        <v>46137.507638888892</v>
      </c>
      <c r="E26" s="110"/>
      <c r="F26" s="111" t="str">
        <f ca="1">IF(ISBLANK(Control_2 Establishment_3),"",Control_2 Establishment_3)</f>
        <v xml:space="preserve">Bulletin Board Posting </v>
      </c>
      <c r="G26" s="130" t="str">
        <f ca="1">IF(ISBLANK('Control Entry'!K16),"",'Control Entry'!K16)</f>
        <v/>
      </c>
      <c r="H26" s="131"/>
      <c r="I26" s="132"/>
      <c r="J26" s="112"/>
    </row>
    <row r="27" spans="2:15" ht="39.950000000000003" customHeight="1">
      <c r="B27" s="102"/>
      <c r="C27" s="114">
        <f ca="1">Control_3 Open_time</f>
        <v>46137.407638888886</v>
      </c>
      <c r="D27" s="114">
        <f ca="1">Control_3 Close_time</f>
        <v>46137.607638888891</v>
      </c>
      <c r="E27" s="113"/>
      <c r="F27" s="104" t="str">
        <f ca="1">IF(ISBLANK(Control_3 Establishment_1),"",Control_3 Establishment_1)</f>
        <v xml:space="preserve"> (just past corner of Dawson)</v>
      </c>
      <c r="G27" s="124" t="str">
        <f ca="1">IF(ISBLANK('Control Entry'!I17),"",'Control Entry'!I17)</f>
        <v>"Horse Board &amp; ____ Service"</v>
      </c>
      <c r="H27" s="125"/>
      <c r="I27" s="126"/>
      <c r="J27" s="105"/>
    </row>
    <row r="28" spans="2:15" ht="39.950000000000003" customHeight="1">
      <c r="B28" s="106">
        <f ca="1">IF(ISBLANK(Distance Control_3),"",Control_3 Distance)</f>
        <v>128.80000000000001</v>
      </c>
      <c r="C28" s="107">
        <f ca="1">Control_3 Open_time</f>
        <v>46137.407638888886</v>
      </c>
      <c r="D28" s="107">
        <f ca="1">Control_3 Close_time</f>
        <v>46137.607638888891</v>
      </c>
      <c r="E28" s="104" t="str">
        <f ca="1">IF(ISBLANK(Locale Control_3),"",Locale Control_3)</f>
        <v>Sumas Mtn Rd</v>
      </c>
      <c r="F28" s="104" t="str">
        <f ca="1">IF(ISBLANK(Control_3 Establishment_2),"",Control_3 Establishment_2)</f>
        <v>Community Bulletin Board</v>
      </c>
      <c r="G28" s="127" t="str">
        <f ca="1">IF(ISBLANK('Control Entry'!J17),"",'Control Entry'!J17)</f>
        <v/>
      </c>
      <c r="H28" s="128"/>
      <c r="I28" s="129"/>
      <c r="J28" s="108"/>
    </row>
    <row r="29" spans="2:15" ht="39.950000000000003" customHeight="1" thickBot="1">
      <c r="B29" s="109"/>
      <c r="C29" s="115">
        <f ca="1">Control_3 Open_time</f>
        <v>46137.407638888886</v>
      </c>
      <c r="D29" s="115">
        <f ca="1">Control_3 Close_time</f>
        <v>46137.607638888891</v>
      </c>
      <c r="E29" s="110"/>
      <c r="F29" s="111" t="str">
        <f ca="1">IF(ISBLANK(Control_3 Establishment_3),"",Control_3 Establishment_3)</f>
        <v/>
      </c>
      <c r="G29" s="130" t="str">
        <f ca="1">IF(ISBLANK('Control Entry'!K17),"",'Control Entry'!K17)</f>
        <v/>
      </c>
      <c r="H29" s="131"/>
      <c r="I29" s="132"/>
      <c r="J29" s="112"/>
    </row>
    <row r="30" spans="2:15" ht="39.950000000000003" customHeight="1">
      <c r="B30" s="102"/>
      <c r="C30" s="114">
        <f ca="1">Control_4 Open_time</f>
        <v>46137.453472222223</v>
      </c>
      <c r="D30" s="114">
        <f ca="1">Control_4 Close_time</f>
        <v>46137.711111111108</v>
      </c>
      <c r="E30" s="113"/>
      <c r="F30" s="104" t="str">
        <f ca="1">IF(ISBLANK(Control_4 Establishment_1),"",Control_4 Establishment_1)</f>
        <v>Ryder Lake Park</v>
      </c>
      <c r="G30" s="124" t="str">
        <f ca="1">IF(ISBLANK('Control Entry'!I18),"",'Control Entry'!I18)</f>
        <v/>
      </c>
      <c r="H30" s="125"/>
      <c r="I30" s="126"/>
      <c r="J30" s="105"/>
    </row>
    <row r="31" spans="2:15" ht="39.950000000000003" customHeight="1">
      <c r="B31" s="106">
        <f ca="1">IF(ISBLANK(Distance Control_4),"",Control_4 Distance)</f>
        <v>166.1</v>
      </c>
      <c r="C31" s="107">
        <f ca="1">Control_4 Open_time</f>
        <v>46137.453472222223</v>
      </c>
      <c r="D31" s="107">
        <f ca="1">Control_4 Close_time</f>
        <v>46137.711111111108</v>
      </c>
      <c r="E31" s="104" t="str">
        <f ca="1">IF(ISBLANK(Locale Control_4),"",Locale Control_4)</f>
        <v>49265 Elk View Rd</v>
      </c>
      <c r="F31" s="104" t="str">
        <f ca="1">IF(ISBLANK(Control_4 Establishment_2),"",Control_4 Establishment_2)</f>
        <v>opposite Hall</v>
      </c>
      <c r="G31" s="127" t="str">
        <f ca="1">IF(ISBLANK('Control Entry'!J18),"",'Control Entry'!J18)</f>
        <v/>
      </c>
      <c r="H31" s="128"/>
      <c r="I31" s="129"/>
      <c r="J31" s="108"/>
    </row>
    <row r="32" spans="2:15" ht="39.950000000000003" customHeight="1" thickBot="1">
      <c r="B32" s="109"/>
      <c r="C32" s="115">
        <f ca="1">Control_4 Open_time</f>
        <v>46137.453472222223</v>
      </c>
      <c r="D32" s="115">
        <f ca="1">Control_4 Close_time</f>
        <v>46137.711111111108</v>
      </c>
      <c r="E32" s="110"/>
      <c r="F32" s="111" t="str">
        <f ca="1">IF(ISBLANK(Control_4 Establishment_3),"",Control_4 Establishment_3)</f>
        <v/>
      </c>
      <c r="G32" s="130" t="str">
        <f ca="1">IF(ISBLANK('Control Entry'!K18),"",'Control Entry'!K18)</f>
        <v/>
      </c>
      <c r="H32" s="131"/>
      <c r="I32" s="132"/>
      <c r="J32" s="112"/>
    </row>
    <row r="33" spans="2:10" ht="39.950000000000003" customHeight="1">
      <c r="B33" s="102"/>
      <c r="C33" s="114">
        <f ca="1">Control_5 Open_time</f>
        <v>46137.499305555553</v>
      </c>
      <c r="D33" s="114">
        <f ca="1">Control_5 Close_time</f>
        <v>46137.814583333333</v>
      </c>
      <c r="E33" s="113"/>
      <c r="F33" s="104" t="str">
        <f ca="1">IF(ISBLANK(Control_5 Establishment_1),"",Control_5 Establishment_1)</f>
        <v>Birchwood Dairy</v>
      </c>
      <c r="G33" s="124" t="str">
        <f ca="1">IF(ISBLANK('Control Entry'!I19),"",'Control Entry'!I19)</f>
        <v>Licence Plate #?</v>
      </c>
      <c r="H33" s="125"/>
      <c r="I33" s="126"/>
      <c r="J33" s="105"/>
    </row>
    <row r="34" spans="2:10" ht="39.950000000000003" customHeight="1">
      <c r="B34" s="106">
        <f ca="1">IF(ISBLANK(Distance Control_5),"",Control_5 Distance)</f>
        <v>203.3</v>
      </c>
      <c r="C34" s="107">
        <f ca="1">Control_5 Open_time</f>
        <v>46137.499305555553</v>
      </c>
      <c r="D34" s="107">
        <f ca="1">Control_5 Close_time</f>
        <v>46137.814583333333</v>
      </c>
      <c r="E34" s="104" t="str">
        <f ca="1">IF(ISBLANK(Locale Control_5),"",Locale Control_5)</f>
        <v>1154 Fadden Rd</v>
      </c>
      <c r="F34" s="104" t="str">
        <f ca="1">IF(ISBLANK(Control_5 Establishment_2),"",Control_5 Establishment_2)</f>
        <v>Antique Car</v>
      </c>
      <c r="G34" s="127" t="str">
        <f ca="1">IF(ISBLANK('Control Entry'!J19),"",'Control Entry'!J19)</f>
        <v/>
      </c>
      <c r="H34" s="128"/>
      <c r="I34" s="129"/>
      <c r="J34" s="108"/>
    </row>
    <row r="35" spans="2:10" ht="39.950000000000003" customHeight="1" thickBot="1">
      <c r="B35" s="109"/>
      <c r="C35" s="115">
        <f ca="1">Control_5 Open_time</f>
        <v>46137.499305555553</v>
      </c>
      <c r="D35" s="115">
        <f ca="1">Control_5 Close_time</f>
        <v>46137.814583333333</v>
      </c>
      <c r="E35" s="110"/>
      <c r="F35" s="111" t="str">
        <f ca="1">IF(ISBLANK(Control_5 Establishment_3),"",Control_5 Establishment_3)</f>
        <v>by Washrooms</v>
      </c>
      <c r="G35" s="130" t="str">
        <f ca="1">IF(ISBLANK('Control Entry'!K19),"",'Control Entry'!K19)</f>
        <v/>
      </c>
      <c r="H35" s="131"/>
      <c r="I35" s="132"/>
      <c r="J35" s="112"/>
    </row>
    <row r="36" spans="2:10" ht="39.950000000000003" customHeight="1">
      <c r="B36" s="102"/>
      <c r="C36" s="114">
        <f ca="1">Control_6 Open_time</f>
        <v>46137.556250000001</v>
      </c>
      <c r="D36" s="114">
        <f ca="1">Control_6 Close_time</f>
        <v>46137.936111111114</v>
      </c>
      <c r="E36" s="113"/>
      <c r="F36" s="104" t="str">
        <f ca="1">IF(ISBLANK(Control_6 Establishment_1),"",Control_6 Establishment_1)</f>
        <v>NE Sidewalk</v>
      </c>
      <c r="G36" s="124" t="str">
        <f ca="1">IF(ISBLANK('Control Entry'!I20),"",'Control Entry'!I20)</f>
        <v>"Palisade Block ca. ____"</v>
      </c>
      <c r="H36" s="125"/>
      <c r="I36" s="126"/>
      <c r="J36" s="105"/>
    </row>
    <row r="37" spans="2:10" ht="39.950000000000003" customHeight="1">
      <c r="B37" s="106">
        <f ca="1">IF(ISBLANK(Distance Control_6),"",Control_6 Distance)</f>
        <v>247</v>
      </c>
      <c r="C37" s="107">
        <f ca="1">Control_6 Open_time</f>
        <v>46137.556250000001</v>
      </c>
      <c r="D37" s="107">
        <f ca="1">Control_6 Close_time</f>
        <v>46137.936111111114</v>
      </c>
      <c r="E37" s="104" t="str">
        <f ca="1">IF(ISBLANK(Locale Control_6),"",Locale Control_6)</f>
        <v>Fort Langley</v>
      </c>
      <c r="F37" s="104" t="str">
        <f ca="1">IF(ISBLANK(Control_6 Establishment_2),"",Control_6 Establishment_2)</f>
        <v>Mavis &amp; Glover</v>
      </c>
      <c r="G37" s="127" t="str">
        <f ca="1">IF(ISBLANK('Control Entry'!J20),"",'Control Entry'!J20)</f>
        <v/>
      </c>
      <c r="H37" s="128"/>
      <c r="I37" s="129"/>
      <c r="J37" s="108"/>
    </row>
    <row r="38" spans="2:10" ht="39.950000000000003" customHeight="1" thickBot="1">
      <c r="B38" s="109"/>
      <c r="C38" s="115">
        <f ca="1">Control_6 Open_time</f>
        <v>46137.556250000001</v>
      </c>
      <c r="D38" s="115">
        <f ca="1">Control_6 Close_time</f>
        <v>46137.936111111114</v>
      </c>
      <c r="E38" s="110"/>
      <c r="F38" s="111" t="str">
        <f ca="1">IF(ISBLANK(Control_6 Establishment_3),"",Control_6 Establishment_3)</f>
        <v/>
      </c>
      <c r="G38" s="130" t="str">
        <f ca="1">IF(ISBLANK('Control Entry'!K20),"",'Control Entry'!K20)</f>
        <v/>
      </c>
      <c r="H38" s="131"/>
      <c r="I38" s="132"/>
      <c r="J38" s="112"/>
    </row>
    <row r="39" spans="2:10" ht="39.950000000000003" customHeight="1">
      <c r="B39" s="102"/>
      <c r="C39" s="114">
        <f ca="1">Control_7 Open_time</f>
        <v>46137.611111111109</v>
      </c>
      <c r="D39" s="114">
        <f ca="1">Control_7 Close_time</f>
        <v>46138.052777777775</v>
      </c>
      <c r="E39" s="113"/>
      <c r="F39" s="104" t="str">
        <f ca="1">IF(ISBLANK(Control_7 Establishment_1),"",Control_7 Establishment_1)</f>
        <v>Sperling Ave &amp;</v>
      </c>
      <c r="G39" s="124" t="str">
        <f ca="1">IF(ISBLANK('Control Entry'!I21),"",'Control Entry'!I21)</f>
        <v># of Changerooms?</v>
      </c>
      <c r="H39" s="125"/>
      <c r="I39" s="126"/>
      <c r="J39" s="105"/>
    </row>
    <row r="40" spans="2:10" ht="39.950000000000003" customHeight="1">
      <c r="B40" s="106">
        <f ca="1">IF(ISBLANK(Distance Control_7),"",Control_7 Distance)</f>
        <v>289.10000000000002</v>
      </c>
      <c r="C40" s="107">
        <f ca="1">Control_7 Open_time</f>
        <v>46137.611111111109</v>
      </c>
      <c r="D40" s="107">
        <f ca="1">Control_7 Close_time</f>
        <v>46138.052777777775</v>
      </c>
      <c r="E40" s="104" t="str">
        <f ca="1">IF(ISBLANK(Locale Control_7),"",Locale Control_7)</f>
        <v>Burnaby Lake Washrooms</v>
      </c>
      <c r="F40" s="104" t="str">
        <f ca="1">IF(ISBLANK(Control_7 Establishment_2),"",Control_7 Establishment_2)</f>
        <v>Sprott St</v>
      </c>
      <c r="G40" s="127" t="str">
        <f ca="1">IF(ISBLANK('Control Entry'!J21),"",'Control Entry'!J21)</f>
        <v/>
      </c>
      <c r="H40" s="128"/>
      <c r="I40" s="129"/>
      <c r="J40" s="108"/>
    </row>
    <row r="41" spans="2:10" ht="39.950000000000003" customHeight="1" thickBot="1">
      <c r="B41" s="109"/>
      <c r="C41" s="115">
        <f ca="1">Control_7 Open_time</f>
        <v>46137.611111111109</v>
      </c>
      <c r="D41" s="115">
        <f ca="1">Control_7 Close_time</f>
        <v>46138.052777777775</v>
      </c>
      <c r="E41" s="110"/>
      <c r="F41" s="111" t="str">
        <f ca="1">IF(ISBLANK(Control_7 Establishment_3),"",Control_7 Establishment_3)</f>
        <v/>
      </c>
      <c r="G41" s="130" t="str">
        <f ca="1">IF(ISBLANK('Control Entry'!K21),"",'Control Entry'!K21)</f>
        <v/>
      </c>
      <c r="H41" s="131"/>
      <c r="I41" s="132"/>
      <c r="J41" s="112"/>
    </row>
    <row r="42" spans="2:10" ht="39.950000000000003" customHeight="1">
      <c r="B42" s="102"/>
      <c r="C42" s="114">
        <f ca="1">Control_8 Open_time</f>
        <v>46137.629861111112</v>
      </c>
      <c r="D42" s="114">
        <f ca="1">Control_8 Close_time</f>
        <v>46138.083333333336</v>
      </c>
      <c r="E42" s="113"/>
      <c r="F42" s="104" t="str">
        <f ca="1">IF(ISBLANK(Control_8 Establishment_1),"",Control_8 Establishment_1)</f>
        <v>4210 Main St</v>
      </c>
      <c r="G42" s="124" t="str">
        <f ca="1">IF(ISBLANK('Control Entry'!I22),"",'Control Entry'!I22)</f>
        <v/>
      </c>
      <c r="H42" s="125"/>
      <c r="I42" s="126"/>
      <c r="J42" s="105"/>
    </row>
    <row r="43" spans="2:10" ht="39.950000000000003" customHeight="1">
      <c r="B43" s="106">
        <f ca="1">IF(ISBLANK(Distance Control_8),"",Control_8 Distance)</f>
        <v>303.39999999999998</v>
      </c>
      <c r="C43" s="107">
        <f ca="1">Control_8 Open_time</f>
        <v>46137.629861111112</v>
      </c>
      <c r="D43" s="107">
        <f ca="1">Control_8 Close_time</f>
        <v>46138.083333333336</v>
      </c>
      <c r="E43" s="104" t="str">
        <f ca="1">IF(ISBLANK(Locale Control_8),"",Locale Control_8)</f>
        <v>3835 Main St</v>
      </c>
      <c r="F43" s="104" t="str">
        <f ca="1">IF(ISBLANK(Control_8 Establishment_2),"",Control_8 Establishment_2)</f>
        <v>"The Main" Pub</v>
      </c>
      <c r="G43" s="127" t="str">
        <f ca="1">IF(ISBLANK('Control Entry'!J22),"",'Control Entry'!J22)</f>
        <v/>
      </c>
      <c r="H43" s="128"/>
      <c r="I43" s="129"/>
      <c r="J43" s="108"/>
    </row>
    <row r="44" spans="2:10" ht="39.950000000000003" customHeight="1" thickBot="1">
      <c r="B44" s="109"/>
      <c r="C44" s="115">
        <f ca="1">Control_8 Open_time</f>
        <v>46137.629861111112</v>
      </c>
      <c r="D44" s="115">
        <f ca="1">Control_8 Close_time</f>
        <v>46138.083333333336</v>
      </c>
      <c r="E44" s="110"/>
      <c r="F44" s="111" t="str">
        <f ca="1">IF(ISBLANK(Control_8 Establishment_3),"",Control_8 Establishment_3)</f>
        <v>(closes at 12am)</v>
      </c>
      <c r="G44" s="130" t="str">
        <f ca="1">IF(ISBLANK('Control Entry'!K22),"",'Control Entry'!K22)</f>
        <v/>
      </c>
      <c r="H44" s="131"/>
      <c r="I44" s="132"/>
      <c r="J44" s="112"/>
    </row>
    <row r="45" spans="2:10" ht="39.950000000000003" customHeight="1">
      <c r="B45" s="102"/>
      <c r="C45" s="114" t="str">
        <f ca="1">Control_9 Open_time</f>
        <v/>
      </c>
      <c r="D45" s="114" t="str">
        <f ca="1">Control_9 Close_time</f>
        <v/>
      </c>
      <c r="E45" s="113"/>
      <c r="F45" s="104" t="str">
        <f ca="1">IF(ISBLANK(Control_9 Establishment_1),"",Control_9 Establishment_1)</f>
        <v/>
      </c>
      <c r="G45" s="124" t="str">
        <f ca="1">IF(ISBLANK('Control Entry'!I23),"",'Control Entry'!I23)</f>
        <v/>
      </c>
      <c r="H45" s="125"/>
      <c r="I45" s="126"/>
      <c r="J45" s="105"/>
    </row>
    <row r="46" spans="2:10" ht="39.950000000000003" customHeight="1">
      <c r="B46" s="106" t="str">
        <f ca="1">IF(ISBLANK(Distance Control_9),"",Control_9 Distance)</f>
        <v/>
      </c>
      <c r="C46" s="107" t="str">
        <f ca="1">Control_9 Open_time</f>
        <v/>
      </c>
      <c r="D46" s="107" t="str">
        <f ca="1">Control_9 Close_time</f>
        <v/>
      </c>
      <c r="E46" s="104" t="str">
        <f ca="1">IF(ISBLANK(Locale Control_9),"",Locale Control_9)</f>
        <v/>
      </c>
      <c r="F46" s="104" t="str">
        <f ca="1">IF(ISBLANK(Control_9 Establishment_2),"",Control_9 Establishment_2)</f>
        <v/>
      </c>
      <c r="G46" s="127" t="str">
        <f ca="1">IF(ISBLANK('Control Entry'!J23),"",'Control Entry'!J23)</f>
        <v/>
      </c>
      <c r="H46" s="128"/>
      <c r="I46" s="129"/>
      <c r="J46" s="108"/>
    </row>
    <row r="47" spans="2:10" ht="39.950000000000003" customHeight="1" thickBot="1">
      <c r="B47" s="109"/>
      <c r="C47" s="115" t="str">
        <f ca="1">Control_9 Open_time</f>
        <v/>
      </c>
      <c r="D47" s="115" t="str">
        <f ca="1">Control_9 Close_time</f>
        <v/>
      </c>
      <c r="E47" s="110"/>
      <c r="F47" s="111" t="str">
        <f ca="1">IF(ISBLANK(Control_9 Establishment_3),"",Control_9 Establishment_3)</f>
        <v/>
      </c>
      <c r="G47" s="130" t="str">
        <f ca="1">IF(ISBLANK('Control Entry'!K23),"",'Control Entry'!K23)</f>
        <v/>
      </c>
      <c r="H47" s="131"/>
      <c r="I47" s="132"/>
      <c r="J47" s="112"/>
    </row>
    <row r="48" spans="2:10" ht="39.950000000000003" customHeight="1">
      <c r="B48" s="102"/>
      <c r="C48" s="114" t="str">
        <f ca="1">Control_10 Open_time</f>
        <v/>
      </c>
      <c r="D48" s="114" t="str">
        <f ca="1">Control_10 Close_time</f>
        <v/>
      </c>
      <c r="E48" s="113"/>
      <c r="F48" s="104" t="str">
        <f ca="1">IF(ISBLANK(Control_10 Establishment_1),"",Control_10 Establishment_1)</f>
        <v/>
      </c>
      <c r="G48" s="124" t="str">
        <f ca="1">IF(ISBLANK('Control Entry'!I24),"",'Control Entry'!I24)</f>
        <v/>
      </c>
      <c r="H48" s="125"/>
      <c r="I48" s="126"/>
      <c r="J48" s="105"/>
    </row>
    <row r="49" spans="2:11" ht="39.950000000000003" customHeight="1">
      <c r="B49" s="106" t="str">
        <f ca="1">IF(ISBLANK(Distance Control_10),"",Control_10 Distance)</f>
        <v/>
      </c>
      <c r="C49" s="107" t="str">
        <f ca="1">Control_10 Open_time</f>
        <v/>
      </c>
      <c r="D49" s="107" t="str">
        <f ca="1">Control_10 Close_time</f>
        <v/>
      </c>
      <c r="E49" s="104" t="str">
        <f ca="1">IF(ISBLANK(Locale Control_10),"",Locale Control_10)</f>
        <v/>
      </c>
      <c r="F49" s="104" t="str">
        <f ca="1">IF(ISBLANK(Control_10 Establishment_2),"",Control_10 Establishment_2)</f>
        <v/>
      </c>
      <c r="G49" s="127" t="str">
        <f ca="1">IF(ISBLANK('Control Entry'!J24),"",'Control Entry'!J24)</f>
        <v/>
      </c>
      <c r="H49" s="128"/>
      <c r="I49" s="129"/>
      <c r="J49" s="108"/>
    </row>
    <row r="50" spans="2:11" ht="39.950000000000003" customHeight="1" thickBot="1">
      <c r="B50" s="109"/>
      <c r="C50" s="115" t="str">
        <f ca="1">Control_10 Open_time</f>
        <v/>
      </c>
      <c r="D50" s="115" t="str">
        <f ca="1">Control_10 Close_time</f>
        <v/>
      </c>
      <c r="E50" s="110"/>
      <c r="F50" s="111" t="str">
        <f ca="1">IF(ISBLANK(Control_10 Establishment_3),"",Control_10 Establishment_3)</f>
        <v/>
      </c>
      <c r="G50" s="130" t="str">
        <f ca="1">IF(ISBLANK('Control Entry'!K24),"",'Control Entry'!K24)</f>
        <v/>
      </c>
      <c r="H50" s="131"/>
      <c r="I50" s="132"/>
      <c r="J50" s="112"/>
    </row>
    <row r="52" spans="2:11" ht="24" customHeight="1">
      <c r="B52" s="136" t="s">
        <v>30</v>
      </c>
      <c r="C52" s="136"/>
      <c r="D52" s="136"/>
      <c r="E52" s="136"/>
      <c r="F52" s="136"/>
      <c r="I52" s="66" t="s">
        <v>56</v>
      </c>
      <c r="J52" s="94" t="str">
        <f ca="1">IF(ISBLANK('Control Entry'!F10),"",'Control Entry'!F10)</f>
        <v>778-875-6221</v>
      </c>
      <c r="K52" s="62"/>
    </row>
    <row r="54" spans="2:11">
      <c r="B54" s="89" t="s">
        <v>59</v>
      </c>
      <c r="C54" s="90">
        <f ca="1">'Control Entry'!B3</f>
        <v>45393</v>
      </c>
    </row>
    <row r="55" spans="2:11" ht="23.25">
      <c r="B55" s="66"/>
      <c r="C55" s="66"/>
      <c r="D55" s="66"/>
      <c r="E55" s="66"/>
      <c r="F55" s="62"/>
      <c r="G55" s="68"/>
      <c r="H55" s="68"/>
      <c r="I55" s="68"/>
      <c r="J55" s="62"/>
    </row>
    <row r="56" spans="2:11">
      <c r="E56" s="1"/>
    </row>
    <row r="57" spans="2:11">
      <c r="B57" s="64"/>
      <c r="C57" s="65"/>
      <c r="D57" s="65"/>
      <c r="E57" s="65"/>
      <c r="F57" s="134"/>
      <c r="G57" s="135"/>
      <c r="H57" s="135"/>
      <c r="I57" s="135"/>
      <c r="J57" s="135"/>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L17:M17"/>
    <mergeCell ref="D12:E12"/>
    <mergeCell ref="D14:E14"/>
    <mergeCell ref="G27:I27"/>
    <mergeCell ref="C17:F17"/>
    <mergeCell ref="I17:J17"/>
    <mergeCell ref="G20:I20"/>
    <mergeCell ref="G21:I21"/>
    <mergeCell ref="G22:I22"/>
    <mergeCell ref="G23:I23"/>
    <mergeCell ref="G24:I24"/>
    <mergeCell ref="G25:I25"/>
    <mergeCell ref="G28:I28"/>
    <mergeCell ref="G26:I26"/>
    <mergeCell ref="F57:J57"/>
    <mergeCell ref="G48:I48"/>
    <mergeCell ref="G49:I49"/>
    <mergeCell ref="G50:I50"/>
    <mergeCell ref="B52:F52"/>
    <mergeCell ref="G29:I29"/>
    <mergeCell ref="G30:I30"/>
    <mergeCell ref="G45:I45"/>
    <mergeCell ref="G46:I46"/>
    <mergeCell ref="G47:I47"/>
    <mergeCell ref="N17:O17"/>
    <mergeCell ref="G31:I31"/>
    <mergeCell ref="G37:I37"/>
    <mergeCell ref="G33:I33"/>
    <mergeCell ref="G34:I34"/>
    <mergeCell ref="G35:I35"/>
    <mergeCell ref="G36:I36"/>
  </mergeCells>
  <phoneticPr fontId="29" type="noConversion"/>
  <printOptions horizontalCentered="1" verticalCentered="1"/>
  <pageMargins left="0.39370078740157483" right="0.39370078740157483" top="0.39370078740157483" bottom="0.39370078740157483" header="0.15748031496062992" footer="0.15748031496062992"/>
  <pageSetup scale="44"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B1:O57"/>
  <sheetViews>
    <sheetView zoomScale="115" zoomScaleNormal="115" zoomScalePageLayoutView="75" workbookViewId="0">
      <selection activeCell="C14" sqref="C14"/>
    </sheetView>
  </sheetViews>
  <sheetFormatPr defaultColWidth="8.85546875" defaultRowHeight="12.75"/>
  <cols>
    <col min="1" max="1" width="1.85546875" customWidth="1"/>
    <col min="2" max="2" width="12.85546875" customWidth="1"/>
    <col min="3" max="4" width="15.85546875" customWidth="1"/>
    <col min="5" max="5" width="25.85546875" customWidth="1"/>
    <col min="6" max="6" width="40.85546875" customWidth="1"/>
    <col min="7" max="7" width="12.85546875" customWidth="1"/>
    <col min="8" max="8" width="25.85546875" customWidth="1"/>
    <col min="9" max="9" width="30.85546875" customWidth="1"/>
    <col min="10" max="10" width="25.85546875" customWidth="1"/>
    <col min="11" max="11" width="1.85546875" customWidth="1"/>
    <col min="12" max="12" width="8.85546875" customWidth="1"/>
  </cols>
  <sheetData>
    <row r="1" spans="2:15">
      <c r="K1" s="88"/>
      <c r="L1" s="88"/>
      <c r="M1" s="88"/>
    </row>
    <row r="2" spans="2:15" ht="18">
      <c r="C2" s="144" t="s">
        <v>33</v>
      </c>
      <c r="D2" s="144"/>
      <c r="E2" s="144"/>
      <c r="F2" s="144"/>
      <c r="G2" s="63"/>
      <c r="H2" s="63"/>
      <c r="I2" s="91" t="s">
        <v>58</v>
      </c>
      <c r="J2" s="92">
        <f ca="1">'Control Entry'!B4</f>
        <v>0</v>
      </c>
      <c r="K2" s="63"/>
      <c r="L2" s="63"/>
    </row>
    <row r="3" spans="2:15" ht="45" customHeight="1">
      <c r="D3" s="12"/>
      <c r="E3" s="153" t="s">
        <v>29</v>
      </c>
      <c r="F3" s="153"/>
      <c r="G3" s="153"/>
      <c r="H3" s="153"/>
      <c r="I3" s="76" t="s">
        <v>60</v>
      </c>
      <c r="J3" s="84">
        <f ca="1">IF(ISBLANK(Brevet_Number),"",Brevet_Number)</f>
        <v>5602</v>
      </c>
      <c r="K3" s="43"/>
      <c r="L3" s="43"/>
    </row>
    <row r="4" spans="2:15" ht="20.100000000000001" customHeight="1">
      <c r="C4" s="12"/>
      <c r="E4" s="154" t="str">
        <f ca="1">IF(ISBLANK(Brevet_Length),"",Brevet_Length&amp;" km Randonnée")</f>
        <v>300 km Randonnée</v>
      </c>
      <c r="F4" s="154"/>
      <c r="G4" s="154"/>
      <c r="H4" s="154"/>
      <c r="K4" s="58"/>
      <c r="L4" s="58"/>
    </row>
    <row r="5" spans="2:15" ht="20.100000000000001" customHeight="1">
      <c r="D5" s="59"/>
      <c r="E5" s="152" t="str">
        <f ca="1">IF(ISBLANK(Brevet_Description),"",Brevet_Description)</f>
        <v>Ryder Hatzic Hill LM300-1</v>
      </c>
      <c r="F5" s="152"/>
      <c r="G5" s="152"/>
      <c r="H5" s="152"/>
      <c r="I5" s="87"/>
      <c r="J5" s="59"/>
      <c r="K5" s="59"/>
      <c r="L5" s="59"/>
    </row>
    <row r="6" spans="2:15" ht="20.25">
      <c r="D6" s="77"/>
      <c r="E6" s="152"/>
      <c r="F6" s="152"/>
      <c r="G6" s="152"/>
      <c r="H6" s="152"/>
      <c r="I6" s="87"/>
      <c r="J6" s="77"/>
      <c r="K6" s="59"/>
      <c r="L6" s="59"/>
    </row>
    <row r="7" spans="2:15" ht="24.95" customHeight="1">
      <c r="C7" s="148"/>
      <c r="D7" s="148"/>
      <c r="E7" s="148"/>
      <c r="F7" s="148"/>
      <c r="H7" s="150"/>
    </row>
    <row r="8" spans="2:15" ht="21" thickBot="1">
      <c r="B8" s="60" t="s">
        <v>61</v>
      </c>
      <c r="C8" s="149"/>
      <c r="D8" s="149"/>
      <c r="E8" s="149"/>
      <c r="F8" s="149"/>
      <c r="G8" s="20" t="s">
        <v>31</v>
      </c>
      <c r="H8" s="151"/>
      <c r="I8" s="61"/>
      <c r="J8" s="61"/>
      <c r="K8" s="61"/>
      <c r="L8" s="19"/>
    </row>
    <row r="9" spans="2:15" ht="21.95" customHeight="1">
      <c r="B9" s="78"/>
      <c r="C9" s="78"/>
      <c r="D9" s="78"/>
      <c r="E9" s="78"/>
      <c r="F9" s="79"/>
      <c r="G9" s="80"/>
      <c r="H9" s="80"/>
      <c r="I9" s="80"/>
      <c r="J9" s="79"/>
    </row>
    <row r="10" spans="2:15" ht="20.100000000000001" customHeight="1">
      <c r="B10" s="146" t="s">
        <v>34</v>
      </c>
      <c r="C10" s="146"/>
      <c r="D10" s="72" t="s">
        <v>35</v>
      </c>
      <c r="E10" s="147" t="s">
        <v>57</v>
      </c>
      <c r="F10" s="147"/>
      <c r="G10" s="147"/>
      <c r="H10" s="83"/>
      <c r="I10" s="67"/>
      <c r="J10" s="67"/>
      <c r="K10" s="22"/>
      <c r="L10" s="133"/>
      <c r="M10" s="133"/>
      <c r="N10" s="133"/>
      <c r="O10" s="133"/>
    </row>
    <row r="11" spans="2:15" ht="23.25">
      <c r="B11" s="66"/>
      <c r="C11" s="66" t="s">
        <v>73</v>
      </c>
      <c r="D11" s="66"/>
      <c r="E11" s="66"/>
      <c r="F11" s="62"/>
      <c r="G11" s="68"/>
      <c r="H11" s="68"/>
      <c r="I11" s="68"/>
      <c r="J11" s="62"/>
    </row>
    <row r="12" spans="2:15" ht="21" thickBot="1">
      <c r="D12" s="137" t="s">
        <v>19</v>
      </c>
      <c r="E12" s="137"/>
      <c r="F12" s="82">
        <f ca="1">IF(ISBLANK('Control Entry'!B12),"",'Control Entry'!B12)</f>
        <v>46137</v>
      </c>
      <c r="G12" s="86"/>
      <c r="H12" s="73" t="s">
        <v>63</v>
      </c>
      <c r="I12" s="81">
        <f ca="1">IF(ISBLANK('Control Entry'!B13),"",'Control Entry'!B13)</f>
        <v>0.25</v>
      </c>
      <c r="J12" s="26"/>
    </row>
    <row r="13" spans="2:15" ht="20.25">
      <c r="D13" s="25"/>
      <c r="E13" s="25"/>
      <c r="F13" s="24"/>
      <c r="G13" s="24"/>
      <c r="H13" s="24"/>
      <c r="J13" s="19"/>
      <c r="K13" s="14"/>
      <c r="L13" s="26"/>
      <c r="M13" s="26"/>
      <c r="N13" s="26"/>
      <c r="O13" s="19"/>
    </row>
    <row r="14" spans="2:15" ht="21" thickBot="1">
      <c r="D14" s="138" t="s">
        <v>62</v>
      </c>
      <c r="E14" s="138"/>
      <c r="F14" s="82"/>
      <c r="G14" s="86"/>
      <c r="H14" s="73" t="s">
        <v>64</v>
      </c>
      <c r="I14" s="81"/>
      <c r="J14" s="26"/>
      <c r="K14" s="13"/>
      <c r="L14" s="75"/>
      <c r="M14" s="75"/>
      <c r="N14" s="75"/>
    </row>
    <row r="15" spans="2:15" ht="20.25">
      <c r="B15" s="41"/>
      <c r="C15" s="41"/>
      <c r="D15" s="24"/>
      <c r="E15" s="24"/>
      <c r="H15" s="24"/>
      <c r="I15" s="14"/>
      <c r="J15" s="14"/>
      <c r="K15" s="14"/>
      <c r="L15" s="14"/>
      <c r="M15" s="14"/>
      <c r="N15" s="14"/>
      <c r="O15" s="19"/>
    </row>
    <row r="16" spans="2:15" ht="21" thickBot="1">
      <c r="C16" s="74"/>
      <c r="D16" s="74"/>
      <c r="E16" s="74"/>
      <c r="F16" s="74"/>
      <c r="H16" s="20" t="s">
        <v>65</v>
      </c>
      <c r="I16" s="81"/>
      <c r="J16" s="26"/>
      <c r="K16" s="13"/>
      <c r="L16" s="75"/>
      <c r="M16" s="75"/>
      <c r="N16" s="75"/>
    </row>
    <row r="17" spans="2:15" ht="20.25">
      <c r="C17" s="139" t="s">
        <v>14</v>
      </c>
      <c r="D17" s="139"/>
      <c r="E17" s="139"/>
      <c r="F17" s="139"/>
      <c r="G17" s="22"/>
      <c r="H17" s="22"/>
      <c r="I17" s="140"/>
      <c r="J17" s="140"/>
      <c r="K17" s="22"/>
      <c r="L17" s="133"/>
      <c r="M17" s="133"/>
      <c r="N17" s="133"/>
      <c r="O17" s="133"/>
    </row>
    <row r="18" spans="2:15" ht="6" customHeight="1" thickBot="1">
      <c r="B18" s="69"/>
      <c r="C18" s="69"/>
      <c r="D18" s="69"/>
      <c r="E18" s="69"/>
      <c r="F18" s="70"/>
      <c r="G18" s="71"/>
      <c r="H18" s="71"/>
      <c r="I18" s="71"/>
      <c r="J18" s="70"/>
    </row>
    <row r="19" spans="2:15" ht="21.75" thickTop="1" thickBot="1">
      <c r="B19" s="145" t="s">
        <v>50</v>
      </c>
      <c r="C19" s="145"/>
      <c r="D19" s="145"/>
      <c r="E19" s="145"/>
      <c r="F19" s="145"/>
      <c r="G19" s="145"/>
      <c r="H19" s="145"/>
      <c r="I19" s="145"/>
      <c r="J19" s="145"/>
    </row>
    <row r="20" spans="2:15" ht="36.75" thickBot="1">
      <c r="B20" s="57" t="s">
        <v>26</v>
      </c>
      <c r="C20" s="8" t="s">
        <v>0</v>
      </c>
      <c r="D20" s="8" t="s">
        <v>1</v>
      </c>
      <c r="E20" s="8" t="s">
        <v>22</v>
      </c>
      <c r="F20" s="8" t="s">
        <v>27</v>
      </c>
      <c r="G20" s="141" t="s">
        <v>36</v>
      </c>
      <c r="H20" s="142"/>
      <c r="I20" s="143"/>
      <c r="J20" s="57" t="s">
        <v>28</v>
      </c>
    </row>
    <row r="21" spans="2:15" ht="39.950000000000003" customHeight="1">
      <c r="B21" s="102"/>
      <c r="C21" s="114" t="str">
        <f ca="1">'Control Entry'!N$28</f>
        <v/>
      </c>
      <c r="D21" s="114" t="str">
        <f ca="1">'Control Entry'!O$28</f>
        <v/>
      </c>
      <c r="E21" s="103"/>
      <c r="F21" s="104" t="str">
        <f ca="1">IF(ISBLANK('Control Entry'!F$28),"",'Control Entry'!F$28)</f>
        <v/>
      </c>
      <c r="G21" s="124" t="str">
        <f ca="1">IF(ISBLANK('Control Entry'!I$28),"",'Control Entry'!I$28)</f>
        <v/>
      </c>
      <c r="H21" s="125"/>
      <c r="I21" s="126"/>
      <c r="J21" s="105"/>
    </row>
    <row r="22" spans="2:15" ht="39.950000000000003" customHeight="1">
      <c r="B22" s="106" t="str">
        <f ca="1">IF(ISBLANK('Control Entry'!D$28),"",'Control Entry'!D$28)</f>
        <v/>
      </c>
      <c r="C22" s="107" t="str">
        <f ca="1">'Control Entry'!N$28</f>
        <v/>
      </c>
      <c r="D22" s="107" t="str">
        <f ca="1">'Control Entry'!O$28</f>
        <v/>
      </c>
      <c r="E22" s="104" t="str">
        <f ca="1">IF(ISBLANK('Control Entry'!E$28),"",'Control Entry'!E$28)</f>
        <v/>
      </c>
      <c r="F22" s="104" t="str">
        <f ca="1">IF(ISBLANK('Control Entry'!G$28),"",'Control Entry'!G$28)</f>
        <v/>
      </c>
      <c r="G22" s="127" t="str">
        <f ca="1">IF(ISBLANK('Control Entry'!J$28),"",'Control Entry'!J$28)</f>
        <v/>
      </c>
      <c r="H22" s="128"/>
      <c r="I22" s="129"/>
      <c r="J22" s="108"/>
    </row>
    <row r="23" spans="2:15" ht="39.950000000000003" customHeight="1" thickBot="1">
      <c r="B23" s="109"/>
      <c r="C23" s="115" t="str">
        <f ca="1">'Control Entry'!N$28</f>
        <v/>
      </c>
      <c r="D23" s="115" t="str">
        <f ca="1">'Control Entry'!O$28</f>
        <v/>
      </c>
      <c r="E23" s="110"/>
      <c r="F23" s="111" t="str">
        <f ca="1">IF(ISBLANK('Control Entry'!H$28),"",'Control Entry'!H$28)</f>
        <v/>
      </c>
      <c r="G23" s="130" t="str">
        <f ca="1">IF(ISBLANK('Control Entry'!K$28),"",'Control Entry'!K$28)</f>
        <v/>
      </c>
      <c r="H23" s="131"/>
      <c r="I23" s="132"/>
      <c r="J23" s="112"/>
    </row>
    <row r="24" spans="2:15" ht="39.950000000000003" customHeight="1">
      <c r="B24" s="102"/>
      <c r="C24" s="114" t="str">
        <f ca="1">'Control Entry'!N$29</f>
        <v/>
      </c>
      <c r="D24" s="114" t="str">
        <f ca="1">'Control Entry'!O$29</f>
        <v/>
      </c>
      <c r="E24" s="103"/>
      <c r="F24" s="104" t="str">
        <f ca="1">IF(ISBLANK('Control Entry'!F$29),"",'Control Entry'!F$29)</f>
        <v/>
      </c>
      <c r="G24" s="124" t="str">
        <f ca="1">IF(ISBLANK('Control Entry'!I$29),"",'Control Entry'!I$29)</f>
        <v/>
      </c>
      <c r="H24" s="125"/>
      <c r="I24" s="126"/>
      <c r="J24" s="105"/>
    </row>
    <row r="25" spans="2:15" ht="39.950000000000003" customHeight="1">
      <c r="B25" s="106" t="str">
        <f ca="1">IF(ISBLANK('Control Entry'!D$29),"",'Control Entry'!D$29)</f>
        <v/>
      </c>
      <c r="C25" s="107" t="str">
        <f ca="1">'Control Entry'!N$29</f>
        <v/>
      </c>
      <c r="D25" s="107" t="str">
        <f ca="1">'Control Entry'!O$29</f>
        <v/>
      </c>
      <c r="E25" s="104" t="str">
        <f ca="1">IF(ISBLANK('Control Entry'!E$29),"",'Control Entry'!E$29)</f>
        <v/>
      </c>
      <c r="F25" s="104" t="str">
        <f ca="1">IF(ISBLANK('Control Entry'!G$29),"",'Control Entry'!G$29)</f>
        <v/>
      </c>
      <c r="G25" s="127" t="str">
        <f ca="1">IF(ISBLANK('Control Entry'!J$29),"",'Control Entry'!J$29)</f>
        <v/>
      </c>
      <c r="H25" s="128"/>
      <c r="I25" s="129"/>
      <c r="J25" s="108"/>
    </row>
    <row r="26" spans="2:15" ht="39.950000000000003" customHeight="1" thickBot="1">
      <c r="B26" s="109"/>
      <c r="C26" s="115" t="str">
        <f ca="1">'Control Entry'!N$29</f>
        <v/>
      </c>
      <c r="D26" s="115" t="str">
        <f ca="1">'Control Entry'!O$29</f>
        <v/>
      </c>
      <c r="E26" s="110"/>
      <c r="F26" s="111" t="str">
        <f ca="1">IF(ISBLANK('Control Entry'!H$29),"",'Control Entry'!H$29)</f>
        <v/>
      </c>
      <c r="G26" s="130" t="str">
        <f ca="1">IF(ISBLANK('Control Entry'!K$29),"",'Control Entry'!K$29)</f>
        <v/>
      </c>
      <c r="H26" s="131"/>
      <c r="I26" s="132"/>
      <c r="J26" s="112"/>
    </row>
    <row r="27" spans="2:15" ht="39.950000000000003" customHeight="1">
      <c r="B27" s="102"/>
      <c r="C27" s="114" t="str">
        <f ca="1">'Control Entry'!N$30</f>
        <v/>
      </c>
      <c r="D27" s="114" t="str">
        <f ca="1">'Control Entry'!O$30</f>
        <v/>
      </c>
      <c r="E27" s="103"/>
      <c r="F27" s="104" t="str">
        <f ca="1">IF(ISBLANK('Control Entry'!F$30),"",'Control Entry'!F$30)</f>
        <v/>
      </c>
      <c r="G27" s="124" t="str">
        <f ca="1">IF(ISBLANK('Control Entry'!I$30),"",'Control Entry'!I$30)</f>
        <v/>
      </c>
      <c r="H27" s="125"/>
      <c r="I27" s="126"/>
      <c r="J27" s="105"/>
    </row>
    <row r="28" spans="2:15" ht="39.950000000000003" customHeight="1">
      <c r="B28" s="106" t="str">
        <f ca="1">IF(ISBLANK('Control Entry'!D$30),"",'Control Entry'!D$30)</f>
        <v/>
      </c>
      <c r="C28" s="107" t="str">
        <f ca="1">'Control Entry'!N$30</f>
        <v/>
      </c>
      <c r="D28" s="107" t="str">
        <f ca="1">'Control Entry'!O$30</f>
        <v/>
      </c>
      <c r="E28" s="104" t="str">
        <f ca="1">IF(ISBLANK('Control Entry'!E$30),"",'Control Entry'!E$30)</f>
        <v/>
      </c>
      <c r="F28" s="104" t="str">
        <f ca="1">IF(ISBLANK('Control Entry'!G$30),"",'Control Entry'!G$30)</f>
        <v/>
      </c>
      <c r="G28" s="127" t="str">
        <f ca="1">IF(ISBLANK('Control Entry'!J$30),"",'Control Entry'!J$30)</f>
        <v/>
      </c>
      <c r="H28" s="128"/>
      <c r="I28" s="129"/>
      <c r="J28" s="108"/>
    </row>
    <row r="29" spans="2:15" ht="39.950000000000003" customHeight="1" thickBot="1">
      <c r="B29" s="109"/>
      <c r="C29" s="115" t="str">
        <f ca="1">'Control Entry'!N$30</f>
        <v/>
      </c>
      <c r="D29" s="115" t="str">
        <f ca="1">'Control Entry'!O$30</f>
        <v/>
      </c>
      <c r="E29" s="110"/>
      <c r="F29" s="111" t="str">
        <f ca="1">IF(ISBLANK('Control Entry'!H$30),"",'Control Entry'!H$30)</f>
        <v/>
      </c>
      <c r="G29" s="130" t="str">
        <f ca="1">IF(ISBLANK('Control Entry'!K$30),"",'Control Entry'!K$30)</f>
        <v/>
      </c>
      <c r="H29" s="131"/>
      <c r="I29" s="132"/>
      <c r="J29" s="112"/>
    </row>
    <row r="30" spans="2:15" ht="39.950000000000003" customHeight="1">
      <c r="B30" s="102"/>
      <c r="C30" s="114" t="str">
        <f ca="1">'Control Entry'!N$31</f>
        <v/>
      </c>
      <c r="D30" s="114" t="str">
        <f ca="1">'Control Entry'!O$31</f>
        <v/>
      </c>
      <c r="E30" s="103"/>
      <c r="F30" s="104" t="str">
        <f ca="1">IF(ISBLANK('Control Entry'!F$31),"",'Control Entry'!F$31)</f>
        <v/>
      </c>
      <c r="G30" s="124" t="str">
        <f ca="1">IF(ISBLANK('Control Entry'!I$31),"",'Control Entry'!I$31)</f>
        <v/>
      </c>
      <c r="H30" s="125"/>
      <c r="I30" s="126"/>
      <c r="J30" s="105"/>
    </row>
    <row r="31" spans="2:15" ht="39.950000000000003" customHeight="1">
      <c r="B31" s="106" t="str">
        <f ca="1">IF(ISBLANK('Control Entry'!D$31),"",'Control Entry'!D$31)</f>
        <v/>
      </c>
      <c r="C31" s="107" t="str">
        <f ca="1">'Control Entry'!N$31</f>
        <v/>
      </c>
      <c r="D31" s="107" t="str">
        <f ca="1">'Control Entry'!O$31</f>
        <v/>
      </c>
      <c r="E31" s="104" t="str">
        <f ca="1">IF(ISBLANK('Control Entry'!E$31),"",'Control Entry'!E$31)</f>
        <v/>
      </c>
      <c r="F31" s="104" t="str">
        <f ca="1">IF(ISBLANK('Control Entry'!G$31),"",'Control Entry'!G$31)</f>
        <v/>
      </c>
      <c r="G31" s="127" t="str">
        <f ca="1">IF(ISBLANK('Control Entry'!J$31),"",'Control Entry'!J$31)</f>
        <v/>
      </c>
      <c r="H31" s="128"/>
      <c r="I31" s="129"/>
      <c r="J31" s="108"/>
    </row>
    <row r="32" spans="2:15" ht="39.950000000000003" customHeight="1" thickBot="1">
      <c r="B32" s="109"/>
      <c r="C32" s="115" t="str">
        <f ca="1">'Control Entry'!N$31</f>
        <v/>
      </c>
      <c r="D32" s="115" t="str">
        <f ca="1">'Control Entry'!O$31</f>
        <v/>
      </c>
      <c r="E32" s="110"/>
      <c r="F32" s="111" t="str">
        <f ca="1">IF(ISBLANK('Control Entry'!H$31),"",'Control Entry'!H$31)</f>
        <v/>
      </c>
      <c r="G32" s="130" t="str">
        <f ca="1">IF(ISBLANK('Control Entry'!K$31),"",'Control Entry'!K$31)</f>
        <v/>
      </c>
      <c r="H32" s="131"/>
      <c r="I32" s="132"/>
      <c r="J32" s="112"/>
    </row>
    <row r="33" spans="2:10" ht="39.950000000000003" customHeight="1">
      <c r="B33" s="102"/>
      <c r="C33" s="114" t="str">
        <f ca="1">'Control Entry'!N$32</f>
        <v/>
      </c>
      <c r="D33" s="114" t="str">
        <f ca="1">'Control Entry'!O$32</f>
        <v/>
      </c>
      <c r="E33" s="103"/>
      <c r="F33" s="104" t="str">
        <f ca="1">IF(ISBLANK('Control Entry'!F$32),"",'Control Entry'!F$32)</f>
        <v/>
      </c>
      <c r="G33" s="124" t="str">
        <f ca="1">IF(ISBLANK('Control Entry'!I$32),"",'Control Entry'!I$32)</f>
        <v/>
      </c>
      <c r="H33" s="125"/>
      <c r="I33" s="126"/>
      <c r="J33" s="105"/>
    </row>
    <row r="34" spans="2:10" ht="39.950000000000003" customHeight="1">
      <c r="B34" s="106" t="str">
        <f ca="1">IF(ISBLANK('Control Entry'!D$32),"",'Control Entry'!D$32)</f>
        <v/>
      </c>
      <c r="C34" s="107" t="str">
        <f ca="1">'Control Entry'!N$32</f>
        <v/>
      </c>
      <c r="D34" s="107" t="str">
        <f ca="1">'Control Entry'!O$32</f>
        <v/>
      </c>
      <c r="E34" s="104" t="str">
        <f ca="1">IF(ISBLANK('Control Entry'!E$32),"",'Control Entry'!E$32)</f>
        <v/>
      </c>
      <c r="F34" s="104" t="str">
        <f ca="1">IF(ISBLANK('Control Entry'!G$32),"",'Control Entry'!G$32)</f>
        <v/>
      </c>
      <c r="G34" s="127" t="str">
        <f ca="1">IF(ISBLANK('Control Entry'!J$32),"",'Control Entry'!J$32)</f>
        <v/>
      </c>
      <c r="H34" s="128"/>
      <c r="I34" s="129"/>
      <c r="J34" s="108"/>
    </row>
    <row r="35" spans="2:10" ht="39.950000000000003" customHeight="1" thickBot="1">
      <c r="B35" s="109"/>
      <c r="C35" s="115" t="str">
        <f ca="1">'Control Entry'!N$32</f>
        <v/>
      </c>
      <c r="D35" s="115" t="str">
        <f ca="1">'Control Entry'!O$32</f>
        <v/>
      </c>
      <c r="E35" s="110"/>
      <c r="F35" s="111" t="str">
        <f ca="1">IF(ISBLANK('Control Entry'!H$32),"",'Control Entry'!H$32)</f>
        <v/>
      </c>
      <c r="G35" s="130" t="str">
        <f ca="1">IF(ISBLANK('Control Entry'!K$32),"",'Control Entry'!K$32)</f>
        <v/>
      </c>
      <c r="H35" s="131"/>
      <c r="I35" s="132"/>
      <c r="J35" s="112"/>
    </row>
    <row r="36" spans="2:10" ht="39.950000000000003" customHeight="1">
      <c r="B36" s="102"/>
      <c r="C36" s="114" t="str">
        <f ca="1">'Control Entry'!N$33</f>
        <v/>
      </c>
      <c r="D36" s="114" t="str">
        <f ca="1">'Control Entry'!O$33</f>
        <v/>
      </c>
      <c r="E36" s="103"/>
      <c r="F36" s="104" t="str">
        <f ca="1">IF(ISBLANK('Control Entry'!F$33),"",'Control Entry'!F$33)</f>
        <v/>
      </c>
      <c r="G36" s="124" t="str">
        <f ca="1">IF(ISBLANK('Control Entry'!I$33),"",'Control Entry'!I$33)</f>
        <v/>
      </c>
      <c r="H36" s="125"/>
      <c r="I36" s="126"/>
      <c r="J36" s="105"/>
    </row>
    <row r="37" spans="2:10" ht="39.950000000000003" customHeight="1">
      <c r="B37" s="106" t="str">
        <f ca="1">IF(ISBLANK('Control Entry'!D$33),"",'Control Entry'!D$33)</f>
        <v/>
      </c>
      <c r="C37" s="107" t="str">
        <f ca="1">'Control Entry'!N$33</f>
        <v/>
      </c>
      <c r="D37" s="107" t="str">
        <f ca="1">'Control Entry'!O$33</f>
        <v/>
      </c>
      <c r="E37" s="104" t="str">
        <f ca="1">IF(ISBLANK('Control Entry'!E$33),"",'Control Entry'!E$33)</f>
        <v/>
      </c>
      <c r="F37" s="104" t="str">
        <f ca="1">IF(ISBLANK('Control Entry'!G$33),"",'Control Entry'!G$33)</f>
        <v/>
      </c>
      <c r="G37" s="127" t="str">
        <f ca="1">IF(ISBLANK('Control Entry'!J$33),"",'Control Entry'!J$33)</f>
        <v/>
      </c>
      <c r="H37" s="128"/>
      <c r="I37" s="129"/>
      <c r="J37" s="108"/>
    </row>
    <row r="38" spans="2:10" ht="39.950000000000003" customHeight="1" thickBot="1">
      <c r="B38" s="109"/>
      <c r="C38" s="115" t="str">
        <f ca="1">'Control Entry'!N$33</f>
        <v/>
      </c>
      <c r="D38" s="115" t="str">
        <f ca="1">'Control Entry'!O$33</f>
        <v/>
      </c>
      <c r="E38" s="110"/>
      <c r="F38" s="111" t="str">
        <f ca="1">IF(ISBLANK('Control Entry'!H$33),"",'Control Entry'!H$33)</f>
        <v/>
      </c>
      <c r="G38" s="130" t="str">
        <f ca="1">IF(ISBLANK('Control Entry'!K$33),"",'Control Entry'!K$33)</f>
        <v/>
      </c>
      <c r="H38" s="131"/>
      <c r="I38" s="132"/>
      <c r="J38" s="112"/>
    </row>
    <row r="39" spans="2:10" ht="39.950000000000003" customHeight="1">
      <c r="B39" s="102"/>
      <c r="C39" s="114" t="str">
        <f ca="1">'Control Entry'!N$34</f>
        <v/>
      </c>
      <c r="D39" s="114" t="str">
        <f ca="1">'Control Entry'!O$34</f>
        <v/>
      </c>
      <c r="E39" s="103"/>
      <c r="F39" s="104" t="str">
        <f ca="1">IF(ISBLANK('Control Entry'!F$34),"",'Control Entry'!F$34)</f>
        <v/>
      </c>
      <c r="G39" s="124" t="str">
        <f ca="1">IF(ISBLANK('Control Entry'!I$34),"",'Control Entry'!I$34)</f>
        <v/>
      </c>
      <c r="H39" s="125"/>
      <c r="I39" s="126"/>
      <c r="J39" s="105"/>
    </row>
    <row r="40" spans="2:10" ht="39.950000000000003" customHeight="1">
      <c r="B40" s="106" t="str">
        <f ca="1">IF(ISBLANK('Control Entry'!D$34),"",'Control Entry'!D$34)</f>
        <v/>
      </c>
      <c r="C40" s="107" t="str">
        <f ca="1">'Control Entry'!N$34</f>
        <v/>
      </c>
      <c r="D40" s="107" t="str">
        <f ca="1">'Control Entry'!O$34</f>
        <v/>
      </c>
      <c r="E40" s="104" t="str">
        <f ca="1">IF(ISBLANK('Control Entry'!E$34),"",'Control Entry'!E$34)</f>
        <v/>
      </c>
      <c r="F40" s="104" t="str">
        <f ca="1">IF(ISBLANK('Control Entry'!G$34),"",'Control Entry'!G$34)</f>
        <v/>
      </c>
      <c r="G40" s="127" t="str">
        <f ca="1">IF(ISBLANK('Control Entry'!J$34),"",'Control Entry'!J$34)</f>
        <v/>
      </c>
      <c r="H40" s="128"/>
      <c r="I40" s="129"/>
      <c r="J40" s="108"/>
    </row>
    <row r="41" spans="2:10" ht="39.950000000000003" customHeight="1" thickBot="1">
      <c r="B41" s="109"/>
      <c r="C41" s="115" t="str">
        <f ca="1">'Control Entry'!N$34</f>
        <v/>
      </c>
      <c r="D41" s="115" t="str">
        <f ca="1">'Control Entry'!O$34</f>
        <v/>
      </c>
      <c r="E41" s="110"/>
      <c r="F41" s="111" t="str">
        <f ca="1">IF(ISBLANK('Control Entry'!H$34),"",'Control Entry'!H$34)</f>
        <v/>
      </c>
      <c r="G41" s="130" t="str">
        <f ca="1">IF(ISBLANK('Control Entry'!K$34),"",'Control Entry'!K$34)</f>
        <v/>
      </c>
      <c r="H41" s="131"/>
      <c r="I41" s="132"/>
      <c r="J41" s="112"/>
    </row>
    <row r="42" spans="2:10" ht="39.950000000000003" customHeight="1">
      <c r="B42" s="102"/>
      <c r="C42" s="114" t="str">
        <f ca="1">'Control Entry'!N$35</f>
        <v/>
      </c>
      <c r="D42" s="114" t="str">
        <f ca="1">'Control Entry'!O$35</f>
        <v/>
      </c>
      <c r="E42" s="103"/>
      <c r="F42" s="104" t="str">
        <f ca="1">IF(ISBLANK('Control Entry'!F$35),"",'Control Entry'!F$35)</f>
        <v/>
      </c>
      <c r="G42" s="124" t="str">
        <f ca="1">IF(ISBLANK('Control Entry'!I$35),"",'Control Entry'!I$35)</f>
        <v/>
      </c>
      <c r="H42" s="125"/>
      <c r="I42" s="126"/>
      <c r="J42" s="105"/>
    </row>
    <row r="43" spans="2:10" ht="39.950000000000003" customHeight="1">
      <c r="B43" s="106" t="str">
        <f ca="1">IF(ISBLANK('Control Entry'!D$35),"",'Control Entry'!D$35)</f>
        <v/>
      </c>
      <c r="C43" s="107" t="str">
        <f ca="1">'Control Entry'!N$35</f>
        <v/>
      </c>
      <c r="D43" s="107" t="str">
        <f ca="1">'Control Entry'!O$35</f>
        <v/>
      </c>
      <c r="E43" s="104" t="str">
        <f ca="1">IF(ISBLANK('Control Entry'!E$35),"",'Control Entry'!E$35)</f>
        <v/>
      </c>
      <c r="F43" s="104" t="str">
        <f ca="1">IF(ISBLANK('Control Entry'!G$35),"",'Control Entry'!G$35)</f>
        <v/>
      </c>
      <c r="G43" s="127" t="str">
        <f ca="1">IF(ISBLANK('Control Entry'!J$35),"",'Control Entry'!J$35)</f>
        <v/>
      </c>
      <c r="H43" s="128"/>
      <c r="I43" s="129"/>
      <c r="J43" s="108"/>
    </row>
    <row r="44" spans="2:10" ht="39.950000000000003" customHeight="1" thickBot="1">
      <c r="B44" s="109"/>
      <c r="C44" s="115" t="str">
        <f ca="1">'Control Entry'!N$35</f>
        <v/>
      </c>
      <c r="D44" s="115" t="str">
        <f ca="1">'Control Entry'!O$35</f>
        <v/>
      </c>
      <c r="E44" s="110"/>
      <c r="F44" s="111" t="str">
        <f ca="1">IF(ISBLANK('Control Entry'!H$35),"",'Control Entry'!H$35)</f>
        <v/>
      </c>
      <c r="G44" s="130" t="str">
        <f ca="1">IF(ISBLANK('Control Entry'!K$35),"",'Control Entry'!K$35)</f>
        <v/>
      </c>
      <c r="H44" s="131"/>
      <c r="I44" s="132"/>
      <c r="J44" s="112"/>
    </row>
    <row r="45" spans="2:10" ht="39.950000000000003" customHeight="1">
      <c r="B45" s="102"/>
      <c r="C45" s="114" t="str">
        <f ca="1">'Control Entry'!N$36</f>
        <v/>
      </c>
      <c r="D45" s="114" t="str">
        <f ca="1">'Control Entry'!O$36</f>
        <v/>
      </c>
      <c r="E45" s="103"/>
      <c r="F45" s="104" t="str">
        <f ca="1">IF(ISBLANK('Control Entry'!F$36),"",'Control Entry'!F$36)</f>
        <v/>
      </c>
      <c r="G45" s="124" t="str">
        <f ca="1">IF(ISBLANK('Control Entry'!I$36),"",'Control Entry'!I$36)</f>
        <v/>
      </c>
      <c r="H45" s="125"/>
      <c r="I45" s="126"/>
      <c r="J45" s="105"/>
    </row>
    <row r="46" spans="2:10" ht="39.950000000000003" customHeight="1">
      <c r="B46" s="106" t="str">
        <f ca="1">IF(ISBLANK('Control Entry'!D$36),"",'Control Entry'!D$36)</f>
        <v/>
      </c>
      <c r="C46" s="107" t="str">
        <f ca="1">'Control Entry'!N$36</f>
        <v/>
      </c>
      <c r="D46" s="107" t="str">
        <f ca="1">'Control Entry'!O$36</f>
        <v/>
      </c>
      <c r="E46" s="104" t="str">
        <f ca="1">IF(ISBLANK('Control Entry'!E$36),"",'Control Entry'!E$36)</f>
        <v/>
      </c>
      <c r="F46" s="104" t="str">
        <f ca="1">IF(ISBLANK('Control Entry'!G$36),"",'Control Entry'!G$36)</f>
        <v/>
      </c>
      <c r="G46" s="127" t="str">
        <f ca="1">IF(ISBLANK('Control Entry'!J$36),"",'Control Entry'!J$36)</f>
        <v/>
      </c>
      <c r="H46" s="128"/>
      <c r="I46" s="129"/>
      <c r="J46" s="108"/>
    </row>
    <row r="47" spans="2:10" ht="39.950000000000003" customHeight="1" thickBot="1">
      <c r="B47" s="109"/>
      <c r="C47" s="115" t="str">
        <f ca="1">'Control Entry'!N$36</f>
        <v/>
      </c>
      <c r="D47" s="115" t="str">
        <f ca="1">'Control Entry'!O$36</f>
        <v/>
      </c>
      <c r="E47" s="110"/>
      <c r="F47" s="111" t="str">
        <f ca="1">IF(ISBLANK('Control Entry'!H$36),"",'Control Entry'!H$36)</f>
        <v/>
      </c>
      <c r="G47" s="130" t="str">
        <f ca="1">IF(ISBLANK('Control Entry'!K$36),"",'Control Entry'!K$36)</f>
        <v/>
      </c>
      <c r="H47" s="131"/>
      <c r="I47" s="132"/>
      <c r="J47" s="112"/>
    </row>
    <row r="48" spans="2:10" ht="39.950000000000003" customHeight="1">
      <c r="B48" s="102"/>
      <c r="C48" s="114" t="str">
        <f ca="1">'Control Entry'!N$37</f>
        <v/>
      </c>
      <c r="D48" s="114" t="str">
        <f ca="1">'Control Entry'!O$37</f>
        <v/>
      </c>
      <c r="E48" s="103"/>
      <c r="F48" s="104" t="str">
        <f ca="1">IF(ISBLANK('Control Entry'!F$37),"",'Control Entry'!F$37)</f>
        <v/>
      </c>
      <c r="G48" s="124" t="str">
        <f ca="1">IF(ISBLANK('Control Entry'!I$37),"",'Control Entry'!I$37)</f>
        <v/>
      </c>
      <c r="H48" s="125"/>
      <c r="I48" s="126"/>
      <c r="J48" s="105"/>
    </row>
    <row r="49" spans="2:11" ht="39.950000000000003" customHeight="1">
      <c r="B49" s="106" t="str">
        <f ca="1">IF(ISBLANK('Control Entry'!D$37),"",'Control Entry'!D$37)</f>
        <v/>
      </c>
      <c r="C49" s="107" t="str">
        <f ca="1">'Control Entry'!N$37</f>
        <v/>
      </c>
      <c r="D49" s="107" t="str">
        <f ca="1">'Control Entry'!O$37</f>
        <v/>
      </c>
      <c r="E49" s="104" t="str">
        <f ca="1">IF(ISBLANK('Control Entry'!E$37),"",'Control Entry'!E$37)</f>
        <v/>
      </c>
      <c r="F49" s="104" t="str">
        <f ca="1">IF(ISBLANK('Control Entry'!G$37),"",'Control Entry'!G$37)</f>
        <v/>
      </c>
      <c r="G49" s="127" t="str">
        <f ca="1">IF(ISBLANK('Control Entry'!J$37),"",'Control Entry'!J$37)</f>
        <v/>
      </c>
      <c r="H49" s="128"/>
      <c r="I49" s="129"/>
      <c r="J49" s="108"/>
    </row>
    <row r="50" spans="2:11" ht="39.950000000000003" customHeight="1" thickBot="1">
      <c r="B50" s="109"/>
      <c r="C50" s="115" t="str">
        <f ca="1">'Control Entry'!N$37</f>
        <v/>
      </c>
      <c r="D50" s="115" t="str">
        <f ca="1">'Control Entry'!O$37</f>
        <v/>
      </c>
      <c r="E50" s="110"/>
      <c r="F50" s="111" t="str">
        <f ca="1">IF(ISBLANK('Control Entry'!H$37),"",'Control Entry'!H$37)</f>
        <v/>
      </c>
      <c r="G50" s="130" t="str">
        <f ca="1">IF(ISBLANK('Control Entry'!K$37),"",'Control Entry'!K$37)</f>
        <v/>
      </c>
      <c r="H50" s="131"/>
      <c r="I50" s="132"/>
      <c r="J50" s="112"/>
    </row>
    <row r="52" spans="2:11" ht="24" customHeight="1">
      <c r="B52" s="136" t="s">
        <v>30</v>
      </c>
      <c r="C52" s="136"/>
      <c r="D52" s="136"/>
      <c r="E52" s="136"/>
      <c r="F52" s="136"/>
      <c r="I52" s="66" t="s">
        <v>56</v>
      </c>
      <c r="J52" s="94" t="str">
        <f ca="1">IF(ISBLANK('Control Entry'!F10),"",'Control Entry'!F10)</f>
        <v>778-875-6221</v>
      </c>
      <c r="K52" s="62"/>
    </row>
    <row r="54" spans="2:11">
      <c r="B54" s="89" t="s">
        <v>59</v>
      </c>
      <c r="C54" s="90">
        <f ca="1">'Control Entry'!B3</f>
        <v>45393</v>
      </c>
    </row>
    <row r="55" spans="2:11" ht="23.25">
      <c r="B55" s="66"/>
      <c r="C55" s="66"/>
      <c r="D55" s="66"/>
      <c r="E55" s="66"/>
      <c r="F55" s="62"/>
      <c r="G55" s="68"/>
      <c r="H55" s="68"/>
      <c r="I55" s="68"/>
      <c r="J55" s="62"/>
    </row>
    <row r="56" spans="2:11">
      <c r="E56" s="1"/>
    </row>
    <row r="57" spans="2:11">
      <c r="B57" s="64"/>
      <c r="C57" s="65"/>
      <c r="D57" s="65"/>
      <c r="E57" s="65"/>
      <c r="F57" s="134"/>
      <c r="G57" s="135"/>
      <c r="H57" s="135"/>
      <c r="I57" s="135"/>
      <c r="J57" s="135"/>
    </row>
  </sheetData>
  <mergeCells count="50">
    <mergeCell ref="G43:I43"/>
    <mergeCell ref="B52:F52"/>
    <mergeCell ref="F57:J57"/>
    <mergeCell ref="G45:I45"/>
    <mergeCell ref="G46:I46"/>
    <mergeCell ref="G47:I47"/>
    <mergeCell ref="G48:I48"/>
    <mergeCell ref="G49:I49"/>
    <mergeCell ref="G50:I50"/>
    <mergeCell ref="G37:I37"/>
    <mergeCell ref="G38:I38"/>
    <mergeCell ref="G39:I39"/>
    <mergeCell ref="G40:I40"/>
    <mergeCell ref="G41:I41"/>
    <mergeCell ref="G42:I42"/>
    <mergeCell ref="G27:I27"/>
    <mergeCell ref="G28:I28"/>
    <mergeCell ref="G29:I29"/>
    <mergeCell ref="G30:I30"/>
    <mergeCell ref="G31:I31"/>
    <mergeCell ref="G44:I44"/>
    <mergeCell ref="G33:I33"/>
    <mergeCell ref="G34:I34"/>
    <mergeCell ref="G35:I35"/>
    <mergeCell ref="G36:I36"/>
    <mergeCell ref="L17:M17"/>
    <mergeCell ref="N17:O17"/>
    <mergeCell ref="B19:J19"/>
    <mergeCell ref="G32:I32"/>
    <mergeCell ref="G21:I21"/>
    <mergeCell ref="G22:I22"/>
    <mergeCell ref="G23:I23"/>
    <mergeCell ref="G24:I24"/>
    <mergeCell ref="G25:I25"/>
    <mergeCell ref="G26:I26"/>
    <mergeCell ref="N10:O10"/>
    <mergeCell ref="D12:E12"/>
    <mergeCell ref="D14:E14"/>
    <mergeCell ref="C7:F8"/>
    <mergeCell ref="H7:H8"/>
    <mergeCell ref="L10:M10"/>
    <mergeCell ref="G20:I20"/>
    <mergeCell ref="B10:C10"/>
    <mergeCell ref="E10:G10"/>
    <mergeCell ref="C17:F17"/>
    <mergeCell ref="I17:J17"/>
    <mergeCell ref="C2:F2"/>
    <mergeCell ref="E3:H3"/>
    <mergeCell ref="E4:H4"/>
    <mergeCell ref="E5:H6"/>
  </mergeCells>
  <phoneticPr fontId="29" type="noConversion"/>
  <printOptions horizontalCentered="1" verticalCentered="1"/>
  <pageMargins left="0.39370078740157483" right="0.39370078740157483" top="0.39370078740157483" bottom="0.39370078740157483" header="0.15748031496062992" footer="0.15748031496062992"/>
  <pageSetup scale="4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Card #1</vt:lpstr>
      <vt:lpstr>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'Card #2'!Print_Area</vt:lpstr>
      <vt:lpstr>Start_date</vt:lpstr>
      <vt:lpstr>Start_time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Mireille</cp:lastModifiedBy>
  <cp:lastPrinted>2026-04-20T23:58:01Z</cp:lastPrinted>
  <dcterms:created xsi:type="dcterms:W3CDTF">1997-11-12T04:43:39Z</dcterms:created>
  <dcterms:modified xsi:type="dcterms:W3CDTF">2026-04-21T00:04:25Z</dcterms:modified>
</cp:coreProperties>
</file>