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18240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Entry'!$E$11:$E$29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/>
</workbook>
</file>

<file path=xl/calcChain.xml><?xml version="1.0" encoding="utf-8"?>
<calcChain xmlns="http://schemas.openxmlformats.org/spreadsheetml/2006/main">
  <c r="E41" i="2"/>
  <c r="I10" i="1"/>
  <c r="K10" s="1"/>
  <c r="C1"/>
  <c r="B2" s="1"/>
  <c r="J15" s="1"/>
  <c r="I12"/>
  <c r="E40" i="2"/>
  <c r="D40"/>
  <c r="A40"/>
  <c r="E39"/>
  <c r="E38"/>
  <c r="J11" i="1"/>
  <c r="I11"/>
  <c r="E37" i="2"/>
  <c r="D37"/>
  <c r="A37"/>
  <c r="E36"/>
  <c r="E35"/>
  <c r="E34"/>
  <c r="D34"/>
  <c r="A34"/>
  <c r="E51"/>
  <c r="E20"/>
  <c r="I13" i="1"/>
  <c r="J13"/>
  <c r="I14"/>
  <c r="J14"/>
  <c r="I15"/>
  <c r="I16"/>
  <c r="J16"/>
  <c r="I17"/>
  <c r="J17"/>
  <c r="I18"/>
  <c r="J18"/>
  <c r="K18"/>
  <c r="B27" i="2" s="1"/>
  <c r="L18" i="1"/>
  <c r="C29" i="2" s="1"/>
  <c r="I19" i="1"/>
  <c r="J19"/>
  <c r="K19"/>
  <c r="B32" i="2" s="1"/>
  <c r="L19" i="1"/>
  <c r="C30" i="2" s="1"/>
  <c r="I20" i="1"/>
  <c r="J20"/>
  <c r="K20"/>
  <c r="B33" i="2" s="1"/>
  <c r="L20" i="1"/>
  <c r="C33" i="2" s="1"/>
  <c r="I21" i="1"/>
  <c r="J21"/>
  <c r="K21"/>
  <c r="L21"/>
  <c r="I22"/>
  <c r="J22"/>
  <c r="K22"/>
  <c r="L22"/>
  <c r="I23"/>
  <c r="J23"/>
  <c r="K23"/>
  <c r="B42" i="2" s="1"/>
  <c r="L23" i="1"/>
  <c r="C42" i="2" s="1"/>
  <c r="I24" i="1"/>
  <c r="J24"/>
  <c r="K24"/>
  <c r="B45" i="2" s="1"/>
  <c r="L24" i="1"/>
  <c r="C45" i="2" s="1"/>
  <c r="I25" i="1"/>
  <c r="J25"/>
  <c r="K25"/>
  <c r="B48" i="2" s="1"/>
  <c r="L25" i="1"/>
  <c r="C49" i="2" s="1"/>
  <c r="I26" i="1"/>
  <c r="J26"/>
  <c r="K26"/>
  <c r="B51" i="2" s="1"/>
  <c r="L26" i="1"/>
  <c r="C52" i="2" s="1"/>
  <c r="I27" i="1"/>
  <c r="J27"/>
  <c r="K27"/>
  <c r="B54" i="2" s="1"/>
  <c r="L27" i="1"/>
  <c r="C54" i="2" s="1"/>
  <c r="I28" i="1"/>
  <c r="J28"/>
  <c r="K28"/>
  <c r="B57" i="2" s="1"/>
  <c r="L28" i="1"/>
  <c r="C57" i="2" s="1"/>
  <c r="I29" i="1"/>
  <c r="J29"/>
  <c r="K29"/>
  <c r="B62" i="2" s="1"/>
  <c r="L29" i="1"/>
  <c r="C62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E33"/>
  <c r="J40"/>
  <c r="E42"/>
  <c r="A43"/>
  <c r="D43"/>
  <c r="E43"/>
  <c r="E44"/>
  <c r="E45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K17" i="1" l="1"/>
  <c r="B25" i="2" s="1"/>
  <c r="L17" i="1"/>
  <c r="C24" i="2" s="1"/>
  <c r="K16" i="1"/>
  <c r="B21" i="2" s="1"/>
  <c r="L16" i="1"/>
  <c r="C21" i="2" s="1"/>
  <c r="C32"/>
  <c r="C27"/>
  <c r="J12" i="1"/>
  <c r="L12" s="1"/>
  <c r="C41" i="2" s="1"/>
  <c r="K14" i="1"/>
  <c r="B15" i="2" s="1"/>
  <c r="L15" i="1"/>
  <c r="C18" i="2" s="1"/>
  <c r="L14" i="1"/>
  <c r="C15" i="2" s="1"/>
  <c r="L13" i="1"/>
  <c r="C13" i="2" s="1"/>
  <c r="K15" i="1"/>
  <c r="B18" i="2" s="1"/>
  <c r="K13" i="1"/>
  <c r="B12" i="2" s="1"/>
  <c r="C50"/>
  <c r="B26"/>
  <c r="B24"/>
  <c r="C60"/>
  <c r="C51"/>
  <c r="C48"/>
  <c r="C28"/>
  <c r="C61"/>
  <c r="C25"/>
  <c r="C23"/>
  <c r="C22"/>
  <c r="K12" i="1"/>
  <c r="B40" i="2" s="1"/>
  <c r="B34"/>
  <c r="B3"/>
  <c r="L11" i="1"/>
  <c r="C38" i="2" s="1"/>
  <c r="B4"/>
  <c r="K11" i="1"/>
  <c r="B38" i="2" s="1"/>
  <c r="B35"/>
  <c r="B5"/>
  <c r="B60"/>
  <c r="J10" i="1"/>
  <c r="L10" s="1"/>
  <c r="C3" i="2" s="1"/>
  <c r="B61"/>
  <c r="B50"/>
  <c r="B49"/>
  <c r="B59"/>
  <c r="B58"/>
  <c r="B47"/>
  <c r="B46"/>
  <c r="C59"/>
  <c r="C58"/>
  <c r="B56"/>
  <c r="B55"/>
  <c r="B53"/>
  <c r="B52"/>
  <c r="C47"/>
  <c r="C46"/>
  <c r="B44"/>
  <c r="B43"/>
  <c r="B31"/>
  <c r="B30"/>
  <c r="B19"/>
  <c r="C56"/>
  <c r="C55"/>
  <c r="C53"/>
  <c r="C44"/>
  <c r="C43"/>
  <c r="C31"/>
  <c r="B29"/>
  <c r="B28"/>
  <c r="B23" l="1"/>
  <c r="C12"/>
  <c r="B22"/>
  <c r="C26"/>
  <c r="B41"/>
  <c r="C19"/>
  <c r="B14"/>
  <c r="B13"/>
  <c r="C14"/>
  <c r="B17"/>
  <c r="B16"/>
  <c r="B20"/>
  <c r="C20"/>
  <c r="C17"/>
  <c r="C16"/>
  <c r="B36"/>
  <c r="C11"/>
  <c r="B6"/>
  <c r="C10"/>
  <c r="C39"/>
  <c r="B9"/>
  <c r="C5"/>
  <c r="C6"/>
  <c r="C9"/>
  <c r="B11"/>
  <c r="C4"/>
  <c r="B8"/>
  <c r="C40"/>
  <c r="B39"/>
  <c r="C36"/>
  <c r="C7"/>
  <c r="C8"/>
  <c r="B37"/>
  <c r="B7"/>
  <c r="C37"/>
  <c r="B10"/>
  <c r="C35"/>
  <c r="C34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<sst xmlns="http://schemas.openxmlformats.org/spreadsheetml/2006/main" count="109" uniqueCount="84">
  <si>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</si>
  <si>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</si>
  <si>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</si>
  <si>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</si>
  <si>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</si>
  <si>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</si>
  <si>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</si>
  <si>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</si>
  <si>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</si>
  <si>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</si>
  <si>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</si>
  <si>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</si>
  <si>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</si>
  <si>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</si>
  <si>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</si>
  <si>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</si>
  <si>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</si>
  <si>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</si>
  <si>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</si>
  <si>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</si>
  <si>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</si>
  <si>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</si>
  <si>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</si>
  <si>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</si>
  <si>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</si>
  <si>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</si>
  <si>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</si>
  <si>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</si>
  <si>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</si>
  <si>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</si>
  <si>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</si>
  <si>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</si>
  <si>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</si>
  <si>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</si>
  <si>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</si>
  <si>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</si>
  <si>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</si>
  <si>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</si>
  <si>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</si>
  <si>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</si>
  <si>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</si>
  <si>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</si>
  <si>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</si>
  <si>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</si>
  <si>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</si>
  <si>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</si>
  <si>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</si>
  <si>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</si>
  <si>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</si>
  <si>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</si>
  <si>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</si>
  <si>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</si>
  <si>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</si>
  <si>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</si>
  <si>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</si>
  <si>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</si>
  <si>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</si>
  <si>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</si>
  <si>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</si>
  <si>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</si>
  <si>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</si>
  <si>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</si>
  <si>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</si>
  <si>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</si>
  <si>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</si>
  <si>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</si>
  <si>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</si>
  <si>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</si>
  <si>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</si>
  <si>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</si>
  <si>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</si>
  <si>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</si>
  <si>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</si>
  <si>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</si>
  <si>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3 Hump Camel Permanent</t>
  </si>
  <si>
    <t>Side of 4 Ave.</t>
  </si>
  <si>
    <t>Self sign</t>
  </si>
  <si>
    <t>Pointa Vista Cafe</t>
  </si>
  <si>
    <t>Popkum Market</t>
  </si>
  <si>
    <t>Straiton Hall</t>
  </si>
  <si>
    <t>Fort Langley</t>
  </si>
  <si>
    <t>Choice</t>
  </si>
  <si>
    <t>Waves Coffee</t>
  </si>
  <si>
    <t>McCallister at Shaughnessy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</si>
</sst>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1" fillId="0" borderId="4" xfId="0" applyFont="1" applyBorder="1" applyAlignment="1" applyProtection="1">
      <alignment horizontal="centerContinuous"/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zoomScale="125" workbookViewId="0">
      <selection activeCell="D17" sqref="D17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94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20</v>
      </c>
      <c r="D2" s="94" t="s">
        <v>6</v>
      </c>
    </row>
    <row r="3" spans="1:12" ht="13.5" thickBot="1">
      <c r="A3" s="40" t="s">
        <v>16</v>
      </c>
      <c r="B3" s="100" t="s">
        <v>74</v>
      </c>
      <c r="C3" s="45"/>
      <c r="D3" s="4"/>
      <c r="E3" s="4"/>
      <c r="F3" s="4"/>
      <c r="G3" s="4"/>
      <c r="H3" s="5"/>
    </row>
    <row r="4" spans="1:12">
      <c r="A4" s="40" t="s">
        <v>17</v>
      </c>
      <c r="B4" s="88"/>
      <c r="C4" s="86"/>
      <c r="D4" s="94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4" t="s">
        <v>73</v>
      </c>
    </row>
    <row r="6" spans="1:12" ht="13.5" thickBot="1">
      <c r="A6" s="36" t="s">
        <v>19</v>
      </c>
      <c r="B6" s="37">
        <v>0</v>
      </c>
      <c r="D6" s="94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5" t="s">
        <v>2</v>
      </c>
      <c r="G9" s="16" t="s">
        <v>0</v>
      </c>
      <c r="H9" s="96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99" t="s">
        <v>83</v>
      </c>
      <c r="F10" s="89"/>
      <c r="G10" s="101" t="s">
        <v>82</v>
      </c>
      <c r="H10" s="90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27.1</v>
      </c>
      <c r="E11" s="102" t="s">
        <v>80</v>
      </c>
      <c r="F11" s="89"/>
      <c r="G11" s="101" t="s">
        <v>81</v>
      </c>
      <c r="H11" s="90"/>
      <c r="I11">
        <f>IF(ISBLANK(Distance),"",IF(Distance&gt;1000,(Distance-1000)/26+33.0847,(IF(Distance&gt;600,(Distance-600)/28+18.799,(IF(Distance&gt;400,(Distance-400)/30+12.1324,(IF(Distance&gt;200,(Distance-200)/32+5.8824,Distance/34))))))))</f>
        <v>0.79705882352941182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1.8066666666666669</v>
      </c>
      <c r="K11" s="8">
        <f>IF(ISBLANK(Distance),"",Open_time Control_1+(INT(Open)&amp;":"&amp;IF(ROUND(((Open-INT(Open))*60),0)&lt;10,0,"")&amp;ROUND(((Open-INT(Open))*60),0)))</f>
        <v>3.3333333333333333E-2</v>
      </c>
      <c r="L11" s="8">
        <f>IF(ISBLANK(Distance),"",Open_time Control_1+(INT(Close)&amp;":"&amp;IF(ROUND(((Close-INT(Close))*60),0)&lt;10,0,"")&amp;ROUND(((Close-INT(Close))*60),0)))</f>
        <v>7.4999999999999997E-2</v>
      </c>
    </row>
    <row r="12" spans="1:12">
      <c r="C12" s="6" t="s">
        <v>29</v>
      </c>
      <c r="D12" s="43">
        <v>70.8</v>
      </c>
      <c r="E12" s="102" t="s">
        <v>75</v>
      </c>
      <c r="F12" s="89"/>
      <c r="G12" s="101" t="s">
        <v>76</v>
      </c>
      <c r="H12" s="90"/>
      <c r="I12">
        <f>IF(ISBLANK(Distance),"",IF(Distance&gt;1000,(Distance-1000)/26+33.0847,(IF(Distance&gt;600,(Distance-600)/28+18.799,(IF(Distance&gt;400,(Distance-400)/30+12.1324,(IF(Distance&gt;200,(Distance-200)/32+5.8824,Distance/34))))))))</f>
        <v>2.0823529411764703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4.72</v>
      </c>
      <c r="K12" s="8">
        <f>IF(ISBLANK(Distance),"",Open_time Control_1+(INT(Open)&amp;":"&amp;IF(ROUND(((Open-INT(Open))*60),0)&lt;10,0,"")&amp;ROUND(((Open-INT(Open))*60),0)))</f>
        <v>8.6805555555555566E-2</v>
      </c>
      <c r="L12" s="8">
        <f>IF(ISBLANK(Distance),"",Open_time Control_1+(INT(Close)&amp;":"&amp;IF(ROUND(((Close-INT(Close))*60),0)&lt;10,0,"")&amp;ROUND(((Close-INT(Close))*60),0)))</f>
        <v>0.19652777777777777</v>
      </c>
    </row>
    <row r="13" spans="1:12">
      <c r="C13" s="6" t="s">
        <v>30</v>
      </c>
      <c r="D13" s="43">
        <v>106.8</v>
      </c>
      <c r="E13" s="102" t="s">
        <v>77</v>
      </c>
      <c r="F13" s="89"/>
      <c r="G13" s="89"/>
      <c r="H13" s="90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3.1411764705882352</v>
      </c>
      <c r="J13">
        <f t="shared" si="0"/>
        <v>7.12</v>
      </c>
      <c r="K13" s="8">
        <f>IF(ISBLANK(Distance),"",Open_time Control_1+(INT(Open)&amp;":"&amp;IF(ROUND(((Open-INT(Open))*60),0)&lt;10,0,"")&amp;ROUND(((Open-INT(Open))*60),0)))</f>
        <v>0.13055555555555556</v>
      </c>
      <c r="L13" s="8">
        <f>IF(ISBLANK(Distance),"",Open_time Control_1+(INT(Close)&amp;":"&amp;IF(ROUND(((Close-INT(Close))*60),0)&lt;10,0,"")&amp;ROUND(((Close-INT(Close))*60),0)))</f>
        <v>0.29652777777777778</v>
      </c>
    </row>
    <row r="14" spans="1:12">
      <c r="C14" s="6" t="s">
        <v>31</v>
      </c>
      <c r="D14" s="43">
        <v>136.19999999999999</v>
      </c>
      <c r="E14" s="102" t="s">
        <v>78</v>
      </c>
      <c r="F14" s="89"/>
      <c r="G14" s="89"/>
      <c r="H14" s="90"/>
      <c r="I14">
        <f t="shared" si="1"/>
        <v>4.0058823529411764</v>
      </c>
      <c r="J14">
        <f t="shared" si="0"/>
        <v>9.08</v>
      </c>
      <c r="K14" s="8">
        <f>IF(ISBLANK(Distance),"",Open_time Control_1+(INT(Open)&amp;":"&amp;IF(ROUND(((Open-INT(Open))*60),0)&lt;10,0,"")&amp;ROUND(((Open-INT(Open))*60),0)))</f>
        <v>0.16666666666666666</v>
      </c>
      <c r="L14" s="8">
        <f>IF(ISBLANK(Distance),"",Open_time Control_1+(INT(Close)&amp;":"&amp;IF(ROUND(((Close-INT(Close))*60),0)&lt;10,0,"")&amp;ROUND(((Close-INT(Close))*60),0)))</f>
        <v>0.37847222222222227</v>
      </c>
    </row>
    <row r="15" spans="1:12">
      <c r="C15" s="6" t="s">
        <v>32</v>
      </c>
      <c r="D15" s="43">
        <v>189.6</v>
      </c>
      <c r="E15" s="102" t="s">
        <v>79</v>
      </c>
      <c r="F15" s="89"/>
      <c r="G15" s="89"/>
      <c r="H15" s="90"/>
      <c r="I15">
        <f t="shared" si="1"/>
        <v>5.5764705882352938</v>
      </c>
      <c r="J15">
        <f t="shared" si="0"/>
        <v>12.639999999999999</v>
      </c>
      <c r="K15" s="8">
        <f>IF(ISBLANK(Distance),"",Open_time Control_1+(INT(Open)&amp;":"&amp;IF(ROUND(((Open-INT(Open))*60),0)&lt;10,0,"")&amp;ROUND(((Open-INT(Open))*60),0)))</f>
        <v>0.23263888888888887</v>
      </c>
      <c r="L15" s="8">
        <f>IF(ISBLANK(Distance),"",Open_time Control_1+(INT(Close)&amp;":"&amp;IF(ROUND(((Close-INT(Close))*60),0)&lt;10,0,"")&amp;ROUND(((Close-INT(Close))*60),0)))</f>
        <v>0.52638888888888891</v>
      </c>
    </row>
    <row r="16" spans="1:12">
      <c r="C16" s="6" t="s">
        <v>33</v>
      </c>
      <c r="D16" s="43">
        <v>227.6</v>
      </c>
      <c r="E16" s="102" t="s">
        <v>80</v>
      </c>
      <c r="F16" s="89"/>
      <c r="G16" s="101" t="s">
        <v>81</v>
      </c>
      <c r="H16" s="90"/>
      <c r="I16">
        <f t="shared" si="1"/>
        <v>6.7448999999999995</v>
      </c>
      <c r="J16">
        <f t="shared" si="0"/>
        <v>15.173333333333334</v>
      </c>
      <c r="K16" s="8">
        <f>IF(ISBLANK(Distance),"",Open_time Control_1+(INT(Open)&amp;":"&amp;IF(ROUND(((Open-INT(Open))*60),0)&lt;10,0,"")&amp;ROUND(((Open-INT(Open))*60),0)))</f>
        <v>0.28125</v>
      </c>
      <c r="L16" s="8">
        <f>IF(ISBLANK(Distance),"",Open_time Control_1+(INT(Close)&amp;":"&amp;IF(ROUND(((Close-INT(Close))*60),0)&lt;10,0,"")&amp;ROUND(((Close-INT(Close))*60),0)))</f>
        <v>0.63194444444444442</v>
      </c>
    </row>
    <row r="17" spans="3:12">
      <c r="C17" s="6" t="s">
        <v>34</v>
      </c>
      <c r="D17" s="43">
        <v>249.4</v>
      </c>
      <c r="E17" s="102" t="s">
        <v>83</v>
      </c>
      <c r="F17" s="89"/>
      <c r="G17" s="101" t="s">
        <v>82</v>
      </c>
      <c r="H17" s="90"/>
      <c r="I17">
        <f t="shared" si="1"/>
        <v>7.4261499999999998</v>
      </c>
      <c r="J17">
        <f t="shared" si="0"/>
        <v>16.626666666666669</v>
      </c>
      <c r="K17" s="8">
        <f>IF(ISBLANK(Distance),"",Open_time Control_1+(INT(Open)&amp;":"&amp;IF(ROUND(((Open-INT(Open))*60),0)&lt;10,0,"")&amp;ROUND(((Open-INT(Open))*60),0)))</f>
        <v>0.30972222222222223</v>
      </c>
      <c r="L17" s="8">
        <f>IF(ISBLANK(Distance),"",Open_time Control_1+(INT(Close)&amp;":"&amp;IF(ROUND(((Close-INT(Close))*60),0)&lt;10,0,"")&amp;ROUND(((Close-INT(Close))*60),0)))</f>
        <v>0.69305555555555554</v>
      </c>
    </row>
    <row r="18" spans="3:12">
      <c r="C18" s="6" t="s">
        <v>35</v>
      </c>
      <c r="D18" s="43"/>
      <c r="E18" s="44"/>
      <c r="F18" s="89"/>
      <c r="G18" s="89"/>
      <c r="H18" s="90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9"/>
      <c r="G19" s="89"/>
      <c r="H19" s="90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9"/>
      <c r="G20" s="89"/>
      <c r="H20" s="90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9"/>
      <c r="G21" s="89"/>
      <c r="H21" s="90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9"/>
      <c r="G22" s="89"/>
      <c r="H22" s="90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9"/>
      <c r="G23" s="89"/>
      <c r="H23" s="90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9"/>
      <c r="G24" s="89"/>
      <c r="H24" s="90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9"/>
      <c r="G25" s="89"/>
      <c r="H25" s="90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9"/>
      <c r="G26" s="89"/>
      <c r="H26" s="90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9"/>
      <c r="G27" s="89"/>
      <c r="H27" s="90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9"/>
      <c r="G28" s="89"/>
      <c r="H28" s="90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1"/>
      <c r="G29" s="91"/>
      <c r="H29" s="92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7" t="s">
        <v>3</v>
      </c>
    </row>
    <row r="31" spans="3:12">
      <c r="D31" s="98" t="s">
        <v>7</v>
      </c>
    </row>
    <row r="32" spans="3:12">
      <c r="D32" s="99">
        <v>0</v>
      </c>
      <c r="E32" t="s">
        <v>8</v>
      </c>
      <c r="G32" t="s">
        <v>9</v>
      </c>
    </row>
    <row r="33" spans="4:8">
      <c r="D33" s="97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7" t="s">
        <v>4</v>
      </c>
    </row>
    <row r="37" spans="4:8">
      <c r="D37" s="98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opLeftCell="A13" zoomScale="75" zoomScaleNormal="75" workbookViewId="0">
      <selection activeCell="A34" sqref="A34:E41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e">
        <f>IF(ISBLANK(Locale Control_1),"",Locale Control_1)</f>
        <v>#NULL!</v>
      </c>
      <c r="E4" s="30" t="str">
        <f>IF(ISBLANK(Control_1 Establishment_2),"",Control_1 Establishment_2)</f>
        <v>Waves Coffee</v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3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3.3333333333333333E-2</v>
      </c>
      <c r="C6" s="17">
        <f>Control_2 Close_time</f>
        <v>7.4999999999999997E-2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27.1</v>
      </c>
      <c r="B7" s="19">
        <f>Control_2 Open_time</f>
        <v>3.3333333333333333E-2</v>
      </c>
      <c r="C7" s="19">
        <f>Control_2 Close_time</f>
        <v>7.4999999999999997E-2</v>
      </c>
      <c r="D7" s="30" t="str">
        <f>IF(ISBLANK(Locale Control_2),"",Locale Control_2)</f>
        <v>Fort Langley</v>
      </c>
      <c r="E7" s="30" t="str">
        <f>IF(ISBLANK(Control_2 Establishment_2),"",Control_2 Establishment_2)</f>
        <v>Choice</v>
      </c>
      <c r="F7" s="27"/>
      <c r="G7" s="26"/>
      <c r="K7" s="46"/>
    </row>
    <row r="8" spans="1:20" ht="36" customHeight="1" thickBot="1">
      <c r="A8" s="33"/>
      <c r="B8" s="20">
        <f>Control_2 Open_time</f>
        <v>3.3333333333333333E-2</v>
      </c>
      <c r="C8" s="20">
        <f>Control_2 Close_time</f>
        <v>7.4999999999999997E-2</v>
      </c>
      <c r="D8" s="21"/>
      <c r="E8" s="93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8.6805555555555566E-2</v>
      </c>
      <c r="C9" s="17">
        <f>Control_3 Close_time</f>
        <v>0.19652777777777777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70.8</v>
      </c>
      <c r="B10" s="19">
        <f>Control_3 Open_time</f>
        <v>8.6805555555555566E-2</v>
      </c>
      <c r="C10" s="19">
        <f>Control_3 Close_time</f>
        <v>0.19652777777777777</v>
      </c>
      <c r="D10" s="30" t="str">
        <f>IF(ISBLANK(Locale Control_3),"",Locale Control_3)</f>
        <v>Side of 4 Ave.</v>
      </c>
      <c r="E10" s="30" t="str">
        <f>IF(ISBLANK(Control_3 Establishment_2),"",Control_3 Establishment_2)</f>
        <v>Self sign</v>
      </c>
      <c r="F10" s="27"/>
      <c r="G10" s="26"/>
      <c r="J10" s="52" t="str">
        <f>IF(ISBLANK(Brevet_Description),"",Brevet_Description)</f>
        <v>3 Hump Camel Permanent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8.6805555555555566E-2</v>
      </c>
      <c r="C11" s="20">
        <f>Control_3 Close_time</f>
        <v>0.19652777777777777</v>
      </c>
      <c r="D11" s="21"/>
      <c r="E11" s="93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>
        <f>Control_4 Open_time</f>
        <v>0.13055555555555556</v>
      </c>
      <c r="C12" s="17">
        <f>Control_4 Close_time</f>
        <v>0.29652777777777778</v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>
        <f>IF(ISBLANK(Distance Control_4),"",Control_4 Distance)</f>
        <v>106.8</v>
      </c>
      <c r="B13" s="19">
        <f>Control_4 Open_time</f>
        <v>0.13055555555555556</v>
      </c>
      <c r="C13" s="19">
        <f>Control_4 Close_time</f>
        <v>0.29652777777777778</v>
      </c>
      <c r="D13" s="30" t="str">
        <f>IF(ISBLANK(Locale Control_4),"",Locale Control_4)</f>
        <v>Pointa Vista Cafe</v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>
        <f>Control_4 Open_time</f>
        <v>0.13055555555555556</v>
      </c>
      <c r="C14" s="20">
        <f>Control_4 Close_time</f>
        <v>0.29652777777777778</v>
      </c>
      <c r="D14" s="21"/>
      <c r="E14" s="93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>
        <f>Control_5 Open_time</f>
        <v>0.16666666666666666</v>
      </c>
      <c r="C15" s="17">
        <f>Control_5 Close_time</f>
        <v>0.37847222222222227</v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>
        <f>IF(ISBLANK(Distance Control_5),"",Control_5 Distance)</f>
        <v>136.19999999999999</v>
      </c>
      <c r="B16" s="19">
        <f>Control_5 Open_time</f>
        <v>0.16666666666666666</v>
      </c>
      <c r="C16" s="19">
        <f>Control_5 Close_time</f>
        <v>0.37847222222222227</v>
      </c>
      <c r="D16" s="30" t="str">
        <f>IF(ISBLANK(Locale Control_5),"",Locale Control_5)</f>
        <v>Popkum Market</v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>
        <f>Control_5 Open_time</f>
        <v>0.16666666666666666</v>
      </c>
      <c r="C17" s="20">
        <f>Control_5 Close_time</f>
        <v>0.37847222222222227</v>
      </c>
      <c r="D17" s="21"/>
      <c r="E17" s="93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>
        <f>Control_6 Open_time</f>
        <v>0.23263888888888887</v>
      </c>
      <c r="C18" s="17">
        <f>Control_6 Close_time</f>
        <v>0.52638888888888891</v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>
        <f>IF(ISBLANK(Distance Control_6),"",Control_6 Distance)</f>
        <v>189.6</v>
      </c>
      <c r="B19" s="19">
        <f>Control_6 Open_time</f>
        <v>0.23263888888888887</v>
      </c>
      <c r="C19" s="19">
        <f>Control_6 Close_time</f>
        <v>0.52638888888888891</v>
      </c>
      <c r="D19" s="30" t="str">
        <f>IF(ISBLANK(Locale Control_6),"",Locale Control_6)</f>
        <v>Straiton Hall</v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>
        <f>Control_5 Open_time</f>
        <v>0.16666666666666666</v>
      </c>
      <c r="C20" s="20">
        <f>Control_5 Close_time</f>
        <v>0.37847222222222227</v>
      </c>
      <c r="D20" s="21"/>
      <c r="E20" s="93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>
        <f>Control_7 Open_time</f>
        <v>0.28125</v>
      </c>
      <c r="C21" s="17">
        <f>Control_7 Close_time</f>
        <v>0.63194444444444442</v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>
        <f>IF(ISBLANK(Distance Control_7),"",Control_7 Distance)</f>
        <v>227.6</v>
      </c>
      <c r="B22" s="19">
        <f>Control_7 Open_time</f>
        <v>0.28125</v>
      </c>
      <c r="C22" s="19">
        <f>Control_7 Close_time</f>
        <v>0.63194444444444442</v>
      </c>
      <c r="D22" s="30" t="str">
        <f>IF(ISBLANK(Locale Control_7),"",Locale Control_7)</f>
        <v>Fort Langley</v>
      </c>
      <c r="E22" s="30" t="str">
        <f>IF(ISBLANK(Control_7 Establishment_2),"",Control_7 Establishment_2)</f>
        <v>Choice</v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>
        <f>Control_7 Open_time</f>
        <v>0.28125</v>
      </c>
      <c r="C23" s="20">
        <f>Control_7 Close_time</f>
        <v>0.63194444444444442</v>
      </c>
      <c r="D23" s="21"/>
      <c r="E23" s="93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>
        <f>Control_8 Open_time</f>
        <v>0.30972222222222223</v>
      </c>
      <c r="C24" s="17">
        <f>Control_8 Close_time</f>
        <v>0.69305555555555554</v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>
        <f>IF(ISBLANK(Distance Control_8),"",Control_8 Distance)</f>
        <v>249.4</v>
      </c>
      <c r="B25" s="19">
        <f>Control_8 Open_time</f>
        <v>0.30972222222222223</v>
      </c>
      <c r="C25" s="19">
        <f>Control_8 Close_time</f>
        <v>0.69305555555555554</v>
      </c>
      <c r="D25" s="30" t="str">
        <f>IF(ISBLANK(Locale Control_8),"",Locale Control_8)</f>
        <v>McCallister at Shaughnessy</v>
      </c>
      <c r="E25" s="30" t="str">
        <f>IF(ISBLANK(Control_8 Establishment_2),"",Control_8 Establishment_2)</f>
        <v>Waves Coffee</v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>
        <f>Control_8 Open_time</f>
        <v>0.30972222222222223</v>
      </c>
      <c r="C26" s="20">
        <f>Control_8 Close_time</f>
        <v>0.69305555555555554</v>
      </c>
      <c r="D26" s="21"/>
      <c r="E26" s="93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3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/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3" t="str">
        <f>IF(ISBLANK(Control_10 Establishment_3),"",Control_10 Establishment_3)</f>
        <v/>
      </c>
      <c r="F32" s="29"/>
      <c r="G32" s="28"/>
      <c r="U32" s="55"/>
    </row>
    <row r="33" spans="1:20" ht="36" customHeight="1">
      <c r="A33" s="31"/>
      <c r="B33" s="17" t="str">
        <f>Control_11 Open_time</f>
        <v/>
      </c>
      <c r="C33" s="17" t="str">
        <f>Control_11 Close_time</f>
        <v/>
      </c>
      <c r="D33" s="22"/>
      <c r="E33" s="30" t="str">
        <f>IF(ISBLANK(Control_11 Establishment_1),"",Control_11 Establishment_1)</f>
        <v/>
      </c>
      <c r="F33" s="27"/>
      <c r="G33" s="26"/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2">
        <f>IF(ISBLANK(Distance Control_1),"",Control_1 Distance)</f>
        <v>0</v>
      </c>
      <c r="B34" s="19">
        <f>Control_1 Open_time</f>
        <v>0</v>
      </c>
      <c r="C34" s="19">
        <f>Control_1 Close_time</f>
        <v>4.1666666666666664E-2</v>
      </c>
      <c r="D34" s="30" t="e">
        <f>IF(ISBLANK(Locale Control_1),"",Locale Control_1)</f>
        <v>#NULL!</v>
      </c>
      <c r="E34" s="30" t="str">
        <f>IF(ISBLANK(Control_1 Establishment_2),"",Control_1 Establishment_2)</f>
        <v>Waves Coffee</v>
      </c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 thickBot="1">
      <c r="A35" s="33"/>
      <c r="B35" s="20">
        <f>Control_1 Open_time</f>
        <v>0</v>
      </c>
      <c r="C35" s="20">
        <f>Control_1 Close_time</f>
        <v>4.1666666666666664E-2</v>
      </c>
      <c r="D35" s="21"/>
      <c r="E35" s="93" t="str">
        <f>IF(ISBLANK(Control_1 Establishment_3),"",Control_1 Establishment_3)</f>
        <v/>
      </c>
      <c r="F35" s="29"/>
      <c r="G35" s="28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>
      <c r="A36" s="31"/>
      <c r="B36" s="17">
        <f>Control_2 Open_time</f>
        <v>3.3333333333333333E-2</v>
      </c>
      <c r="C36" s="17">
        <f>Control_2 Close_time</f>
        <v>7.4999999999999997E-2</v>
      </c>
      <c r="D36" s="22"/>
      <c r="E36" s="30" t="str">
        <f>IF(ISBLANK(Control_2 Establishment_1),"",Control_2 Establishment_1)</f>
        <v/>
      </c>
      <c r="F36" s="27"/>
      <c r="G36" s="26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2">
        <f>IF(ISBLANK(Distance Control_2),"",Control_2 Distance)</f>
        <v>27.1</v>
      </c>
      <c r="B37" s="19">
        <f>Control_2 Open_time</f>
        <v>3.3333333333333333E-2</v>
      </c>
      <c r="C37" s="19">
        <f>Control_2 Close_time</f>
        <v>7.4999999999999997E-2</v>
      </c>
      <c r="D37" s="30" t="str">
        <f>IF(ISBLANK(Locale Control_2),"",Locale Control_2)</f>
        <v>Fort Langley</v>
      </c>
      <c r="E37" s="30" t="str">
        <f>IF(ISBLANK(Control_2 Establishment_2),"",Control_2 Establishment_2)</f>
        <v>Choice</v>
      </c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 thickBot="1">
      <c r="A38" s="33"/>
      <c r="B38" s="20">
        <f>Control_2 Open_time</f>
        <v>3.3333333333333333E-2</v>
      </c>
      <c r="C38" s="20">
        <f>Control_2 Close_time</f>
        <v>7.4999999999999997E-2</v>
      </c>
      <c r="D38" s="21"/>
      <c r="E38" s="93" t="str">
        <f>IF(ISBLANK(Control_2 Establishment_3),"",Control_2 Establishment_3)</f>
        <v/>
      </c>
      <c r="F38" s="29"/>
      <c r="G38" s="28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>
      <c r="A39" s="31"/>
      <c r="B39" s="17">
        <f>Control_3 Open_time</f>
        <v>8.6805555555555566E-2</v>
      </c>
      <c r="C39" s="17">
        <f>Control_3 Close_time</f>
        <v>0.19652777777777777</v>
      </c>
      <c r="D39" s="22"/>
      <c r="E39" s="30" t="str">
        <f>IF(ISBLANK(Control_3 Establishment_1),"",Control_3 Establishment_1)</f>
        <v/>
      </c>
      <c r="F39" s="27"/>
      <c r="G39" s="26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2">
        <f>IF(ISBLANK(Distance Control_3),"",Control_3 Distance)</f>
        <v>70.8</v>
      </c>
      <c r="B40" s="19">
        <f>Control_3 Open_time</f>
        <v>8.6805555555555566E-2</v>
      </c>
      <c r="C40" s="19">
        <f>Control_3 Close_time</f>
        <v>0.19652777777777777</v>
      </c>
      <c r="D40" s="30" t="str">
        <f>IF(ISBLANK(Locale Control_3),"",Locale Control_3)</f>
        <v>Side of 4 Ave.</v>
      </c>
      <c r="E40" s="30" t="str">
        <f>IF(ISBLANK(Control_3 Establishment_2),"",Control_3 Establishment_2)</f>
        <v>Self sign</v>
      </c>
      <c r="F40" s="27"/>
      <c r="G40" s="26"/>
      <c r="J40" s="52" t="str">
        <f>IF(ISBLANK(Brevet_Description),"",Brevet_Description)</f>
        <v>3 Hump Camel Permanent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 thickBot="1">
      <c r="A41" s="33"/>
      <c r="B41" s="20">
        <f>Control_3 Open_time</f>
        <v>8.6805555555555566E-2</v>
      </c>
      <c r="C41" s="20">
        <f>Control_3 Close_time</f>
        <v>0.19652777777777777</v>
      </c>
      <c r="D41" s="21"/>
      <c r="E41" s="93" t="str">
        <f>IF(ISBLANK(Control_3 Establishment_3),"",Control_3 Establishment_3)</f>
        <v/>
      </c>
      <c r="F41" s="29"/>
      <c r="G41" s="28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1"/>
      <c r="B42" s="17" t="str">
        <f>Control_14 Open_time</f>
        <v/>
      </c>
      <c r="C42" s="17" t="str">
        <f>Control_14 Close_time</f>
        <v/>
      </c>
      <c r="D42" s="22"/>
      <c r="E42" s="30" t="str">
        <f>IF(ISBLANK(Control_14 Establishment_1),"",Control_14 Establishment_1)</f>
        <v/>
      </c>
      <c r="F42" s="27"/>
      <c r="G42" s="26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2" t="str">
        <f>IF(ISBLANK(Distance Control_14),"",Control_14 Distance)</f>
        <v/>
      </c>
      <c r="B43" s="19" t="str">
        <f>Control_14 Open_time</f>
        <v/>
      </c>
      <c r="C43" s="19" t="str">
        <f>Control_14 Close_time</f>
        <v/>
      </c>
      <c r="D43" s="30" t="str">
        <f>IF(ISBLANK(Locale Control_14),"",Locale Control_14)</f>
        <v/>
      </c>
      <c r="E43" s="30" t="str">
        <f>IF(ISBLANK(Control_14 Establishment_2),"",Control_14 Establishment_2)</f>
        <v/>
      </c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3"/>
      <c r="B44" s="20" t="str">
        <f>Control_14 Open_time</f>
        <v/>
      </c>
      <c r="C44" s="20" t="str">
        <f>Control_14 Close_time</f>
        <v/>
      </c>
      <c r="D44" s="21"/>
      <c r="E44" s="93" t="str">
        <f>IF(ISBLANK(Control_14 Establishment_3),"",Control_14 Establishment_3)</f>
        <v/>
      </c>
      <c r="F44" s="29"/>
      <c r="G44" s="28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1"/>
      <c r="B45" s="17" t="str">
        <f>Control_15 Open_time</f>
        <v/>
      </c>
      <c r="C45" s="17" t="str">
        <f>Control_15 Close_time</f>
        <v/>
      </c>
      <c r="D45" s="22"/>
      <c r="E45" s="30" t="str">
        <f>IF(ISBLANK(Control_15 Establishment_1),"",Control_15 Establishment_1)</f>
        <v/>
      </c>
      <c r="F45" s="27"/>
      <c r="G45" s="26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3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3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3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3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3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/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3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2013-07-31T03:20:33Z</cp:lastPrinted>
  <dcterms:created xsi:type="dcterms:W3CDTF">1997-11-12T04:43:39Z</dcterms:created>
  <dcterms:modified xsi:type="dcterms:W3CDTF">2013-10-09T16:58:36Z</dcterms:modified>
</cp:coreProperties>
</file>