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7022"/>
  <workbookPr showInkAnnotation="0" autoCompressPictures="0"/>
  <bookViews>
    <workbookView xWindow="300" yWindow="20" windowWidth="25600" windowHeight="16060" tabRatio="509"/>
  </bookViews>
  <sheets>
    <sheet name="Control Entry" sheetId="1" r:id="rId1"/>
    <sheet name="Card #1" sheetId="7" r:id="rId2"/>
    <sheet name="Card #2" sheetId="8" r:id="rId3"/>
  </sheets>
  <definedNames>
    <definedName name="Address_1" localSheetId="1">#REF!</definedName>
    <definedName name="Address_1" localSheetId="2">#REF!</definedName>
    <definedName name="Address_1">#REF!</definedName>
    <definedName name="Address_2" localSheetId="1">#REF!</definedName>
    <definedName name="Address_2" localSheetId="2">#REF!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2">#REF!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2">'Control Entry'!#REF!</definedName>
    <definedName name="Control_11">'Control Entry'!#REF!</definedName>
    <definedName name="Control_12" localSheetId="1">'Control Entry'!#REF!</definedName>
    <definedName name="Control_12" localSheetId="2">'Control Entry'!#REF!</definedName>
    <definedName name="Control_12">'Control Entry'!#REF!</definedName>
    <definedName name="Control_13" localSheetId="1">'Control Entry'!#REF!</definedName>
    <definedName name="Control_13" localSheetId="2">'Control Entry'!#REF!</definedName>
    <definedName name="Control_13">'Control Entry'!#REF!</definedName>
    <definedName name="Control_14" localSheetId="1">'Control Entry'!#REF!</definedName>
    <definedName name="Control_14" localSheetId="2">'Control Entry'!#REF!</definedName>
    <definedName name="Control_14">'Control Entry'!#REF!</definedName>
    <definedName name="Control_15" localSheetId="1">'Control Entry'!#REF!</definedName>
    <definedName name="Control_15" localSheetId="2">'Control Entry'!#REF!</definedName>
    <definedName name="Control_15">'Control Entry'!#REF!</definedName>
    <definedName name="Control_16" localSheetId="1">'Control Entry'!#REF!</definedName>
    <definedName name="Control_16" localSheetId="2">'Control Entry'!#REF!</definedName>
    <definedName name="Control_16">'Control Entry'!#REF!</definedName>
    <definedName name="Control_17" localSheetId="1">'Control Entry'!#REF!</definedName>
    <definedName name="Control_17" localSheetId="2">'Control Entry'!#REF!</definedName>
    <definedName name="Control_17">'Control Entry'!#REF!</definedName>
    <definedName name="Control_18" localSheetId="1">'Control Entry'!#REF!</definedName>
    <definedName name="Control_18" localSheetId="2">'Control Entry'!#REF!</definedName>
    <definedName name="Control_18">'Control Entry'!#REF!</definedName>
    <definedName name="Control_19" localSheetId="1">'Control Entry'!#REF!</definedName>
    <definedName name="Control_19" localSheetId="2">'Control Entry'!#REF!</definedName>
    <definedName name="Control_19">'Control Entry'!#REF!</definedName>
    <definedName name="Control_2">'Control Entry'!$D$16:$O$16</definedName>
    <definedName name="Control_20" localSheetId="1">'Control Entry'!#REF!</definedName>
    <definedName name="Control_20" localSheetId="2">'Control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2">#REF!</definedName>
    <definedName name="Country">#REF!</definedName>
    <definedName name="Distance">'Control Entry'!$D$15:$D$24</definedName>
    <definedName name="email" localSheetId="1">#REF!</definedName>
    <definedName name="email" localSheetId="2">#REF!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2">#REF!</definedName>
    <definedName name="Fax">#REF!</definedName>
    <definedName name="First_Name" localSheetId="1">#REF!</definedName>
    <definedName name="First_Name" localSheetId="2">#REF!</definedName>
    <definedName name="First_Name">#REF!</definedName>
    <definedName name="Home_telephone" localSheetId="1">#REF!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2">#REF!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2">#REF!</definedName>
    <definedName name="Postal_Code">#REF!</definedName>
    <definedName name="_xlnm.Print_Area" localSheetId="1">'Card #1'!$A$1:$K$55</definedName>
    <definedName name="_xlnm.Print_Area" localSheetId="2">'Card #2'!$A$1:$K$55</definedName>
    <definedName name="Province_State" localSheetId="1">#REF!</definedName>
    <definedName name="Province_State" localSheetId="2">#REF!</definedName>
    <definedName name="Province_State">#REF!</definedName>
    <definedName name="Start_date">'Control Entry'!$B$12</definedName>
    <definedName name="Start_time">'Control Entry'!$B$13</definedName>
    <definedName name="surname" localSheetId="1">#REF!</definedName>
    <definedName name="surname" localSheetId="2">#REF!</definedName>
    <definedName name="surname">#REF!</definedName>
    <definedName name="Work_telephone" localSheetId="1">#REF!</definedName>
    <definedName name="Work_telephone" localSheetId="2">#REF!</definedName>
    <definedName name="Work_telephone">#REF!</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G50" i="8" l="1"/>
  <c r="G49" i="8"/>
  <c r="G48" i="8"/>
  <c r="F50" i="8"/>
  <c r="F49" i="8"/>
  <c r="F48" i="8"/>
  <c r="E49" i="8"/>
  <c r="B49" i="8"/>
  <c r="G47" i="8"/>
  <c r="G46" i="8"/>
  <c r="G45" i="8"/>
  <c r="F47" i="8"/>
  <c r="F46" i="8"/>
  <c r="F45" i="8"/>
  <c r="E46" i="8"/>
  <c r="B46" i="8"/>
  <c r="G44" i="8"/>
  <c r="G43" i="8"/>
  <c r="G42" i="8"/>
  <c r="F44" i="8"/>
  <c r="F43" i="8"/>
  <c r="F42" i="8"/>
  <c r="E43" i="8"/>
  <c r="B43" i="8"/>
  <c r="G41" i="8"/>
  <c r="G40" i="8"/>
  <c r="G39" i="8"/>
  <c r="F41" i="8"/>
  <c r="F40" i="8"/>
  <c r="F39" i="8"/>
  <c r="E40" i="8"/>
  <c r="B40" i="8"/>
  <c r="G38" i="8"/>
  <c r="G37" i="8"/>
  <c r="G36" i="8"/>
  <c r="F38" i="8"/>
  <c r="F37" i="8"/>
  <c r="F36" i="8"/>
  <c r="E37" i="8"/>
  <c r="B37" i="8"/>
  <c r="G35" i="8"/>
  <c r="G34" i="8"/>
  <c r="G33" i="8"/>
  <c r="F35" i="8"/>
  <c r="F34" i="8"/>
  <c r="F33" i="8"/>
  <c r="E34" i="8"/>
  <c r="B34" i="8"/>
  <c r="G32" i="8"/>
  <c r="G31" i="8"/>
  <c r="G30" i="8"/>
  <c r="F32" i="8"/>
  <c r="F31" i="8"/>
  <c r="F30" i="8"/>
  <c r="E31" i="8"/>
  <c r="B31" i="8"/>
  <c r="G29" i="8"/>
  <c r="G28" i="8"/>
  <c r="G26" i="8"/>
  <c r="G25" i="8"/>
  <c r="G27" i="8"/>
  <c r="F29" i="8"/>
  <c r="F28" i="8"/>
  <c r="F27" i="8"/>
  <c r="E28" i="8"/>
  <c r="B28" i="8"/>
  <c r="G24" i="8"/>
  <c r="F26" i="8"/>
  <c r="F25" i="8"/>
  <c r="F24" i="8"/>
  <c r="E25" i="8"/>
  <c r="B25" i="8"/>
  <c r="B22" i="8"/>
  <c r="G23" i="8"/>
  <c r="G22" i="8"/>
  <c r="G21" i="8"/>
  <c r="F23" i="8"/>
  <c r="F22" i="8"/>
  <c r="F21" i="8"/>
  <c r="E22" i="8"/>
  <c r="C54" i="8"/>
  <c r="J52" i="8"/>
  <c r="I12" i="8"/>
  <c r="F12" i="8"/>
  <c r="E5" i="8"/>
  <c r="E4" i="8"/>
  <c r="J3" i="8"/>
  <c r="J2" i="8"/>
  <c r="M37" i="1"/>
  <c r="O37" i="1"/>
  <c r="D49" i="8"/>
  <c r="L37" i="1"/>
  <c r="N37" i="1"/>
  <c r="C48" i="8"/>
  <c r="N36" i="1"/>
  <c r="C47" i="8"/>
  <c r="M36" i="1"/>
  <c r="O36" i="1"/>
  <c r="D47" i="8"/>
  <c r="L36" i="1"/>
  <c r="N35" i="1"/>
  <c r="C42" i="8"/>
  <c r="M35" i="1"/>
  <c r="O35" i="1"/>
  <c r="D43" i="8"/>
  <c r="L35" i="1"/>
  <c r="N34" i="1"/>
  <c r="C41" i="8"/>
  <c r="M34" i="1"/>
  <c r="O34" i="1"/>
  <c r="D41" i="8"/>
  <c r="L34" i="1"/>
  <c r="N33" i="1"/>
  <c r="C36" i="8"/>
  <c r="M33" i="1"/>
  <c r="O33" i="1"/>
  <c r="D37" i="8"/>
  <c r="L33" i="1"/>
  <c r="N32" i="1"/>
  <c r="C35" i="8"/>
  <c r="M32" i="1"/>
  <c r="O32" i="1"/>
  <c r="D35" i="8"/>
  <c r="L32" i="1"/>
  <c r="M31" i="1"/>
  <c r="O31" i="1"/>
  <c r="D31" i="8"/>
  <c r="L31" i="1"/>
  <c r="N31" i="1"/>
  <c r="C30" i="8"/>
  <c r="M30" i="1"/>
  <c r="O30" i="1"/>
  <c r="D28" i="8"/>
  <c r="L30" i="1"/>
  <c r="N30" i="1"/>
  <c r="C27" i="8"/>
  <c r="O29" i="1"/>
  <c r="D25" i="8"/>
  <c r="M29" i="1"/>
  <c r="L29" i="1"/>
  <c r="N29" i="1"/>
  <c r="C24" i="8"/>
  <c r="M28" i="1"/>
  <c r="L28" i="1"/>
  <c r="D50" i="8"/>
  <c r="C31" i="8"/>
  <c r="D44" i="8"/>
  <c r="D39" i="8"/>
  <c r="C43" i="8"/>
  <c r="C28" i="8"/>
  <c r="D32" i="8"/>
  <c r="D26" i="8"/>
  <c r="D38" i="8"/>
  <c r="C49" i="8"/>
  <c r="C25" i="8"/>
  <c r="D29" i="8"/>
  <c r="D33" i="8"/>
  <c r="C37" i="8"/>
  <c r="D45" i="8"/>
  <c r="C26" i="8"/>
  <c r="C29" i="8"/>
  <c r="C32" i="8"/>
  <c r="C33" i="8"/>
  <c r="D34" i="8"/>
  <c r="C38" i="8"/>
  <c r="C39" i="8"/>
  <c r="D40" i="8"/>
  <c r="C44" i="8"/>
  <c r="C45" i="8"/>
  <c r="D46" i="8"/>
  <c r="C50" i="8"/>
  <c r="D24" i="8"/>
  <c r="D27" i="8"/>
  <c r="D30" i="8"/>
  <c r="C34" i="8"/>
  <c r="D36" i="8"/>
  <c r="C40" i="8"/>
  <c r="D42" i="8"/>
  <c r="C46" i="8"/>
  <c r="D48" i="8"/>
  <c r="L7" i="1"/>
  <c r="E5"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2" i="7"/>
  <c r="F31" i="7"/>
  <c r="E31" i="7"/>
  <c r="B31" i="7"/>
  <c r="F30" i="7"/>
  <c r="F29" i="7"/>
  <c r="F28" i="7"/>
  <c r="E28" i="7"/>
  <c r="B28" i="7"/>
  <c r="F27" i="7"/>
  <c r="F26" i="7"/>
  <c r="F25" i="7"/>
  <c r="E25" i="7"/>
  <c r="B25" i="7"/>
  <c r="F24" i="7"/>
  <c r="F23" i="7"/>
  <c r="F22" i="7"/>
  <c r="E22" i="7"/>
  <c r="B22" i="7"/>
  <c r="F21" i="7"/>
  <c r="J52" i="7"/>
  <c r="I12" i="7"/>
  <c r="F12" i="7"/>
  <c r="J2" i="7"/>
  <c r="C54" i="7"/>
  <c r="J3" i="7"/>
  <c r="E4" i="7"/>
  <c r="L15" i="1"/>
  <c r="N15" i="1"/>
  <c r="C6" i="1"/>
  <c r="L24" i="1"/>
  <c r="L23" i="1"/>
  <c r="L22" i="1"/>
  <c r="L21" i="1"/>
  <c r="L20" i="1"/>
  <c r="L19" i="1"/>
  <c r="L18" i="1"/>
  <c r="L17" i="1"/>
  <c r="L16" i="1"/>
  <c r="N28" i="1"/>
  <c r="O28" i="1"/>
  <c r="M16" i="1"/>
  <c r="C22" i="7"/>
  <c r="C23" i="7"/>
  <c r="C21" i="7"/>
  <c r="B7" i="1"/>
  <c r="M21" i="1"/>
  <c r="O21" i="1"/>
  <c r="O16" i="1"/>
  <c r="M19" i="1"/>
  <c r="O19" i="1"/>
  <c r="M18" i="1"/>
  <c r="O18" i="1"/>
  <c r="M17" i="1"/>
  <c r="O17" i="1"/>
  <c r="M15" i="1"/>
  <c r="O15" i="1"/>
  <c r="N18" i="1"/>
  <c r="N22" i="1"/>
  <c r="N17" i="1"/>
  <c r="N21" i="1"/>
  <c r="N24" i="1"/>
  <c r="N16" i="1"/>
  <c r="N20" i="1"/>
  <c r="N19" i="1"/>
  <c r="N23" i="1"/>
  <c r="C21" i="8"/>
  <c r="C23" i="8"/>
  <c r="C22" i="8"/>
  <c r="D21" i="8"/>
  <c r="D22" i="8"/>
  <c r="D23" i="8"/>
  <c r="M24" i="1"/>
  <c r="O24" i="1"/>
  <c r="M23" i="1"/>
  <c r="O23" i="1"/>
  <c r="M20" i="1"/>
  <c r="O20" i="1"/>
  <c r="M22" i="1"/>
  <c r="O22" i="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37" i="7"/>
  <c r="D47" i="7"/>
  <c r="D50" i="7"/>
  <c r="D44" i="7"/>
  <c r="D48" i="7"/>
  <c r="D49" i="7"/>
  <c r="D38" i="7"/>
  <c r="D36" i="7"/>
  <c r="D42" i="7"/>
  <c r="D46" i="7"/>
  <c r="D45" i="7"/>
  <c r="D43" i="7"/>
</calcChain>
</file>

<file path=xl/comments1.xml><?xml version="1.0" encoding="utf-8"?>
<comments xmlns="http://schemas.openxmlformats.org/spreadsheetml/2006/main">
  <authors>
    <author>Stephen Hinde</author>
    <author>A satisfied Microsoft Office user</author>
  </authors>
  <commentList>
    <comment ref="B4" authorId="0">
      <text>
        <r>
          <rPr>
            <b/>
            <sz val="10"/>
            <color rgb="FF000000"/>
            <rFont val="Tahoma"/>
            <family val="2"/>
          </rPr>
          <t>Stephen Hinde:</t>
        </r>
        <r>
          <rPr>
            <sz val="10"/>
            <color rgb="FF000000"/>
            <rFont val="Tahoma"/>
            <family val="2"/>
          </rPr>
          <t xml:space="preserve">Revision date of the brevet details on this sheet
</t>
        </r>
      </text>
    </comment>
    <comment ref="B6" authorId="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text>
        <r>
          <rPr>
            <sz val="8"/>
            <color rgb="FF000000"/>
            <rFont val="Tahoma"/>
            <family val="2"/>
          </rPr>
          <t>Autocalculated based on ACP specified times</t>
        </r>
      </text>
    </comment>
    <comment ref="B8" authorId="0">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<sst xmlns="http://schemas.openxmlformats.org/spreadsheetml/2006/main" count="142" uniqueCount="97">
  <si>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</si>
  <si>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</si>
  <si>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</si>
  <si>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</si>
  <si>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</si>
  <si>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</si>
  <si>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</si>
  <si>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</si>
  <si>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</si>
  <si>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</si>
  <si>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</si>
  <si>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</si>
  <si>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</si>
  <si>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</si>
  <si>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</si>
  <si>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</si>
  <si>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</si>
  <si>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</si>
  <si>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</si>
  <si>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</si>
  <si>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</si>
  <si>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</si>
  <si>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</si>
  <si>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</si>
  <si>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</si>
  <si>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</si>
  <si>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</si>
  <si>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</si>
  <si>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</si>
  <si>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</si>
  <si>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</si>
  <si>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</si>
  <si>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</si>
  <si>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</si>
  <si>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</si>
  <si>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</si>
  <si>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</si>
  <si>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</si>
  <si>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</si>
  <si>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</si>
  <si>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</si>
  <si>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</si>
  <si>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</si>
  <si>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</si>
  <si>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</si>
  <si>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</si>
  <si>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</si>
  <si>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</si>
  <si>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</si>
  <si>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</si>
  <si>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</si>
  <si>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</si>
  <si>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</si>
  <si>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</si>
  <si>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</si>
  <si>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</si>
  <si>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</si>
  <si>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</si>
  <si>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</si>
  <si>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</si>
  <si>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</si>
  <si>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</si>
  <si>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</si>
  <si>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</si>
  <si>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</si>
  <si>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</si>
  <si>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</si>
  <si>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</si>
  <si>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</si>
  <si>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Control Card #2</t>
  </si>
  <si>
    <t>Control Card #2 Information Control Question (optional)</t>
  </si>
  <si>
    <t>You can create 2control cards  (upto 20 controls) for one event, or 2control cards (up to 10 controls) with different start loctions for a single event.</t>
  </si>
  <si>
    <t>Fill in the control distance.  The opening and closing times will be automatically calculated based on the start time and the brevet distance.  If you need more than 10 controls, or need an alternate start loction, use card #2, otherwise leave that section blank.</t>
  </si>
  <si>
    <t>(circle)</t>
  </si>
  <si>
    <t>Early Bird 200</t>
  </si>
  <si>
    <t>604 818 6694</t>
  </si>
  <si>
    <t>Dyke Entrance</t>
  </si>
  <si>
    <t>Boundary Bay</t>
  </si>
  <si>
    <t>White Rock</t>
  </si>
  <si>
    <t>Marine Dr Roundabout 1st Exit</t>
  </si>
  <si>
    <t>Fort Langley</t>
  </si>
  <si>
    <t>Lee's Market</t>
  </si>
  <si>
    <t>Langley</t>
  </si>
  <si>
    <t>240St &amp; Robertson Cr</t>
  </si>
  <si>
    <t>Surrey</t>
  </si>
  <si>
    <t>164St End of Road</t>
  </si>
  <si>
    <t>Vancouver</t>
  </si>
  <si>
    <t>JJBean</t>
  </si>
  <si>
    <t xml:space="preserve">Vancouver </t>
  </si>
  <si>
    <t>Staffed</t>
  </si>
  <si>
    <t>Sign On Gate</t>
  </si>
  <si>
    <t>Report Violations to ???</t>
  </si>
  <si>
    <t>Front Entrance</t>
  </si>
  <si>
    <t>Stop Sign Pole</t>
  </si>
  <si>
    <t>Number backside of pole?</t>
  </si>
  <si>
    <t>Phrase on giant chalkboard?</t>
  </si>
  <si>
    <t>_    _    _    _    _    _</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</si>
</sst>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d/mmm/yy\ hh:mm\ AM/PM"/>
    <numFmt numFmtId="165" formatCode="d/mmm/yy"/>
    <numFmt numFmtId="166" formatCode="dddd"/>
    <numFmt numFmtId="167" formatCode="0.0"/>
    <numFmt numFmtId="168" formatCode="mmmm\ d\,\ yyyy"/>
    <numFmt numFmtId="169" formatCode="[&lt;=9999999]###\-####;###\-###\-####"/>
  </numFmts>
  <fonts count="36"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s>
  <fills count="3">
    <fill>
      <patternFill patternType="none"/>
    </fill>
    <fill>
      <patternFill patternType="gray125"/>
    </fill>
    <fill>
      <patternFill patternType="solid">
        <fgColor indexed="22"/>
        <bgColor indexed="64"/>
      </patternFill>
    </fill>
  </fills>
  <borders count="34">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auto="1"/>
      </bottom>
      <diagonal/>
    </border>
    <border>
      <left style="medium">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72">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64">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Protection="1"/>
    <xf numFmtId="0" fontId="0" fillId="0" borderId="0"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0" fontId="10" fillId="0" borderId="0" xfId="0" applyFont="1" applyBorder="1" applyAlignment="1" applyProtection="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Border="1" applyAlignment="1">
      <alignment horizontal="center"/>
    </xf>
    <xf numFmtId="0" fontId="10" fillId="0" borderId="0" xfId="0" applyFont="1" applyBorder="1" applyAlignment="1">
      <alignment horizontal="center"/>
    </xf>
    <xf numFmtId="18" fontId="20" fillId="0" borderId="0" xfId="0" applyNumberFormat="1" applyFont="1" applyBorder="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0" fontId="10" fillId="0" borderId="0" xfId="0" applyFont="1" applyAlignment="1">
      <alignment horizontal="center"/>
    </xf>
    <xf numFmtId="167" fontId="0" fillId="0" borderId="0" xfId="0" applyNumberFormat="1"/>
    <xf numFmtId="0" fontId="9" fillId="0" borderId="0" xfId="0" applyFont="1" applyAlignment="1"/>
    <xf numFmtId="0" fontId="5" fillId="0" borderId="0" xfId="0" applyFont="1"/>
    <xf numFmtId="0" fontId="0" fillId="2" borderId="26" xfId="0" applyFill="1" applyBorder="1" applyAlignment="1">
      <alignment horizontal="right"/>
    </xf>
    <xf numFmtId="0" fontId="5" fillId="2" borderId="27" xfId="0" applyFont="1" applyFill="1" applyBorder="1" applyAlignment="1">
      <alignment horizontal="right"/>
    </xf>
    <xf numFmtId="0" fontId="0" fillId="0" borderId="0" xfId="0" applyAlignment="1"/>
    <xf numFmtId="0" fontId="5" fillId="0" borderId="0" xfId="0" applyFont="1" applyAlignment="1"/>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applyAlignment="1"/>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applyAlignment="1"/>
    <xf numFmtId="0" fontId="10" fillId="0" borderId="0" xfId="0" applyFont="1" applyAlignment="1">
      <alignment horizontal="right"/>
    </xf>
    <xf numFmtId="0" fontId="10" fillId="0" borderId="0" xfId="0" applyFont="1" applyBorder="1" applyAlignme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Border="1" applyAlignment="1">
      <alignment vertical="top"/>
    </xf>
    <xf numFmtId="0" fontId="0" fillId="0" borderId="0" xfId="0" applyBorder="1" applyAlignment="1">
      <alignment vertical="top"/>
    </xf>
    <xf numFmtId="0" fontId="11" fillId="0" borderId="0" xfId="0" applyFont="1" applyAlignment="1">
      <alignment horizontal="right" vertical="center"/>
    </xf>
    <xf numFmtId="0" fontId="5" fillId="0" borderId="0" xfId="0" applyFont="1" applyBorder="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10" fillId="0" borderId="0" xfId="0" applyFont="1" applyAlignment="1" applyProtection="1">
      <alignment horizontal="right"/>
    </xf>
    <xf numFmtId="0" fontId="0" fillId="0" borderId="18" xfId="0" applyBorder="1" applyAlignment="1" applyProtection="1">
      <protection locked="0"/>
    </xf>
    <xf numFmtId="0" fontId="0" fillId="0" borderId="0" xfId="0" applyBorder="1" applyAlignment="1" applyProtection="1">
      <protection locked="0"/>
    </xf>
    <xf numFmtId="0" fontId="28" fillId="0" borderId="0" xfId="0" applyFont="1" applyAlignment="1">
      <alignment horizontal="right" vertical="center"/>
    </xf>
    <xf numFmtId="0" fontId="16" fillId="0" borderId="0" xfId="0" applyFont="1" applyAlignment="1">
      <alignment vertical="top"/>
    </xf>
    <xf numFmtId="0" fontId="11" fillId="0" borderId="0" xfId="0" applyFont="1" applyBorder="1" applyAlignment="1">
      <alignment horizontal="right" vertical="center"/>
    </xf>
    <xf numFmtId="0" fontId="11" fillId="0" borderId="0" xfId="0" applyFont="1" applyBorder="1" applyAlignment="1">
      <alignment vertical="center"/>
    </xf>
    <xf numFmtId="0" fontId="11" fillId="0" borderId="0" xfId="0" applyFont="1" applyBorder="1" applyAlignment="1">
      <alignment horizontal="left" vertical="center"/>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Border="1" applyAlignment="1" applyProtection="1">
      <alignment horizontal="center"/>
      <protection locked="0"/>
    </xf>
    <xf numFmtId="0" fontId="16" fillId="0" borderId="0" xfId="0" applyFont="1" applyAlignment="1">
      <alignment vertical="center" wrapText="1"/>
    </xf>
    <xf numFmtId="0" fontId="0" fillId="0" borderId="0" xfId="0" applyBorder="1" applyAlignment="1">
      <alignment horizontal="left"/>
    </xf>
    <xf numFmtId="0" fontId="5" fillId="0" borderId="0" xfId="0" applyFont="1" applyAlignment="1">
      <alignment horizontal="right" vertical="top"/>
    </xf>
    <xf numFmtId="15" fontId="5" fillId="0" borderId="0" xfId="0" applyNumberFormat="1" applyFont="1" applyBorder="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0" fontId="0" fillId="2" borderId="30" xfId="0" applyFill="1" applyBorder="1" applyAlignment="1">
      <alignment horizontal="right"/>
    </xf>
    <xf numFmtId="0" fontId="0" fillId="2" borderId="17" xfId="0" applyFill="1" applyBorder="1"/>
    <xf numFmtId="0" fontId="12" fillId="0" borderId="0" xfId="0" applyFont="1" applyBorder="1" applyAlignme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0" fontId="10" fillId="0" borderId="0" xfId="0" applyFont="1" applyAlignment="1">
      <alignment horizontal="left" vertical="center"/>
    </xf>
    <xf numFmtId="0" fontId="10" fillId="0" borderId="0" xfId="0" applyFont="1" applyAlignment="1">
      <alignment horizontal="right"/>
    </xf>
    <xf numFmtId="49" fontId="0" fillId="0" borderId="14" xfId="0" applyNumberFormat="1" applyFont="1" applyBorder="1" applyAlignment="1" applyProtection="1">
      <alignment horizontal="center"/>
      <protection locked="0"/>
    </xf>
    <xf numFmtId="49" fontId="0" fillId="0" borderId="14" xfId="0" applyNumberFormat="1"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167" fontId="0" fillId="0" borderId="13" xfId="0" applyNumberFormat="1" applyBorder="1" applyAlignment="1" applyProtection="1">
      <alignment horizontal="center" vertical="center"/>
      <protection locked="0"/>
    </xf>
    <xf numFmtId="169" fontId="0" fillId="0" borderId="25" xfId="0" applyNumberForma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1" fontId="12" fillId="0" borderId="4" xfId="0" applyNumberFormat="1" applyFont="1" applyBorder="1" applyAlignment="1" applyProtection="1">
      <alignment horizontal="center" vertical="center"/>
      <protection locked="0"/>
    </xf>
    <xf numFmtId="15" fontId="12" fillId="0" borderId="4" xfId="0" applyNumberFormat="1" applyFont="1" applyBorder="1" applyAlignment="1" applyProtection="1">
      <alignment horizontal="center" vertical="center"/>
      <protection locked="0"/>
    </xf>
    <xf numFmtId="15" fontId="12" fillId="0" borderId="25" xfId="0" applyNumberFormat="1" applyFont="1" applyBorder="1" applyAlignment="1" applyProtection="1">
      <alignment horizontal="center" vertical="center"/>
      <protection locked="0"/>
    </xf>
    <xf numFmtId="20" fontId="12" fillId="0" borderId="8" xfId="0" applyNumberFormat="1" applyFont="1" applyBorder="1" applyAlignment="1" applyProtection="1">
      <alignment horizontal="center" vertical="center"/>
      <protection locked="0"/>
    </xf>
    <xf numFmtId="49" fontId="0" fillId="0" borderId="4" xfId="0" applyNumberFormat="1" applyFont="1" applyBorder="1" applyAlignment="1" applyProtection="1">
      <alignment horizontal="center"/>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5" fillId="0" borderId="0" xfId="0" applyFont="1" applyAlignment="1">
      <alignment horizontal="center"/>
    </xf>
    <xf numFmtId="0" fontId="12" fillId="0" borderId="31" xfId="0" applyFont="1" applyBorder="1" applyAlignment="1" applyProtection="1">
      <alignment horizontal="center" vertical="center"/>
      <protection locked="0"/>
    </xf>
    <xf numFmtId="0" fontId="12" fillId="0" borderId="32" xfId="0" applyFont="1"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31" fillId="0" borderId="0" xfId="0" applyFont="1" applyAlignment="1">
      <alignment horizontal="left" vertical="top" wrapText="1"/>
    </xf>
    <xf numFmtId="0" fontId="30" fillId="0" borderId="0" xfId="0" applyFont="1" applyAlignment="1">
      <alignment horizontal="right"/>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0" fontId="10" fillId="0" borderId="0" xfId="0" applyFont="1" applyAlignment="1">
      <alignment horizontal="right" vertical="center"/>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Border="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10" fillId="0" borderId="0" xfId="0" applyFont="1" applyAlignment="1">
      <alignment horizontal="center"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Border="1" applyAlignment="1">
      <alignment horizontal="right"/>
    </xf>
    <xf numFmtId="0" fontId="10" fillId="0" borderId="0" xfId="0" applyFont="1" applyAlignment="1">
      <alignment horizontal="right"/>
    </xf>
    <xf numFmtId="0" fontId="6" fillId="0" borderId="20" xfId="0" applyFont="1" applyBorder="1" applyAlignment="1">
      <alignment horizontal="center" vertical="top"/>
    </xf>
    <xf numFmtId="15" fontId="0" fillId="0" borderId="0" xfId="0" applyNumberFormat="1" applyBorder="1" applyAlignment="1">
      <alignment horizontal="left" vertical="top"/>
    </xf>
    <xf numFmtId="0" fontId="0" fillId="0" borderId="0" xfId="0" applyBorder="1" applyAlignment="1">
      <alignment horizontal="left" vertical="top"/>
    </xf>
    <xf numFmtId="0" fontId="29" fillId="0" borderId="0" xfId="0" applyFont="1" applyAlignment="1">
      <alignment horizontal="left" vertical="center"/>
    </xf>
  </cellXfs>
  <cellStyles count="37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Normal" xfId="0" builtinId="0"/>
    <cellStyle name="Normal 2" xfId="282"/>
    <cellStyle name="Normal 3" xfId="283"/>
    <cellStyle name="Normal 3 2" xfId="285"/>
    <cellStyle name="Normal 3 2 2" xfId="286"/>
    <cellStyle name="Normal 3 2 3" xfId="287"/>
    <cellStyle name="Normal 4" xfId="284"/>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xmlns=""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xmlns="" id="{6A28C82B-1825-634A-A3AA-8400CD049D08}"/>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7"/>
  <sheetViews>
    <sheetView showGridLines="0" tabSelected="1" topLeftCell="H1" zoomScale="140" zoomScaleNormal="140" zoomScalePageLayoutView="140" workbookViewId="0">
      <selection activeCell="K19" sqref="K19"/>
    </sheetView>
  </sheetViews>
  <sheetFormatPr baseColWidth="10" defaultColWidth="8.83203125" defaultRowHeight="12" x14ac:dyDescent="0"/>
  <cols>
    <col min="1" max="1" width="16.5" style="1" customWidth="1"/>
    <col min="2" max="2" width="10.83203125" customWidth="1"/>
    <col min="3" max="3" width="1" style="2" hidden="1" customWidth="1"/>
    <col min="4" max="4" width="8.33203125" customWidth="1"/>
    <col min="5" max="5" width="17" bestFit="1" customWidth="1"/>
    <col min="6" max="11" width="34.1640625" customWidth="1"/>
    <col min="12" max="15" width="17.83203125" hidden="1" customWidth="1"/>
    <col min="16" max="16" width="2.1640625" customWidth="1"/>
  </cols>
  <sheetData>
    <row r="1" spans="1:33" ht="20" customHeight="1">
      <c r="A1" s="127" t="s">
        <v>55</v>
      </c>
      <c r="B1" s="127"/>
      <c r="C1" s="127"/>
      <c r="D1" s="127"/>
      <c r="E1" s="127"/>
      <c r="F1" s="127"/>
      <c r="G1" s="127"/>
      <c r="H1" s="44" t="s">
        <v>53</v>
      </c>
      <c r="Q1" s="131" t="s">
        <v>71</v>
      </c>
      <c r="R1" s="131"/>
      <c r="S1" s="131"/>
      <c r="T1" s="131"/>
      <c r="U1" s="131"/>
      <c r="V1" s="131"/>
      <c r="W1" s="131"/>
      <c r="X1" s="131"/>
      <c r="Y1" s="131"/>
      <c r="Z1" s="131"/>
      <c r="AA1" s="131"/>
      <c r="AB1" s="131"/>
      <c r="AC1" s="131"/>
      <c r="AD1" s="131"/>
      <c r="AE1" s="131"/>
      <c r="AF1" s="131"/>
      <c r="AG1" s="95"/>
    </row>
    <row r="2" spans="1:33" ht="13" customHeight="1" thickBot="1">
      <c r="H2" s="45"/>
      <c r="I2" s="45"/>
      <c r="Q2" s="131"/>
      <c r="R2" s="131"/>
      <c r="S2" s="131"/>
      <c r="T2" s="131"/>
      <c r="U2" s="131"/>
      <c r="V2" s="131"/>
      <c r="W2" s="131"/>
      <c r="X2" s="131"/>
      <c r="Y2" s="131"/>
      <c r="Z2" s="131"/>
      <c r="AA2" s="131"/>
      <c r="AB2" s="131"/>
      <c r="AC2" s="131"/>
      <c r="AD2" s="131"/>
      <c r="AE2" s="131"/>
      <c r="AF2" s="131"/>
      <c r="AG2" s="95"/>
    </row>
    <row r="3" spans="1:33" s="50" customFormat="1" ht="13" customHeight="1" thickBot="1">
      <c r="A3" s="48" t="s">
        <v>52</v>
      </c>
      <c r="B3" s="80">
        <v>45393</v>
      </c>
      <c r="C3" s="49"/>
      <c r="D3" s="49"/>
      <c r="G3" s="49"/>
      <c r="H3" s="51"/>
      <c r="I3" s="51"/>
      <c r="Q3" s="131"/>
      <c r="R3" s="131"/>
      <c r="S3" s="131"/>
      <c r="T3" s="131"/>
      <c r="U3" s="131"/>
      <c r="V3" s="131"/>
      <c r="W3" s="131"/>
      <c r="X3" s="131"/>
      <c r="Y3" s="131"/>
      <c r="Z3" s="131"/>
      <c r="AA3" s="131"/>
      <c r="AB3" s="131"/>
      <c r="AC3" s="131"/>
      <c r="AD3" s="131"/>
      <c r="AE3" s="131"/>
      <c r="AF3" s="131"/>
      <c r="AG3" s="95"/>
    </row>
    <row r="4" spans="1:33" ht="13" customHeight="1">
      <c r="A4" s="42" t="s">
        <v>54</v>
      </c>
      <c r="B4" s="47">
        <v>45727</v>
      </c>
      <c r="C4" s="43"/>
      <c r="D4" s="43"/>
      <c r="G4" s="43"/>
      <c r="H4" s="45"/>
      <c r="I4" s="45"/>
      <c r="Q4" s="131"/>
      <c r="R4" s="131"/>
      <c r="S4" s="131"/>
      <c r="T4" s="131"/>
      <c r="U4" s="131"/>
      <c r="V4" s="131"/>
      <c r="W4" s="131"/>
      <c r="X4" s="131"/>
      <c r="Y4" s="131"/>
      <c r="Z4" s="131"/>
      <c r="AA4" s="131"/>
      <c r="AB4" s="131"/>
      <c r="AC4" s="131"/>
      <c r="AD4" s="131"/>
      <c r="AE4" s="131"/>
      <c r="AF4" s="131"/>
      <c r="AG4" s="95"/>
    </row>
    <row r="5" spans="1:33" ht="7" customHeight="1" thickBot="1">
      <c r="H5" s="45"/>
      <c r="I5" s="45"/>
      <c r="Q5" s="95"/>
      <c r="R5" s="95"/>
      <c r="S5" s="95"/>
      <c r="T5" s="95"/>
      <c r="U5" s="95"/>
      <c r="V5" s="95"/>
      <c r="W5" s="95"/>
      <c r="X5" s="95"/>
      <c r="Y5" s="95"/>
      <c r="Z5" s="95"/>
      <c r="AA5" s="95"/>
      <c r="AB5" s="95"/>
      <c r="AC5" s="95"/>
      <c r="AD5" s="95"/>
      <c r="AE5" s="95"/>
      <c r="AF5" s="95"/>
      <c r="AG5" s="95"/>
    </row>
    <row r="6" spans="1:33" ht="17">
      <c r="A6" s="10" t="s">
        <v>15</v>
      </c>
      <c r="B6" s="117">
        <v>200</v>
      </c>
      <c r="C6">
        <f>IF(Brevet_Length&gt;=1200,Brevet_Length,IF(Brevet_Length&gt;=1000,1000,IF(Brevet_Length&gt;=600,600,IF(Brevet_Length&gt;=400,400,IF(Brevet_Length&gt;=300,300,IF(Brevet_Length&gt;=200,200,100))))))</f>
        <v>200</v>
      </c>
      <c r="J6" s="132" t="s">
        <v>40</v>
      </c>
      <c r="K6" s="132"/>
      <c r="Q6" s="93" t="s">
        <v>41</v>
      </c>
      <c r="R6" s="93"/>
      <c r="S6" s="93"/>
      <c r="T6" s="93"/>
      <c r="U6" s="93"/>
      <c r="V6" s="93"/>
      <c r="W6" s="93"/>
      <c r="X6" s="94"/>
      <c r="Y6" s="94"/>
      <c r="Z6" s="94"/>
    </row>
    <row r="7" spans="1:33" ht="13">
      <c r="A7" s="11" t="s">
        <v>16</v>
      </c>
      <c r="B7" s="91">
        <f>IF(brevet=1200,90,IF(brevet=1000,75,IF(brevet=600,40,IF(brevet=400,27,IF(brevet=300,20,IF(brevet=200,13.5,IF(brevet&lt;200,L7,0)))))))</f>
        <v>13.5</v>
      </c>
      <c r="L7">
        <f>IF(Brevet_Length=150,10.5,IF(Brevet_Length=100,7,IF(Brevet_Length=50,3.5,IF(Brevet_Length=25, 2,0))))</f>
        <v>0</v>
      </c>
      <c r="Q7" s="94" t="s">
        <v>42</v>
      </c>
      <c r="R7" s="94"/>
      <c r="S7" s="94"/>
      <c r="T7" s="94"/>
      <c r="U7" s="94"/>
      <c r="V7" s="94"/>
      <c r="W7" s="94"/>
      <c r="X7" s="94"/>
      <c r="Y7" s="94"/>
      <c r="Z7" s="94"/>
    </row>
    <row r="8" spans="1:33" ht="17">
      <c r="A8" s="90" t="s">
        <v>17</v>
      </c>
      <c r="B8" s="128" t="s">
        <v>74</v>
      </c>
      <c r="C8" s="129"/>
      <c r="D8" s="129"/>
      <c r="E8" s="129"/>
      <c r="F8" s="130"/>
      <c r="G8" s="92"/>
      <c r="H8" s="92"/>
      <c r="I8" s="18"/>
      <c r="J8" s="18"/>
      <c r="K8" s="18"/>
      <c r="O8" s="19"/>
      <c r="P8" s="19"/>
      <c r="Q8" s="93" t="s">
        <v>43</v>
      </c>
      <c r="R8" s="94"/>
      <c r="S8" s="94"/>
      <c r="T8" s="94"/>
      <c r="U8" s="94"/>
      <c r="V8" s="94"/>
      <c r="W8" s="94"/>
      <c r="X8" s="94"/>
      <c r="Y8" s="94"/>
      <c r="Z8" s="94"/>
    </row>
    <row r="9" spans="1:33" ht="17">
      <c r="A9" s="11" t="s">
        <v>18</v>
      </c>
      <c r="B9" s="118">
        <v>5504</v>
      </c>
      <c r="C9" s="15"/>
      <c r="F9" s="16"/>
      <c r="G9" s="16"/>
      <c r="H9" s="16"/>
      <c r="I9" s="16"/>
      <c r="J9" s="16"/>
      <c r="K9" s="16"/>
      <c r="Q9" s="93" t="s">
        <v>44</v>
      </c>
      <c r="R9" s="94"/>
      <c r="S9" s="94"/>
      <c r="T9" s="94"/>
      <c r="U9" s="94"/>
      <c r="V9" s="94"/>
      <c r="W9" s="94"/>
      <c r="X9" s="94"/>
      <c r="Y9" s="94"/>
      <c r="Z9" s="94"/>
    </row>
    <row r="10" spans="1:33" ht="17">
      <c r="A10" s="21" t="s">
        <v>32</v>
      </c>
      <c r="B10" s="119">
        <v>45738</v>
      </c>
      <c r="E10" s="88" t="s">
        <v>66</v>
      </c>
      <c r="F10" s="116" t="s">
        <v>75</v>
      </c>
      <c r="Q10" s="93" t="s">
        <v>45</v>
      </c>
      <c r="R10" s="94"/>
      <c r="S10" s="94"/>
      <c r="T10" s="94"/>
      <c r="U10" s="94"/>
      <c r="V10" s="94"/>
      <c r="W10" s="94"/>
      <c r="X10" s="94"/>
      <c r="Y10" s="94"/>
      <c r="Z10" s="94"/>
    </row>
    <row r="11" spans="1:33" ht="6" customHeight="1">
      <c r="B11" s="46"/>
      <c r="Q11" s="94"/>
      <c r="R11" s="94"/>
      <c r="S11" s="94"/>
      <c r="T11" s="94"/>
      <c r="U11" s="94"/>
      <c r="V11" s="94"/>
      <c r="W11" s="94"/>
      <c r="X11" s="94"/>
      <c r="Y11" s="94"/>
      <c r="Z11" s="94"/>
    </row>
    <row r="12" spans="1:33" ht="18" customHeight="1" thickBot="1">
      <c r="A12" s="41" t="s">
        <v>19</v>
      </c>
      <c r="B12" s="120">
        <v>45738</v>
      </c>
      <c r="Q12" s="93" t="s">
        <v>49</v>
      </c>
      <c r="R12" s="94"/>
      <c r="S12" s="94"/>
      <c r="T12" s="94"/>
      <c r="U12" s="94"/>
      <c r="V12" s="94"/>
      <c r="W12" s="94"/>
      <c r="X12" s="94"/>
      <c r="Y12" s="94"/>
      <c r="Z12" s="94"/>
    </row>
    <row r="13" spans="1:33" ht="18" thickBot="1">
      <c r="A13" s="9" t="s">
        <v>20</v>
      </c>
      <c r="B13" s="121">
        <v>0.29166666666666669</v>
      </c>
      <c r="D13" s="123" t="s">
        <v>51</v>
      </c>
      <c r="E13" s="124"/>
      <c r="F13" s="124"/>
      <c r="G13" s="124"/>
      <c r="H13" s="124"/>
      <c r="I13" s="125" t="s">
        <v>47</v>
      </c>
      <c r="J13" s="124"/>
      <c r="K13" s="126"/>
      <c r="Q13" s="93" t="s">
        <v>48</v>
      </c>
      <c r="R13" s="94"/>
      <c r="S13" s="94"/>
      <c r="T13" s="94"/>
      <c r="U13" s="94"/>
      <c r="V13" s="94"/>
      <c r="W13" s="94"/>
      <c r="X13" s="94"/>
      <c r="Y13" s="94"/>
      <c r="Z13" s="94"/>
    </row>
    <row r="14" spans="1:33" ht="14" thickBot="1">
      <c r="D14" s="5" t="s">
        <v>21</v>
      </c>
      <c r="E14" s="6" t="s">
        <v>22</v>
      </c>
      <c r="F14" s="27" t="s">
        <v>23</v>
      </c>
      <c r="G14" s="27" t="s">
        <v>24</v>
      </c>
      <c r="H14" s="28" t="s">
        <v>25</v>
      </c>
      <c r="I14" s="6" t="s">
        <v>37</v>
      </c>
      <c r="J14" s="6" t="s">
        <v>38</v>
      </c>
      <c r="K14" s="7" t="s">
        <v>39</v>
      </c>
      <c r="L14" t="s">
        <v>0</v>
      </c>
      <c r="M14" t="s">
        <v>1</v>
      </c>
      <c r="N14" t="s">
        <v>2</v>
      </c>
      <c r="O14" t="s">
        <v>3</v>
      </c>
      <c r="Q14" s="93" t="s">
        <v>67</v>
      </c>
      <c r="R14" s="94"/>
      <c r="S14" s="94"/>
      <c r="T14" s="94"/>
      <c r="U14" s="94"/>
      <c r="V14" s="94"/>
      <c r="W14" s="94"/>
      <c r="X14" s="94"/>
      <c r="Y14" s="94"/>
      <c r="Z14" s="94"/>
    </row>
    <row r="15" spans="1:33" ht="17" customHeight="1">
      <c r="C15" s="2" t="s">
        <v>4</v>
      </c>
      <c r="D15" s="115">
        <v>0</v>
      </c>
      <c r="E15" s="114" t="s">
        <v>88</v>
      </c>
      <c r="F15" s="113" t="s">
        <v>87</v>
      </c>
      <c r="G15" s="34"/>
      <c r="H15" s="35"/>
      <c r="I15" s="34"/>
      <c r="J15" s="34"/>
      <c r="K15" s="35"/>
      <c r="L15" s="3">
        <f>Start_date+Start_time</f>
        <v>45738.291666666664</v>
      </c>
      <c r="M15" s="3">
        <f>L15+"1:00"</f>
        <v>45738.333333333328</v>
      </c>
      <c r="N15" s="4">
        <f>IF(ISBLANK(Distance),"",Open Control_1)</f>
        <v>45738.291666666664</v>
      </c>
      <c r="O15" s="4">
        <f>IF(ISBLANK(Distance),"",Close Control_1)</f>
        <v>45738.333333333328</v>
      </c>
      <c r="Q15" s="93" t="s">
        <v>72</v>
      </c>
      <c r="R15" s="94"/>
      <c r="S15" s="94"/>
      <c r="T15" s="94"/>
      <c r="U15" s="94"/>
      <c r="V15" s="94"/>
      <c r="W15" s="94"/>
      <c r="X15" s="94"/>
      <c r="Y15" s="94"/>
      <c r="Z15" s="94"/>
    </row>
    <row r="16" spans="1:33" ht="17" customHeight="1">
      <c r="B16" s="38"/>
      <c r="C16" s="2" t="s">
        <v>5</v>
      </c>
      <c r="D16" s="115">
        <v>48.1</v>
      </c>
      <c r="E16" s="114" t="s">
        <v>77</v>
      </c>
      <c r="F16" s="113" t="s">
        <v>76</v>
      </c>
      <c r="G16" s="112" t="s">
        <v>90</v>
      </c>
      <c r="H16" s="122" t="s">
        <v>91</v>
      </c>
      <c r="I16" s="34"/>
      <c r="J16" s="34"/>
      <c r="K16" s="35"/>
      <c r="L16">
        <f>IF(ISBLANK(Distance),"",IF(Distance&gt;1000,(Distance-1000)/26+33.0847,(IF(Distance&gt;600,(Distance-600)/28+18.799,(IF(Distance&gt;400,(Distance-400)/30+12.1324,(IF(Distance&gt;200,(Distance-200)/32+5.8824,Distance/34))))))))</f>
        <v>1.4147058823529413</v>
      </c>
      <c r="M16">
        <f>IF(ISBLANK(Distance),"",IF(Distance&gt;=brevet,D16200IF(brevet&gt;1200,(brevet-1200)*75/1000+90,Max_time),IF(Distance&gt;1200,(Distance-1200)*75/1000+90,IF(Distance&gt;1000,(Distance-1000)/(1000/75)+75,IF(Distance&gt;600,(Distance-600)/(400/35)+40,IF(Distance&lt;=60,(Distance/20+1),Distance/15))))))</f>
        <v>3.4050000000000002</v>
      </c>
      <c r="N16" s="4">
        <f>IF(ISBLANK(Distance),"",Open_time Control_1+(INT(Open)&amp;":"&amp;IF(ROUND(((Open-INT(Open))*60),0)&lt;10,0,"")&amp;ROUND(((Open-INT(Open))*60),0)))</f>
        <v>45738.350694444445</v>
      </c>
      <c r="O16" s="4">
        <f>IF(ISBLANK(Distance),"",Open_time Control_1+(INT(Close)&amp;":"&amp;IF(ROUND(((Close-INT(Close))*60),0)&lt;10,0,"")&amp;ROUND(((Close-INT(Close))*60),0)))</f>
        <v>45738.433333333334</v>
      </c>
      <c r="Q16" s="93" t="s">
        <v>68</v>
      </c>
      <c r="R16" s="94"/>
      <c r="S16" s="94"/>
      <c r="T16" s="94"/>
      <c r="U16" s="94"/>
      <c r="V16" s="94"/>
      <c r="W16" s="94"/>
      <c r="X16" s="94"/>
      <c r="Y16" s="94"/>
      <c r="Z16" s="94"/>
    </row>
    <row r="17" spans="2:26" ht="17" customHeight="1">
      <c r="B17" s="38"/>
      <c r="C17" s="2" t="s">
        <v>6</v>
      </c>
      <c r="D17" s="115">
        <v>78</v>
      </c>
      <c r="E17" s="114" t="s">
        <v>78</v>
      </c>
      <c r="F17" s="112" t="s">
        <v>79</v>
      </c>
      <c r="G17" s="112" t="s">
        <v>89</v>
      </c>
      <c r="H17" s="35"/>
      <c r="I17" s="34"/>
      <c r="J17" s="34"/>
      <c r="K17" s="35"/>
      <c r="L17">
        <f>IF(ISBLANK(Distance),"",IF(Distance&gt;1000,(Distance-1000)/26+33.0847,(IF(Distance&gt;600,(Distance-600)/28+18.799,(IF(Distance&gt;400,(Distance-400)/30+12.1324,(IF(Distance&gt;200,(Distance-200)/32+5.8824,Distance/34))))))))</f>
        <v>2.2941176470588234</v>
      </c>
      <c r="M17">
        <f t="shared" ref="M17:M24" si="0">IF(ISBLANK(Distance),"",IF(Distance&gt;=brevet,IF(brevet&gt;1200,(brevet-1200)*75/1000+90,Max_time),IF(Distance&gt;1200,(Distance-1200)*75/1000+90,IF(Distance&gt;1000,(Distance-1000)/(1000/75)+75,IF(Distance&gt;600,(Distance-600)/(400/35)+40,IF(Distance&lt;=60,(Distance/20+1),Distance/15))))))</f>
        <v>5.2</v>
      </c>
      <c r="N17" s="4">
        <f>IF(ISBLANK(Distance),"",Open_time Control_1+(INT(Open)&amp;":"&amp;IF(ROUND(((Open-INT(Open))*60),0)&lt;10,0,"")&amp;ROUND(((Open-INT(Open))*60),0)))</f>
        <v>45738.387499999997</v>
      </c>
      <c r="O17" s="4">
        <f>IF(ISBLANK(Distance),"",Open_time Control_1+(INT(Close)&amp;":"&amp;IF(ROUND(((Close-INT(Close))*60),0)&lt;10,0,"")&amp;ROUND(((Close-INT(Close))*60),0)))</f>
        <v>45738.508333333331</v>
      </c>
      <c r="Q17" s="93" t="s">
        <v>46</v>
      </c>
      <c r="R17" s="94"/>
      <c r="S17" s="94"/>
      <c r="T17" s="94"/>
      <c r="U17" s="94"/>
      <c r="V17" s="94"/>
      <c r="W17" s="94"/>
      <c r="X17" s="94"/>
      <c r="Y17" s="94"/>
      <c r="Z17" s="94"/>
    </row>
    <row r="18" spans="2:26" ht="17" customHeight="1">
      <c r="B18" s="38"/>
      <c r="C18" s="2" t="s">
        <v>7</v>
      </c>
      <c r="D18" s="115">
        <v>115.6</v>
      </c>
      <c r="E18" s="114" t="s">
        <v>80</v>
      </c>
      <c r="F18" s="113" t="s">
        <v>81</v>
      </c>
      <c r="G18" s="113" t="s">
        <v>92</v>
      </c>
      <c r="H18" s="122" t="s">
        <v>95</v>
      </c>
      <c r="I18" s="34"/>
      <c r="J18" s="34"/>
      <c r="K18" s="35"/>
      <c r="L18">
        <f t="shared" ref="L18:L24" si="1">IF(ISBLANK(Distance),"",IF(Distance&gt;1000,(Distance-1000)/26+33.0847,(IF(Distance&gt;600,(Distance-600)/28+18.799,(IF(Distance&gt;400,(Distance-400)/30+12.1324,(IF(Distance&gt;200,(Distance-200)/32+5.8824,Distance/34))))))))</f>
        <v>3.4</v>
      </c>
      <c r="M18">
        <f t="shared" si="0"/>
        <v>7.7066666666666661</v>
      </c>
      <c r="N18" s="4">
        <f>IF(ISBLANK(Distance),"",Open_time Control_1+(INT(Open)&amp;":"&amp;IF(ROUND(((Open-INT(Open))*60),0)&lt;10,0,"")&amp;ROUND(((Open-INT(Open))*60),0)))</f>
        <v>45738.433333333334</v>
      </c>
      <c r="O18" s="4">
        <f>IF(ISBLANK(Distance),"",Open_time Control_1+(INT(Close)&amp;":"&amp;IF(ROUND(((Close-INT(Close))*60),0)&lt;10,0,"")&amp;ROUND(((Close-INT(Close))*60),0)))</f>
        <v>45738.612499999996</v>
      </c>
    </row>
    <row r="19" spans="2:26" ht="17" customHeight="1">
      <c r="B19" s="38"/>
      <c r="C19" s="2" t="s">
        <v>8</v>
      </c>
      <c r="D19" s="115">
        <v>129.9</v>
      </c>
      <c r="E19" s="114" t="s">
        <v>82</v>
      </c>
      <c r="F19" s="113" t="s">
        <v>83</v>
      </c>
      <c r="G19" s="112" t="s">
        <v>93</v>
      </c>
      <c r="H19" s="122" t="s">
        <v>94</v>
      </c>
      <c r="I19" s="112"/>
      <c r="J19" s="34"/>
      <c r="K19" s="122" t="s">
        <v>96</v>
      </c>
      <c r="L19">
        <f t="shared" si="1"/>
        <v>3.8205882352941178</v>
      </c>
      <c r="M19">
        <f t="shared" si="0"/>
        <v>8.66</v>
      </c>
      <c r="N19" s="4">
        <f>IF(ISBLANK(Distance),"",Open_time Control_1+(INT(Open)&amp;":"&amp;IF(ROUND(((Open-INT(Open))*60),0)&lt;10,0,"")&amp;ROUND(((Open-INT(Open))*60),0)))</f>
        <v>45738.450694444444</v>
      </c>
      <c r="O19" s="4">
        <f>IF(ISBLANK(Distance),"",Open_time Control_1+(INT(Close)&amp;":"&amp;IF(ROUND(((Close-INT(Close))*60),0)&lt;10,0,"")&amp;ROUND(((Close-INT(Close))*60),0)))</f>
        <v>45738.652777777774</v>
      </c>
      <c r="Q19" s="40"/>
    </row>
    <row r="20" spans="2:26" ht="17" customHeight="1">
      <c r="B20" s="38"/>
      <c r="C20" s="2" t="s">
        <v>9</v>
      </c>
      <c r="D20" s="115">
        <v>151</v>
      </c>
      <c r="E20" s="114" t="s">
        <v>84</v>
      </c>
      <c r="F20" s="113" t="s">
        <v>85</v>
      </c>
      <c r="G20" s="112" t="s">
        <v>89</v>
      </c>
      <c r="H20" s="35"/>
      <c r="I20" s="34"/>
      <c r="J20" s="34"/>
      <c r="K20" s="35"/>
      <c r="L20">
        <f t="shared" si="1"/>
        <v>4.4411764705882355</v>
      </c>
      <c r="M20">
        <f t="shared" si="0"/>
        <v>10.066666666666666</v>
      </c>
      <c r="N20" s="4">
        <f>IF(ISBLANK(Distance),"",Open_time Control_1+(INT(Open)&amp;":"&amp;IF(ROUND(((Open-INT(Open))*60),0)&lt;10,0,"")&amp;ROUND(((Open-INT(Open))*60),0)))</f>
        <v>45738.476388888885</v>
      </c>
      <c r="O20" s="4">
        <f>IF(ISBLANK(Distance),"",Open_time Control_1+(INT(Close)&amp;":"&amp;IF(ROUND(((Close-INT(Close))*60),0)&lt;10,0,"")&amp;ROUND(((Close-INT(Close))*60),0)))</f>
        <v>45738.711111111108</v>
      </c>
    </row>
    <row r="21" spans="2:26" ht="17" customHeight="1">
      <c r="B21" s="38"/>
      <c r="C21" s="2" t="s">
        <v>10</v>
      </c>
      <c r="D21" s="115">
        <v>200.9</v>
      </c>
      <c r="E21" s="114" t="s">
        <v>86</v>
      </c>
      <c r="F21" s="112" t="s">
        <v>87</v>
      </c>
      <c r="G21" s="34"/>
      <c r="H21" s="35"/>
      <c r="I21" s="34"/>
      <c r="J21" s="34"/>
      <c r="K21" s="35"/>
      <c r="L21">
        <f t="shared" si="1"/>
        <v>5.9105249999999998</v>
      </c>
      <c r="M21">
        <f t="shared" si="0"/>
        <v>13.5</v>
      </c>
      <c r="N21" s="4">
        <f>IF(ISBLANK(Distance),"",Open_time Control_1+(INT(Open)&amp;":"&amp;IF(ROUND(((Open-INT(Open))*60),0)&lt;10,0,"")&amp;ROUND(((Open-INT(Open))*60),0)))</f>
        <v>45738.538194444445</v>
      </c>
      <c r="O21" s="4">
        <f>IF(ISBLANK(Distance),"",Open_time Control_1+(INT(Close)&amp;":"&amp;IF(ROUND(((Close-INT(Close))*60),0)&lt;10,0,"")&amp;ROUND(((Close-INT(Close))*60),0)))</f>
        <v>45738.854166666664</v>
      </c>
    </row>
    <row r="22" spans="2:26" ht="17" customHeight="1">
      <c r="B22" s="38"/>
      <c r="C22" s="2" t="s">
        <v>11</v>
      </c>
      <c r="D22" s="17"/>
      <c r="E22" s="33"/>
      <c r="F22" s="34"/>
      <c r="G22" s="34"/>
      <c r="H22" s="35"/>
      <c r="I22" s="34"/>
      <c r="J22" s="34"/>
      <c r="K22" s="35"/>
      <c r="L22" t="str">
        <f t="shared" si="1"/>
        <v/>
      </c>
      <c r="M22" t="str">
        <f t="shared" si="0"/>
        <v/>
      </c>
      <c r="N22" s="4" t="str">
        <f>IF(ISBLANK(Distance),"",Open_time Control_1+(INT(Open)&amp;":"&amp;IF(ROUND(((Open-INT(Open))*60),0)&lt;10,0,"")&amp;ROUND(((Open-INT(Open))*60),0)))</f>
        <v/>
      </c>
      <c r="O22" s="4" t="str">
        <f>IF(ISBLANK(Distance),"",Open_time Control_1+(INT(Close)&amp;":"&amp;IF(ROUND(((Close-INT(Close))*60),0)&lt;10,0,"")&amp;ROUND(((Close-INT(Close))*60),0)))</f>
        <v/>
      </c>
    </row>
    <row r="23" spans="2:26" ht="17" customHeight="1">
      <c r="B23" s="38"/>
      <c r="C23" s="2" t="s">
        <v>12</v>
      </c>
      <c r="D23" s="17"/>
      <c r="E23" s="33"/>
      <c r="F23" s="34"/>
      <c r="G23" s="34"/>
      <c r="H23" s="35"/>
      <c r="I23" s="34"/>
      <c r="J23" s="34"/>
      <c r="K23" s="35"/>
      <c r="L23" t="str">
        <f t="shared" si="1"/>
        <v/>
      </c>
      <c r="M23" t="str">
        <f t="shared" si="0"/>
        <v/>
      </c>
      <c r="N23" s="4" t="str">
        <f>IF(ISBLANK(Distance),"",Open_time Control_1+(INT(Open)&amp;":"&amp;IF(ROUND(((Open-INT(Open))*60),0)&lt;10,0,"")&amp;ROUND(((Open-INT(Open))*60),0)))</f>
        <v/>
      </c>
      <c r="O23" s="4" t="str">
        <f>IF(ISBLANK(Distance),"",Open_time Control_1+(INT(Close)&amp;":"&amp;IF(ROUND(((Close-INT(Close))*60),0)&lt;10,0,"")&amp;ROUND(((Close-INT(Close))*60),0)))</f>
        <v/>
      </c>
    </row>
    <row r="24" spans="2:26" ht="17" customHeight="1" thickBot="1">
      <c r="B24" s="38"/>
      <c r="C24" s="2" t="s">
        <v>13</v>
      </c>
      <c r="D24" s="23"/>
      <c r="E24" s="36"/>
      <c r="F24" s="34"/>
      <c r="G24" s="34"/>
      <c r="H24" s="35"/>
      <c r="I24" s="34"/>
      <c r="J24" s="34"/>
      <c r="K24" s="35"/>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7" customHeight="1" thickBot="1">
      <c r="D25" s="29"/>
      <c r="E25" s="30"/>
      <c r="F25" s="31"/>
      <c r="G25" s="31"/>
      <c r="H25" s="31"/>
      <c r="I25" s="31"/>
      <c r="J25" s="31"/>
      <c r="K25" s="32"/>
      <c r="N25" s="4"/>
      <c r="O25" s="4"/>
    </row>
    <row r="26" spans="2:26" ht="13" thickBot="1">
      <c r="D26" s="123" t="s">
        <v>69</v>
      </c>
      <c r="E26" s="124"/>
      <c r="F26" s="124"/>
      <c r="G26" s="124"/>
      <c r="H26" s="124"/>
      <c r="I26" s="125" t="s">
        <v>70</v>
      </c>
      <c r="J26" s="124"/>
      <c r="K26" s="126"/>
    </row>
    <row r="27" spans="2:26" ht="13" thickBot="1">
      <c r="D27" s="5" t="s">
        <v>21</v>
      </c>
      <c r="E27" s="6" t="s">
        <v>22</v>
      </c>
      <c r="F27" s="27" t="s">
        <v>23</v>
      </c>
      <c r="G27" s="27" t="s">
        <v>24</v>
      </c>
      <c r="H27" s="28" t="s">
        <v>25</v>
      </c>
      <c r="I27" s="6" t="s">
        <v>37</v>
      </c>
      <c r="J27" s="6" t="s">
        <v>38</v>
      </c>
      <c r="K27" s="7" t="s">
        <v>39</v>
      </c>
      <c r="L27" t="s">
        <v>0</v>
      </c>
      <c r="M27" t="s">
        <v>1</v>
      </c>
      <c r="N27" t="s">
        <v>2</v>
      </c>
      <c r="O27" t="s">
        <v>3</v>
      </c>
    </row>
    <row r="28" spans="2:26" ht="17" customHeight="1">
      <c r="D28" s="17"/>
      <c r="E28" s="33"/>
      <c r="F28" s="34"/>
      <c r="G28" s="34"/>
      <c r="H28" s="35"/>
      <c r="I28" s="34"/>
      <c r="J28" s="34"/>
      <c r="K28" s="35"/>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4" t="str">
        <f>IF(ISBLANK(D28),"",Open_time Control_1+(INT(L28)&amp;":"&amp;IF(ROUND(((L28-INT(L28))*60),0)&lt;10,0,"")&amp;ROUND(((L28-INT(L28))*60),0)))</f>
        <v/>
      </c>
      <c r="O28" s="4" t="str">
        <f>IF(ISBLANK(D28),"",Open_time Control_1+(INT(M28)&amp;":"&amp;IF(ROUND(((M28-INT(M28))*60),0)&lt;10,0,"")&amp;ROUND(((M28-INT(M28))*60),0)))</f>
        <v/>
      </c>
    </row>
    <row r="29" spans="2:26" ht="17" customHeight="1">
      <c r="D29" s="17"/>
      <c r="E29" s="33"/>
      <c r="F29" s="34"/>
      <c r="G29" s="34"/>
      <c r="H29" s="35"/>
      <c r="I29" s="34"/>
      <c r="J29" s="34"/>
      <c r="K29" s="35"/>
      <c r="L29" t="str">
        <f t="shared" ref="L29:L37" si="3">IF(ISBLANK(D29),"",IF(D29&gt;1000,(D29-1000)/26+33.0847,(IF(D29&gt;600,(D29-600)/28+18.799,(IF(D29&gt;400,(D29-400)/30+12.1324,(IF(D29&gt;200,(D29-200)/32+5.8824,D29/34))))))))</f>
        <v/>
      </c>
      <c r="M29" t="str">
        <f t="shared" si="2"/>
        <v/>
      </c>
      <c r="N29" s="4" t="str">
        <f>IF(ISBLANK(D29),"",Open_time Control_1+(INT(L29)&amp;":"&amp;IF(ROUND(((L29-INT(L29))*60),0)&lt;10,0,"")&amp;ROUND(((L29-INT(L29))*60),0)))</f>
        <v/>
      </c>
      <c r="O29" s="4" t="str">
        <f>IF(ISBLANK(D29),"",Open_time Control_1+(INT(M29)&amp;":"&amp;IF(ROUND(((M29-INT(M29))*60),0)&lt;10,0,"")&amp;ROUND(((M29-INT(M29))*60),0)))</f>
        <v/>
      </c>
    </row>
    <row r="30" spans="2:26" ht="17" customHeight="1">
      <c r="D30" s="17"/>
      <c r="E30" s="33"/>
      <c r="F30" s="34"/>
      <c r="G30" s="34"/>
      <c r="H30" s="35"/>
      <c r="I30" s="34"/>
      <c r="J30" s="34"/>
      <c r="K30" s="35"/>
      <c r="L30" t="str">
        <f t="shared" si="3"/>
        <v/>
      </c>
      <c r="M30" t="str">
        <f t="shared" si="2"/>
        <v/>
      </c>
      <c r="N30" s="4" t="str">
        <f>IF(ISBLANK(D30),"",Open_time Control_1+(INT(L30)&amp;":"&amp;IF(ROUND(((L30-INT(L30))*60),0)&lt;10,0,"")&amp;ROUND(((L30-INT(L30))*60),0)))</f>
        <v/>
      </c>
      <c r="O30" s="4" t="str">
        <f>IF(ISBLANK(D30),"",Open_time Control_1+(INT(M30)&amp;":"&amp;IF(ROUND(((M30-INT(M30))*60),0)&lt;10,0,"")&amp;ROUND(((M30-INT(M30))*60),0)))</f>
        <v/>
      </c>
    </row>
    <row r="31" spans="2:26" ht="17" customHeight="1">
      <c r="D31" s="17"/>
      <c r="E31" s="33"/>
      <c r="F31" s="34"/>
      <c r="G31" s="34"/>
      <c r="H31" s="35"/>
      <c r="I31" s="34"/>
      <c r="J31" s="34"/>
      <c r="K31" s="35"/>
      <c r="L31" t="str">
        <f t="shared" si="3"/>
        <v/>
      </c>
      <c r="M31" t="str">
        <f t="shared" si="2"/>
        <v/>
      </c>
      <c r="N31" s="4" t="str">
        <f>IF(ISBLANK(D31),"",Open_time Control_1+(INT(L31)&amp;":"&amp;IF(ROUND(((L31-INT(L31))*60),0)&lt;10,0,"")&amp;ROUND(((L31-INT(L31))*60),0)))</f>
        <v/>
      </c>
      <c r="O31" s="4" t="str">
        <f>IF(ISBLANK(D31),"",Open_time Control_1+(INT(M31)&amp;":"&amp;IF(ROUND(((M31-INT(M31))*60),0)&lt;10,0,"")&amp;ROUND(((M31-INT(M31))*60),0)))</f>
        <v/>
      </c>
    </row>
    <row r="32" spans="2:26" ht="17" customHeight="1">
      <c r="D32" s="17"/>
      <c r="E32" s="33"/>
      <c r="F32" s="34"/>
      <c r="G32" s="34"/>
      <c r="H32" s="35"/>
      <c r="I32" s="34"/>
      <c r="J32" s="34"/>
      <c r="K32" s="35"/>
      <c r="L32" t="str">
        <f t="shared" si="3"/>
        <v/>
      </c>
      <c r="M32" t="str">
        <f t="shared" si="2"/>
        <v/>
      </c>
      <c r="N32" s="4" t="str">
        <f>IF(ISBLANK(D32),"",Open_time Control_1+(INT(L32)&amp;":"&amp;IF(ROUND(((L32-INT(L32))*60),0)&lt;10,0,"")&amp;ROUND(((L32-INT(L32))*60),0)))</f>
        <v/>
      </c>
      <c r="O32" s="4" t="str">
        <f>IF(ISBLANK(D32),"",Open_time Control_1+(INT(M32)&amp;":"&amp;IF(ROUND(((M32-INT(M32))*60),0)&lt;10,0,"")&amp;ROUND(((M32-INT(M32))*60),0)))</f>
        <v/>
      </c>
    </row>
    <row r="33" spans="4:15" ht="17" customHeight="1">
      <c r="D33" s="17"/>
      <c r="E33" s="33"/>
      <c r="F33" s="34"/>
      <c r="G33" s="34"/>
      <c r="H33" s="35"/>
      <c r="I33" s="34"/>
      <c r="J33" s="34"/>
      <c r="K33" s="35"/>
      <c r="L33" t="str">
        <f t="shared" si="3"/>
        <v/>
      </c>
      <c r="M33" t="str">
        <f t="shared" si="2"/>
        <v/>
      </c>
      <c r="N33" s="4" t="str">
        <f>IF(ISBLANK(D33),"",Open_time Control_1+(INT(L33)&amp;":"&amp;IF(ROUND(((L33-INT(L33))*60),0)&lt;10,0,"")&amp;ROUND(((L33-INT(L33))*60),0)))</f>
        <v/>
      </c>
      <c r="O33" s="4" t="str">
        <f>IF(ISBLANK(D33),"",Open_time Control_1+(INT(M33)&amp;":"&amp;IF(ROUND(((M33-INT(M33))*60),0)&lt;10,0,"")&amp;ROUND(((M33-INT(M33))*60),0)))</f>
        <v/>
      </c>
    </row>
    <row r="34" spans="4:15" ht="17" customHeight="1">
      <c r="D34" s="17"/>
      <c r="E34" s="33"/>
      <c r="F34" s="34"/>
      <c r="G34" s="34"/>
      <c r="H34" s="35"/>
      <c r="I34" s="34"/>
      <c r="J34" s="34"/>
      <c r="K34" s="35"/>
      <c r="L34" t="str">
        <f t="shared" si="3"/>
        <v/>
      </c>
      <c r="M34" t="str">
        <f t="shared" si="2"/>
        <v/>
      </c>
      <c r="N34" s="4" t="str">
        <f>IF(ISBLANK(D34),"",Open_time Control_1+(INT(L34)&amp;":"&amp;IF(ROUND(((L34-INT(L34))*60),0)&lt;10,0,"")&amp;ROUND(((L34-INT(L34))*60),0)))</f>
        <v/>
      </c>
      <c r="O34" s="4" t="str">
        <f>IF(ISBLANK(D34),"",Open_time Control_1+(INT(M34)&amp;":"&amp;IF(ROUND(((M34-INT(M34))*60),0)&lt;10,0,"")&amp;ROUND(((M34-INT(M34))*60),0)))</f>
        <v/>
      </c>
    </row>
    <row r="35" spans="4:15" ht="17" customHeight="1">
      <c r="D35" s="17"/>
      <c r="E35" s="33"/>
      <c r="F35" s="34"/>
      <c r="G35" s="34"/>
      <c r="H35" s="35"/>
      <c r="I35" s="34"/>
      <c r="J35" s="34"/>
      <c r="K35" s="35"/>
      <c r="L35" t="str">
        <f t="shared" si="3"/>
        <v/>
      </c>
      <c r="M35" t="str">
        <f t="shared" si="2"/>
        <v/>
      </c>
      <c r="N35" s="4" t="str">
        <f>IF(ISBLANK(D35),"",Open_time Control_1+(INT(L35)&amp;":"&amp;IF(ROUND(((L35-INT(L35))*60),0)&lt;10,0,"")&amp;ROUND(((L35-INT(L35))*60),0)))</f>
        <v/>
      </c>
      <c r="O35" s="4" t="str">
        <f>IF(ISBLANK(D35),"",Open_time Control_1+(INT(M35)&amp;":"&amp;IF(ROUND(((M35-INT(M35))*60),0)&lt;10,0,"")&amp;ROUND(((M35-INT(M35))*60),0)))</f>
        <v/>
      </c>
    </row>
    <row r="36" spans="4:15" ht="17" customHeight="1">
      <c r="D36" s="17"/>
      <c r="E36" s="33"/>
      <c r="F36" s="34"/>
      <c r="G36" s="34"/>
      <c r="H36" s="35"/>
      <c r="I36" s="34"/>
      <c r="J36" s="34"/>
      <c r="K36" s="35"/>
      <c r="L36" t="str">
        <f t="shared" si="3"/>
        <v/>
      </c>
      <c r="M36" t="str">
        <f t="shared" si="2"/>
        <v/>
      </c>
      <c r="N36" s="4" t="str">
        <f>IF(ISBLANK(D36),"",Open_time Control_1+(INT(L36)&amp;":"&amp;IF(ROUND(((L36-INT(L36))*60),0)&lt;10,0,"")&amp;ROUND(((L36-INT(L36))*60),0)))</f>
        <v/>
      </c>
      <c r="O36" s="4" t="str">
        <f>IF(ISBLANK(D36),"",Open_time Control_1+(INT(M36)&amp;":"&amp;IF(ROUND(((M36-INT(M36))*60),0)&lt;10,0,"")&amp;ROUND(((M36-INT(M36))*60),0)))</f>
        <v/>
      </c>
    </row>
    <row r="37" spans="4:15" ht="17" customHeight="1" thickBot="1">
      <c r="D37" s="23"/>
      <c r="E37" s="33"/>
      <c r="F37" s="34"/>
      <c r="G37" s="34"/>
      <c r="H37" s="35"/>
      <c r="I37" s="34"/>
      <c r="J37" s="34"/>
      <c r="K37" s="35"/>
      <c r="L37" t="str">
        <f t="shared" si="3"/>
        <v/>
      </c>
      <c r="M37" t="str">
        <f t="shared" si="2"/>
        <v/>
      </c>
      <c r="N37" s="4" t="str">
        <f>IF(ISBLANK(D37),"",Open_time Control_1+(INT(L37)&amp;":"&amp;IF(ROUND(((L37-INT(L37))*60),0)&lt;10,0,"")&amp;ROUND(((L37-INT(L37))*60),0)))</f>
        <v/>
      </c>
      <c r="O37" s="4" t="str">
        <f>IF(ISBLANK(D37),"",Open_time Control_1+(INT(M37)&amp;":"&amp;IF(ROUND(((M37-INT(M37))*60),0)&lt;10,0,"")&amp;ROUND(((M37-INT(M37))*60),0)))</f>
        <v/>
      </c>
    </row>
  </sheetData>
  <sheetProtection algorithmName="SHA-512" hashValue="ZYQin6v6E0iNpcC9I7+9b2Dn0/bi5OBt8ww5WOuVvda6CZVMZiQgmrJGLfp99jaxUhYX7AQrWS8mD11fp+52iA==" saltValue="KrE9Ta/PW+LsyQkuSQ1AQA==" spinCount="100000" sheet="1" objects="1" scenarios="1" formatCells="0" selectLockedCells="1"/>
  <mergeCells count="8">
    <mergeCell ref="D26:H26"/>
    <mergeCell ref="I26:K2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O57"/>
  <sheetViews>
    <sheetView zoomScale="115" zoomScaleNormal="115" zoomScalePageLayoutView="115" workbookViewId="0">
      <selection activeCell="F12" sqref="F12"/>
    </sheetView>
  </sheetViews>
  <sheetFormatPr baseColWidth="10" defaultColWidth="8.83203125" defaultRowHeight="12" x14ac:dyDescent="0"/>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c r="K1" s="83"/>
      <c r="L1" s="83"/>
      <c r="M1" s="83"/>
    </row>
    <row r="2" spans="2:15" ht="17">
      <c r="C2" s="133" t="s">
        <v>33</v>
      </c>
      <c r="D2" s="133"/>
      <c r="E2" s="133"/>
      <c r="F2" s="133"/>
      <c r="G2" s="58"/>
      <c r="H2" s="58"/>
      <c r="I2" s="86" t="s">
        <v>58</v>
      </c>
      <c r="J2" s="87">
        <f>'Control Entry'!B4</f>
        <v>45727</v>
      </c>
      <c r="K2" s="58"/>
      <c r="L2" s="58"/>
    </row>
    <row r="3" spans="2:15" ht="45" customHeight="1">
      <c r="D3" s="12"/>
      <c r="E3" s="142" t="s">
        <v>29</v>
      </c>
      <c r="F3" s="142"/>
      <c r="G3" s="142"/>
      <c r="H3" s="142"/>
      <c r="I3" s="71" t="s">
        <v>60</v>
      </c>
      <c r="J3" s="79">
        <f>IF(ISBLANK(Brevet_Number),"",Brevet_Number)</f>
        <v>5504</v>
      </c>
      <c r="K3" s="39"/>
      <c r="L3" s="39"/>
    </row>
    <row r="4" spans="2:15" ht="20" customHeight="1">
      <c r="C4" s="12"/>
      <c r="E4" s="143" t="str">
        <f>IF(ISBLANK(Brevet_Length),"",Brevet_Length&amp;" km Randonnée")</f>
        <v>200 km Randonnée</v>
      </c>
      <c r="F4" s="143"/>
      <c r="G4" s="143"/>
      <c r="H4" s="143"/>
      <c r="K4" s="53"/>
      <c r="L4" s="53"/>
    </row>
    <row r="5" spans="2:15" ht="20" customHeight="1">
      <c r="D5" s="54"/>
      <c r="E5" s="141" t="str">
        <f>IF(ISBLANK(Brevet_Description),"",Brevet_Description)</f>
        <v>Early Bird 200</v>
      </c>
      <c r="F5" s="141"/>
      <c r="G5" s="141"/>
      <c r="H5" s="141"/>
      <c r="I5" s="82"/>
      <c r="J5" s="54"/>
      <c r="K5" s="54"/>
      <c r="L5" s="54"/>
    </row>
    <row r="6" spans="2:15" ht="18">
      <c r="D6" s="72"/>
      <c r="E6" s="141"/>
      <c r="F6" s="141"/>
      <c r="G6" s="141"/>
      <c r="H6" s="141"/>
      <c r="I6" s="82"/>
      <c r="J6" s="72"/>
      <c r="K6" s="54"/>
      <c r="L6" s="54"/>
    </row>
    <row r="7" spans="2:15" ht="25" customHeight="1">
      <c r="C7" s="137"/>
      <c r="D7" s="137"/>
      <c r="E7" s="137"/>
      <c r="F7" s="137"/>
      <c r="H7" s="139"/>
    </row>
    <row r="8" spans="2:15" ht="19" thickBot="1">
      <c r="B8" s="55" t="s">
        <v>61</v>
      </c>
      <c r="C8" s="138"/>
      <c r="D8" s="138"/>
      <c r="E8" s="138"/>
      <c r="F8" s="138"/>
      <c r="G8" s="20" t="s">
        <v>31</v>
      </c>
      <c r="H8" s="140"/>
      <c r="I8" s="56"/>
      <c r="J8" s="56"/>
      <c r="K8" s="56"/>
      <c r="L8" s="19"/>
    </row>
    <row r="9" spans="2:15" ht="22" customHeight="1">
      <c r="B9" s="73"/>
      <c r="C9" s="73"/>
      <c r="D9" s="73"/>
      <c r="E9" s="73"/>
      <c r="F9" s="74"/>
      <c r="G9" s="75"/>
      <c r="H9" s="75"/>
      <c r="I9" s="75"/>
      <c r="J9" s="74"/>
    </row>
    <row r="10" spans="2:15" ht="20" customHeight="1">
      <c r="B10" s="135" t="s">
        <v>34</v>
      </c>
      <c r="C10" s="135"/>
      <c r="D10" s="67" t="s">
        <v>35</v>
      </c>
      <c r="E10" s="136" t="s">
        <v>57</v>
      </c>
      <c r="F10" s="136"/>
      <c r="G10" s="136"/>
      <c r="H10" s="78"/>
      <c r="I10" s="62"/>
      <c r="J10" s="62"/>
      <c r="K10" s="22"/>
      <c r="L10" s="144"/>
      <c r="M10" s="144"/>
      <c r="N10" s="144"/>
      <c r="O10" s="144"/>
    </row>
    <row r="11" spans="2:15" ht="21">
      <c r="B11" s="61"/>
      <c r="C11" s="61" t="s">
        <v>73</v>
      </c>
      <c r="D11" s="61"/>
      <c r="E11" s="61"/>
      <c r="F11" s="57"/>
      <c r="G11" s="63"/>
      <c r="H11" s="63"/>
      <c r="I11" s="63"/>
      <c r="J11" s="57"/>
    </row>
    <row r="12" spans="2:15" ht="20" thickBot="1">
      <c r="D12" s="158" t="s">
        <v>19</v>
      </c>
      <c r="E12" s="158"/>
      <c r="F12" s="77">
        <f>IF(ISBLANK('Control Entry'!B12),"",'Control Entry'!B12)</f>
        <v>45738</v>
      </c>
      <c r="G12" s="81"/>
      <c r="H12" s="68" t="s">
        <v>63</v>
      </c>
      <c r="I12" s="76">
        <f>IF(ISBLANK('Control Entry'!B13),"",'Control Entry'!B13)</f>
        <v>0.29166666666666669</v>
      </c>
      <c r="J12" s="26"/>
    </row>
    <row r="13" spans="2:15" ht="19">
      <c r="D13" s="25"/>
      <c r="E13" s="25"/>
      <c r="F13" s="24"/>
      <c r="G13" s="24"/>
      <c r="H13" s="24"/>
      <c r="J13" s="19"/>
      <c r="K13" s="14"/>
      <c r="L13" s="26"/>
      <c r="M13" s="26"/>
      <c r="N13" s="26"/>
      <c r="O13" s="19"/>
    </row>
    <row r="14" spans="2:15" ht="20" thickBot="1">
      <c r="D14" s="159" t="s">
        <v>62</v>
      </c>
      <c r="E14" s="159"/>
      <c r="F14" s="77"/>
      <c r="G14" s="81"/>
      <c r="H14" s="68" t="s">
        <v>64</v>
      </c>
      <c r="I14" s="76"/>
      <c r="J14" s="26"/>
      <c r="K14" s="13"/>
      <c r="L14" s="70"/>
      <c r="M14" s="70"/>
      <c r="N14" s="70"/>
    </row>
    <row r="15" spans="2:15" ht="18">
      <c r="B15" s="37"/>
      <c r="C15" s="37"/>
      <c r="D15" s="24"/>
      <c r="E15" s="24"/>
      <c r="H15" s="24"/>
      <c r="I15" s="14"/>
      <c r="J15" s="14"/>
      <c r="K15" s="14"/>
      <c r="L15" s="14"/>
      <c r="M15" s="14"/>
      <c r="N15" s="14"/>
      <c r="O15" s="19"/>
    </row>
    <row r="16" spans="2:15" ht="20" thickBot="1">
      <c r="C16" s="69"/>
      <c r="D16" s="69"/>
      <c r="E16" s="69"/>
      <c r="F16" s="69"/>
      <c r="H16" s="20" t="s">
        <v>65</v>
      </c>
      <c r="I16" s="76"/>
      <c r="J16" s="26"/>
      <c r="K16" s="13"/>
      <c r="L16" s="70"/>
      <c r="M16" s="70"/>
      <c r="N16" s="70"/>
    </row>
    <row r="17" spans="2:15" ht="18">
      <c r="C17" s="160" t="s">
        <v>14</v>
      </c>
      <c r="D17" s="160"/>
      <c r="E17" s="160"/>
      <c r="F17" s="160"/>
      <c r="G17" s="22"/>
      <c r="H17" s="22"/>
      <c r="I17" s="154"/>
      <c r="J17" s="154"/>
      <c r="K17" s="22"/>
      <c r="L17" s="144"/>
      <c r="M17" s="144"/>
      <c r="N17" s="144"/>
      <c r="O17" s="144"/>
    </row>
    <row r="18" spans="2:15" ht="6" customHeight="1" thickBot="1">
      <c r="B18" s="64"/>
      <c r="C18" s="64"/>
      <c r="D18" s="64"/>
      <c r="E18" s="64"/>
      <c r="F18" s="65"/>
      <c r="G18" s="66"/>
      <c r="H18" s="66"/>
      <c r="I18" s="66"/>
      <c r="J18" s="65"/>
    </row>
    <row r="19" spans="2:15" ht="20" thickTop="1" thickBot="1">
      <c r="B19" s="134" t="s">
        <v>50</v>
      </c>
      <c r="C19" s="134"/>
      <c r="D19" s="134"/>
      <c r="E19" s="134"/>
      <c r="F19" s="134"/>
      <c r="G19" s="134"/>
      <c r="H19" s="134"/>
      <c r="I19" s="134"/>
      <c r="J19" s="134"/>
    </row>
    <row r="20" spans="2:15" ht="18" thickBot="1">
      <c r="B20" s="52" t="s">
        <v>26</v>
      </c>
      <c r="C20" s="8" t="s">
        <v>0</v>
      </c>
      <c r="D20" s="8" t="s">
        <v>1</v>
      </c>
      <c r="E20" s="8" t="s">
        <v>22</v>
      </c>
      <c r="F20" s="8" t="s">
        <v>27</v>
      </c>
      <c r="G20" s="155" t="s">
        <v>36</v>
      </c>
      <c r="H20" s="156"/>
      <c r="I20" s="157"/>
      <c r="J20" s="52" t="s">
        <v>28</v>
      </c>
    </row>
    <row r="21" spans="2:15" ht="40" customHeight="1">
      <c r="B21" s="96"/>
      <c r="C21" s="108">
        <f>Control_1 Open_time</f>
        <v>45738.291666666664</v>
      </c>
      <c r="D21" s="108">
        <f>Control_1 Close_time</f>
        <v>45738.333333333328</v>
      </c>
      <c r="E21" s="97"/>
      <c r="F21" s="98" t="str">
        <f>IF(ISBLANK(Control_1 Establishment_1),"",Control_1 Establishment_1)</f>
        <v>JJBean</v>
      </c>
      <c r="G21" s="148" t="str">
        <f>IF(ISBLANK('Control Entry'!I15),"",'Control Entry'!I15)</f>
        <v/>
      </c>
      <c r="H21" s="149"/>
      <c r="I21" s="150"/>
      <c r="J21" s="99"/>
    </row>
    <row r="22" spans="2:15" ht="40" customHeight="1">
      <c r="B22" s="100">
        <f>IF(ISBLANK(Distance Control_1),"",Control_1 Distance)</f>
        <v>0</v>
      </c>
      <c r="C22" s="101">
        <f>Control_1 Open_time</f>
        <v>45738.291666666664</v>
      </c>
      <c r="D22" s="101">
        <f>Control_1 Close_time</f>
        <v>45738.333333333328</v>
      </c>
      <c r="E22" s="98" t="str">
        <f>IF(ISBLANK(Locale Control_1),"",Locale Control_1)</f>
        <v xml:space="preserve">Vancouver </v>
      </c>
      <c r="F22" s="98" t="str">
        <f>IF(ISBLANK(Control_1 Establishment_2),"",Control_1 Establishment_2)</f>
        <v/>
      </c>
      <c r="G22" s="151" t="str">
        <f>IF(ISBLANK('Control Entry'!J15),"",'Control Entry'!J15)</f>
        <v/>
      </c>
      <c r="H22" s="152"/>
      <c r="I22" s="153"/>
      <c r="J22" s="102"/>
    </row>
    <row r="23" spans="2:15" ht="40" customHeight="1" thickBot="1">
      <c r="B23" s="103"/>
      <c r="C23" s="109">
        <f>Control_1 Open_time</f>
        <v>45738.291666666664</v>
      </c>
      <c r="D23" s="109">
        <f>Control_1 Close_time</f>
        <v>45738.333333333328</v>
      </c>
      <c r="E23" s="104"/>
      <c r="F23" s="105" t="str">
        <f>IF(ISBLANK(Control_1 Establishment_3),"",Control_1 Establishment_3)</f>
        <v/>
      </c>
      <c r="G23" s="145" t="str">
        <f>IF(ISBLANK('Control Entry'!K15),"",'Control Entry'!K15)</f>
        <v/>
      </c>
      <c r="H23" s="146"/>
      <c r="I23" s="147"/>
      <c r="J23" s="106"/>
    </row>
    <row r="24" spans="2:15" ht="40" customHeight="1">
      <c r="B24" s="96"/>
      <c r="C24" s="108">
        <f>Control_2 Open_time</f>
        <v>45738.350694444445</v>
      </c>
      <c r="D24" s="108">
        <f>Control_2 Close_time</f>
        <v>45738.433333333334</v>
      </c>
      <c r="E24" s="107"/>
      <c r="F24" s="98" t="str">
        <f>IF(ISBLANK(Control_2 Establishment_1),"",Control_2 Establishment_1)</f>
        <v>Dyke Entrance</v>
      </c>
      <c r="G24" s="148" t="str">
        <f>IF(ISBLANK('Control Entry'!I16),"",'Control Entry'!I16)</f>
        <v/>
      </c>
      <c r="H24" s="149"/>
      <c r="I24" s="150"/>
      <c r="J24" s="99"/>
    </row>
    <row r="25" spans="2:15" ht="40" customHeight="1">
      <c r="B25" s="100">
        <f>IF(ISBLANK(Distance Control_2),"",Control_2 Distance)</f>
        <v>48.1</v>
      </c>
      <c r="C25" s="101">
        <f>Control_2 Open_time</f>
        <v>45738.350694444445</v>
      </c>
      <c r="D25" s="101">
        <f>Control_2 Close_time</f>
        <v>45738.433333333334</v>
      </c>
      <c r="E25" s="98" t="str">
        <f>IF(ISBLANK(Locale Control_2),"",Locale Control_2)</f>
        <v>Boundary Bay</v>
      </c>
      <c r="F25" s="98" t="str">
        <f>IF(ISBLANK(Control_2 Establishment_2),"",Control_2 Establishment_2)</f>
        <v>Sign On Gate</v>
      </c>
      <c r="G25" s="151" t="str">
        <f>IF(ISBLANK('Control Entry'!J16),"",'Control Entry'!J16)</f>
        <v/>
      </c>
      <c r="H25" s="152"/>
      <c r="I25" s="153"/>
      <c r="J25" s="102"/>
    </row>
    <row r="26" spans="2:15" ht="40" customHeight="1" thickBot="1">
      <c r="B26" s="103"/>
      <c r="C26" s="109">
        <f>Control_2 Open_time</f>
        <v>45738.350694444445</v>
      </c>
      <c r="D26" s="109">
        <f>Control_2 Close_time</f>
        <v>45738.433333333334</v>
      </c>
      <c r="E26" s="104"/>
      <c r="F26" s="105" t="str">
        <f>IF(ISBLANK(Control_2 Establishment_3),"",Control_2 Establishment_3)</f>
        <v>Report Violations to ???</v>
      </c>
      <c r="G26" s="145" t="str">
        <f>IF(ISBLANK('Control Entry'!K16),"",'Control Entry'!K16)</f>
        <v/>
      </c>
      <c r="H26" s="146"/>
      <c r="I26" s="147"/>
      <c r="J26" s="106"/>
    </row>
    <row r="27" spans="2:15" ht="40" customHeight="1">
      <c r="B27" s="96"/>
      <c r="C27" s="108">
        <f>Control_3 Open_time</f>
        <v>45738.387499999997</v>
      </c>
      <c r="D27" s="108">
        <f>Control_3 Close_time</f>
        <v>45738.508333333331</v>
      </c>
      <c r="E27" s="107"/>
      <c r="F27" s="98" t="str">
        <f>IF(ISBLANK(Control_3 Establishment_1),"",Control_3 Establishment_1)</f>
        <v>Marine Dr Roundabout 1st Exit</v>
      </c>
      <c r="G27" s="148" t="str">
        <f>IF(ISBLANK('Control Entry'!I17),"",'Control Entry'!I17)</f>
        <v/>
      </c>
      <c r="H27" s="149"/>
      <c r="I27" s="150"/>
      <c r="J27" s="99"/>
    </row>
    <row r="28" spans="2:15" ht="40" customHeight="1">
      <c r="B28" s="100">
        <f>IF(ISBLANK(Distance Control_3),"",Control_3 Distance)</f>
        <v>78</v>
      </c>
      <c r="C28" s="101">
        <f>Control_3 Open_time</f>
        <v>45738.387499999997</v>
      </c>
      <c r="D28" s="101">
        <f>Control_3 Close_time</f>
        <v>45738.508333333331</v>
      </c>
      <c r="E28" s="98" t="str">
        <f>IF(ISBLANK(Locale Control_3),"",Locale Control_3)</f>
        <v>White Rock</v>
      </c>
      <c r="F28" s="98" t="str">
        <f>IF(ISBLANK(Control_3 Establishment_2),"",Control_3 Establishment_2)</f>
        <v>Staffed</v>
      </c>
      <c r="G28" s="151" t="str">
        <f>IF(ISBLANK('Control Entry'!J17),"",'Control Entry'!J17)</f>
        <v/>
      </c>
      <c r="H28" s="152"/>
      <c r="I28" s="153"/>
      <c r="J28" s="102"/>
    </row>
    <row r="29" spans="2:15" ht="40" customHeight="1" thickBot="1">
      <c r="B29" s="103"/>
      <c r="C29" s="109">
        <f>Control_3 Open_time</f>
        <v>45738.387499999997</v>
      </c>
      <c r="D29" s="109">
        <f>Control_3 Close_time</f>
        <v>45738.508333333331</v>
      </c>
      <c r="E29" s="104"/>
      <c r="F29" s="105" t="str">
        <f>IF(ISBLANK(Control_3 Establishment_3),"",Control_3 Establishment_3)</f>
        <v/>
      </c>
      <c r="G29" s="145" t="str">
        <f>IF(ISBLANK('Control Entry'!K17),"",'Control Entry'!K17)</f>
        <v/>
      </c>
      <c r="H29" s="146"/>
      <c r="I29" s="147"/>
      <c r="J29" s="106"/>
    </row>
    <row r="30" spans="2:15" ht="40" customHeight="1">
      <c r="B30" s="96"/>
      <c r="C30" s="108">
        <f>Control_4 Open_time</f>
        <v>45738.433333333334</v>
      </c>
      <c r="D30" s="108">
        <f>Control_4 Close_time</f>
        <v>45738.612499999996</v>
      </c>
      <c r="E30" s="107"/>
      <c r="F30" s="98" t="str">
        <f>IF(ISBLANK(Control_4 Establishment_1),"",Control_4 Establishment_1)</f>
        <v>Lee's Market</v>
      </c>
      <c r="G30" s="148" t="str">
        <f>IF(ISBLANK('Control Entry'!I18),"",'Control Entry'!I18)</f>
        <v/>
      </c>
      <c r="H30" s="149"/>
      <c r="I30" s="150"/>
      <c r="J30" s="99"/>
    </row>
    <row r="31" spans="2:15" ht="40" customHeight="1">
      <c r="B31" s="100">
        <f>IF(ISBLANK(Distance Control_4),"",Control_4 Distance)</f>
        <v>115.6</v>
      </c>
      <c r="C31" s="101">
        <f>Control_4 Open_time</f>
        <v>45738.433333333334</v>
      </c>
      <c r="D31" s="101">
        <f>Control_4 Close_time</f>
        <v>45738.612499999996</v>
      </c>
      <c r="E31" s="98" t="str">
        <f>IF(ISBLANK(Locale Control_4),"",Locale Control_4)</f>
        <v>Fort Langley</v>
      </c>
      <c r="F31" s="98" t="str">
        <f>IF(ISBLANK(Control_4 Establishment_2),"",Control_4 Establishment_2)</f>
        <v>Front Entrance</v>
      </c>
      <c r="G31" s="151" t="str">
        <f>IF(ISBLANK('Control Entry'!J18),"",'Control Entry'!J18)</f>
        <v/>
      </c>
      <c r="H31" s="152"/>
      <c r="I31" s="153"/>
      <c r="J31" s="102"/>
    </row>
    <row r="32" spans="2:15" ht="40" customHeight="1" thickBot="1">
      <c r="B32" s="103"/>
      <c r="C32" s="109">
        <f>Control_4 Open_time</f>
        <v>45738.433333333334</v>
      </c>
      <c r="D32" s="109">
        <f>Control_4 Close_time</f>
        <v>45738.612499999996</v>
      </c>
      <c r="E32" s="104"/>
      <c r="F32" s="105" t="str">
        <f>IF(ISBLANK(Control_4 Establishment_3),"",Control_4 Establishment_3)</f>
        <v>Phrase on giant chalkboard?</v>
      </c>
      <c r="G32" s="145" t="str">
        <f>IF(ISBLANK('Control Entry'!K18),"",'Control Entry'!K18)</f>
        <v/>
      </c>
      <c r="H32" s="146"/>
      <c r="I32" s="147"/>
      <c r="J32" s="106"/>
    </row>
    <row r="33" spans="2:10" ht="40" customHeight="1">
      <c r="B33" s="96"/>
      <c r="C33" s="108">
        <f>Control_5 Open_time</f>
        <v>45738.450694444444</v>
      </c>
      <c r="D33" s="108">
        <f>Control_5 Close_time</f>
        <v>45738.652777777774</v>
      </c>
      <c r="E33" s="107"/>
      <c r="F33" s="98" t="str">
        <f>IF(ISBLANK(Control_5 Establishment_1),"",Control_5 Establishment_1)</f>
        <v>240St &amp; Robertson Cr</v>
      </c>
      <c r="G33" s="148" t="str">
        <f>IF(ISBLANK('Control Entry'!I19),"",'Control Entry'!I19)</f>
        <v/>
      </c>
      <c r="H33" s="149"/>
      <c r="I33" s="150"/>
      <c r="J33" s="99"/>
    </row>
    <row r="34" spans="2:10" ht="40" customHeight="1">
      <c r="B34" s="100">
        <f>IF(ISBLANK(Distance Control_5),"",Control_5 Distance)</f>
        <v>129.9</v>
      </c>
      <c r="C34" s="101">
        <f>Control_5 Open_time</f>
        <v>45738.450694444444</v>
      </c>
      <c r="D34" s="101">
        <f>Control_5 Close_time</f>
        <v>45738.652777777774</v>
      </c>
      <c r="E34" s="98" t="str">
        <f>IF(ISBLANK(Locale Control_5),"",Locale Control_5)</f>
        <v>Langley</v>
      </c>
      <c r="F34" s="98" t="str">
        <f>IF(ISBLANK(Control_5 Establishment_2),"",Control_5 Establishment_2)</f>
        <v>Stop Sign Pole</v>
      </c>
      <c r="G34" s="151" t="str">
        <f>IF(ISBLANK('Control Entry'!J19),"",'Control Entry'!J19)</f>
        <v/>
      </c>
      <c r="H34" s="152"/>
      <c r="I34" s="153"/>
      <c r="J34" s="102"/>
    </row>
    <row r="35" spans="2:10" ht="40" customHeight="1" thickBot="1">
      <c r="B35" s="103"/>
      <c r="C35" s="109">
        <f>Control_5 Open_time</f>
        <v>45738.450694444444</v>
      </c>
      <c r="D35" s="109">
        <f>Control_5 Close_time</f>
        <v>45738.652777777774</v>
      </c>
      <c r="E35" s="104"/>
      <c r="F35" s="105" t="str">
        <f>IF(ISBLANK(Control_5 Establishment_3),"",Control_5 Establishment_3)</f>
        <v>Number backside of pole?</v>
      </c>
      <c r="G35" s="145" t="str">
        <f>IF(ISBLANK('Control Entry'!K19),"",'Control Entry'!K19)</f>
        <v>_    _    _    _    _    _</v>
      </c>
      <c r="H35" s="146"/>
      <c r="I35" s="147"/>
      <c r="J35" s="106"/>
    </row>
    <row r="36" spans="2:10" ht="40" customHeight="1">
      <c r="B36" s="96"/>
      <c r="C36" s="108">
        <f>Control_6 Open_time</f>
        <v>45738.476388888885</v>
      </c>
      <c r="D36" s="108">
        <f>Control_6 Close_time</f>
        <v>45738.711111111108</v>
      </c>
      <c r="E36" s="107"/>
      <c r="F36" s="98" t="str">
        <f>IF(ISBLANK(Control_6 Establishment_1),"",Control_6 Establishment_1)</f>
        <v>164St End of Road</v>
      </c>
      <c r="G36" s="148" t="str">
        <f>IF(ISBLANK('Control Entry'!I20),"",'Control Entry'!I20)</f>
        <v/>
      </c>
      <c r="H36" s="149"/>
      <c r="I36" s="150"/>
      <c r="J36" s="99"/>
    </row>
    <row r="37" spans="2:10" ht="40" customHeight="1">
      <c r="B37" s="100">
        <f>IF(ISBLANK(Distance Control_6),"",Control_6 Distance)</f>
        <v>151</v>
      </c>
      <c r="C37" s="101">
        <f>Control_6 Open_time</f>
        <v>45738.476388888885</v>
      </c>
      <c r="D37" s="101">
        <f>Control_6 Close_time</f>
        <v>45738.711111111108</v>
      </c>
      <c r="E37" s="98" t="str">
        <f>IF(ISBLANK(Locale Control_6),"",Locale Control_6)</f>
        <v>Surrey</v>
      </c>
      <c r="F37" s="98" t="str">
        <f>IF(ISBLANK(Control_6 Establishment_2),"",Control_6 Establishment_2)</f>
        <v>Staffed</v>
      </c>
      <c r="G37" s="151" t="str">
        <f>IF(ISBLANK('Control Entry'!J20),"",'Control Entry'!J20)</f>
        <v/>
      </c>
      <c r="H37" s="152"/>
      <c r="I37" s="153"/>
      <c r="J37" s="102"/>
    </row>
    <row r="38" spans="2:10" ht="40" customHeight="1" thickBot="1">
      <c r="B38" s="103"/>
      <c r="C38" s="109">
        <f>Control_6 Open_time</f>
        <v>45738.476388888885</v>
      </c>
      <c r="D38" s="109">
        <f>Control_6 Close_time</f>
        <v>45738.711111111108</v>
      </c>
      <c r="E38" s="104"/>
      <c r="F38" s="105" t="str">
        <f>IF(ISBLANK(Control_6 Establishment_3),"",Control_6 Establishment_3)</f>
        <v/>
      </c>
      <c r="G38" s="145" t="str">
        <f>IF(ISBLANK('Control Entry'!K20),"",'Control Entry'!K20)</f>
        <v/>
      </c>
      <c r="H38" s="146"/>
      <c r="I38" s="147"/>
      <c r="J38" s="106"/>
    </row>
    <row r="39" spans="2:10" ht="40" customHeight="1">
      <c r="B39" s="96"/>
      <c r="C39" s="108">
        <f>Control_7 Open_time</f>
        <v>45738.538194444445</v>
      </c>
      <c r="D39" s="108">
        <f>Control_7 Close_time</f>
        <v>45738.854166666664</v>
      </c>
      <c r="E39" s="107"/>
      <c r="F39" s="98" t="str">
        <f>IF(ISBLANK(Control_7 Establishment_1),"",Control_7 Establishment_1)</f>
        <v>JJBean</v>
      </c>
      <c r="G39" s="148" t="str">
        <f>IF(ISBLANK('Control Entry'!I21),"",'Control Entry'!I21)</f>
        <v/>
      </c>
      <c r="H39" s="149"/>
      <c r="I39" s="150"/>
      <c r="J39" s="99"/>
    </row>
    <row r="40" spans="2:10" ht="40" customHeight="1">
      <c r="B40" s="100">
        <f>IF(ISBLANK(Distance Control_7),"",Control_7 Distance)</f>
        <v>200.9</v>
      </c>
      <c r="C40" s="101">
        <f>Control_7 Open_time</f>
        <v>45738.538194444445</v>
      </c>
      <c r="D40" s="101">
        <f>Control_7 Close_time</f>
        <v>45738.854166666664</v>
      </c>
      <c r="E40" s="98" t="str">
        <f>IF(ISBLANK(Locale Control_7),"",Locale Control_7)</f>
        <v>Vancouver</v>
      </c>
      <c r="F40" s="98" t="str">
        <f>IF(ISBLANK(Control_7 Establishment_2),"",Control_7 Establishment_2)</f>
        <v/>
      </c>
      <c r="G40" s="151" t="str">
        <f>IF(ISBLANK('Control Entry'!J21),"",'Control Entry'!J21)</f>
        <v/>
      </c>
      <c r="H40" s="152"/>
      <c r="I40" s="153"/>
      <c r="J40" s="102"/>
    </row>
    <row r="41" spans="2:10" ht="40" customHeight="1" thickBot="1">
      <c r="B41" s="103"/>
      <c r="C41" s="109">
        <f>Control_7 Open_time</f>
        <v>45738.538194444445</v>
      </c>
      <c r="D41" s="109">
        <f>Control_7 Close_time</f>
        <v>45738.854166666664</v>
      </c>
      <c r="E41" s="104"/>
      <c r="F41" s="105" t="str">
        <f>IF(ISBLANK(Control_7 Establishment_3),"",Control_7 Establishment_3)</f>
        <v/>
      </c>
      <c r="G41" s="145" t="str">
        <f>IF(ISBLANK('Control Entry'!K21),"",'Control Entry'!K21)</f>
        <v/>
      </c>
      <c r="H41" s="146"/>
      <c r="I41" s="147"/>
      <c r="J41" s="106"/>
    </row>
    <row r="42" spans="2:10" ht="40" customHeight="1">
      <c r="B42" s="96"/>
      <c r="C42" s="108" t="str">
        <f>Control_8 Open_time</f>
        <v/>
      </c>
      <c r="D42" s="108" t="str">
        <f>Control_8 Close_time</f>
        <v/>
      </c>
      <c r="E42" s="107"/>
      <c r="F42" s="98" t="str">
        <f>IF(ISBLANK(Control_8 Establishment_1),"",Control_8 Establishment_1)</f>
        <v/>
      </c>
      <c r="G42" s="148" t="str">
        <f>IF(ISBLANK('Control Entry'!I22),"",'Control Entry'!I22)</f>
        <v/>
      </c>
      <c r="H42" s="149"/>
      <c r="I42" s="150"/>
      <c r="J42" s="99"/>
    </row>
    <row r="43" spans="2:10" ht="40" customHeight="1">
      <c r="B43" s="100" t="str">
        <f>IF(ISBLANK(Distance Control_8),"",Control_8 Distance)</f>
        <v/>
      </c>
      <c r="C43" s="101" t="str">
        <f>Control_8 Open_time</f>
        <v/>
      </c>
      <c r="D43" s="101" t="str">
        <f>Control_8 Close_time</f>
        <v/>
      </c>
      <c r="E43" s="98" t="str">
        <f>IF(ISBLANK(Locale Control_8),"",Locale Control_8)</f>
        <v/>
      </c>
      <c r="F43" s="98" t="str">
        <f>IF(ISBLANK(Control_8 Establishment_2),"",Control_8 Establishment_2)</f>
        <v/>
      </c>
      <c r="G43" s="151" t="str">
        <f>IF(ISBLANK('Control Entry'!J22),"",'Control Entry'!J22)</f>
        <v/>
      </c>
      <c r="H43" s="152"/>
      <c r="I43" s="153"/>
      <c r="J43" s="102"/>
    </row>
    <row r="44" spans="2:10" ht="40" customHeight="1" thickBot="1">
      <c r="B44" s="103"/>
      <c r="C44" s="109" t="str">
        <f>Control_8 Open_time</f>
        <v/>
      </c>
      <c r="D44" s="109" t="str">
        <f>Control_8 Close_time</f>
        <v/>
      </c>
      <c r="E44" s="104"/>
      <c r="F44" s="105" t="str">
        <f>IF(ISBLANK(Control_8 Establishment_3),"",Control_8 Establishment_3)</f>
        <v/>
      </c>
      <c r="G44" s="145" t="str">
        <f>IF(ISBLANK('Control Entry'!K22),"",'Control Entry'!K22)</f>
        <v/>
      </c>
      <c r="H44" s="146"/>
      <c r="I44" s="147"/>
      <c r="J44" s="106"/>
    </row>
    <row r="45" spans="2:10" ht="40" customHeight="1">
      <c r="B45" s="96"/>
      <c r="C45" s="108" t="str">
        <f>Control_9 Open_time</f>
        <v/>
      </c>
      <c r="D45" s="108" t="str">
        <f>Control_9 Close_time</f>
        <v/>
      </c>
      <c r="E45" s="107"/>
      <c r="F45" s="98" t="str">
        <f>IF(ISBLANK(Control_9 Establishment_1),"",Control_9 Establishment_1)</f>
        <v/>
      </c>
      <c r="G45" s="148" t="str">
        <f>IF(ISBLANK('Control Entry'!I23),"",'Control Entry'!I23)</f>
        <v/>
      </c>
      <c r="H45" s="149"/>
      <c r="I45" s="150"/>
      <c r="J45" s="99"/>
    </row>
    <row r="46" spans="2:10" ht="40" customHeight="1">
      <c r="B46" s="100" t="str">
        <f>IF(ISBLANK(Distance Control_9),"",Control_9 Distance)</f>
        <v/>
      </c>
      <c r="C46" s="101" t="str">
        <f>Control_9 Open_time</f>
        <v/>
      </c>
      <c r="D46" s="101" t="str">
        <f>Control_9 Close_time</f>
        <v/>
      </c>
      <c r="E46" s="98" t="str">
        <f>IF(ISBLANK(Locale Control_9),"",Locale Control_9)</f>
        <v/>
      </c>
      <c r="F46" s="98" t="str">
        <f>IF(ISBLANK(Control_9 Establishment_2),"",Control_9 Establishment_2)</f>
        <v/>
      </c>
      <c r="G46" s="151" t="str">
        <f>IF(ISBLANK('Control Entry'!J23),"",'Control Entry'!J23)</f>
        <v/>
      </c>
      <c r="H46" s="152"/>
      <c r="I46" s="153"/>
      <c r="J46" s="102"/>
    </row>
    <row r="47" spans="2:10" ht="40" customHeight="1" thickBot="1">
      <c r="B47" s="103"/>
      <c r="C47" s="109" t="str">
        <f>Control_9 Open_time</f>
        <v/>
      </c>
      <c r="D47" s="109" t="str">
        <f>Control_9 Close_time</f>
        <v/>
      </c>
      <c r="E47" s="104"/>
      <c r="F47" s="105" t="str">
        <f>IF(ISBLANK(Control_9 Establishment_3),"",Control_9 Establishment_3)</f>
        <v/>
      </c>
      <c r="G47" s="145" t="str">
        <f>IF(ISBLANK('Control Entry'!K23),"",'Control Entry'!K23)</f>
        <v/>
      </c>
      <c r="H47" s="146"/>
      <c r="I47" s="147"/>
      <c r="J47" s="106"/>
    </row>
    <row r="48" spans="2:10" ht="40" customHeight="1">
      <c r="B48" s="96"/>
      <c r="C48" s="108" t="str">
        <f>Control_10 Open_time</f>
        <v/>
      </c>
      <c r="D48" s="108" t="str">
        <f>Control_10 Close_time</f>
        <v/>
      </c>
      <c r="E48" s="107"/>
      <c r="F48" s="98" t="str">
        <f>IF(ISBLANK(Control_10 Establishment_1),"",Control_10 Establishment_1)</f>
        <v/>
      </c>
      <c r="G48" s="148" t="str">
        <f>IF(ISBLANK('Control Entry'!I24),"",'Control Entry'!I24)</f>
        <v/>
      </c>
      <c r="H48" s="149"/>
      <c r="I48" s="150"/>
      <c r="J48" s="99"/>
    </row>
    <row r="49" spans="2:11" ht="40" customHeight="1">
      <c r="B49" s="100" t="str">
        <f>IF(ISBLANK(Distance Control_10),"",Control_10 Distance)</f>
        <v/>
      </c>
      <c r="C49" s="101" t="str">
        <f>Control_10 Open_time</f>
        <v/>
      </c>
      <c r="D49" s="101" t="str">
        <f>Control_10 Close_time</f>
        <v/>
      </c>
      <c r="E49" s="98" t="str">
        <f>IF(ISBLANK(Locale Control_10),"",Locale Control_10)</f>
        <v/>
      </c>
      <c r="F49" s="98" t="str">
        <f>IF(ISBLANK(Control_10 Establishment_2),"",Control_10 Establishment_2)</f>
        <v/>
      </c>
      <c r="G49" s="151" t="str">
        <f>IF(ISBLANK('Control Entry'!J24),"",'Control Entry'!J24)</f>
        <v/>
      </c>
      <c r="H49" s="152"/>
      <c r="I49" s="153"/>
      <c r="J49" s="102"/>
    </row>
    <row r="50" spans="2:11" ht="40" customHeight="1" thickBot="1">
      <c r="B50" s="103"/>
      <c r="C50" s="109" t="str">
        <f>Control_10 Open_time</f>
        <v/>
      </c>
      <c r="D50" s="109" t="str">
        <f>Control_10 Close_time</f>
        <v/>
      </c>
      <c r="E50" s="104"/>
      <c r="F50" s="105" t="str">
        <f>IF(ISBLANK(Control_10 Establishment_3),"",Control_10 Establishment_3)</f>
        <v/>
      </c>
      <c r="G50" s="145" t="str">
        <f>IF(ISBLANK('Control Entry'!K24),"",'Control Entry'!K24)</f>
        <v/>
      </c>
      <c r="H50" s="146"/>
      <c r="I50" s="147"/>
      <c r="J50" s="106"/>
    </row>
    <row r="52" spans="2:11" ht="24" customHeight="1">
      <c r="B52" s="163" t="s">
        <v>30</v>
      </c>
      <c r="C52" s="163"/>
      <c r="D52" s="163"/>
      <c r="E52" s="163"/>
      <c r="F52" s="163"/>
      <c r="I52" s="61" t="s">
        <v>56</v>
      </c>
      <c r="J52" s="89" t="str">
        <f>IF(ISBLANK('Control Entry'!F10),"",'Control Entry'!F10)</f>
        <v>604 818 6694</v>
      </c>
      <c r="K52" s="57"/>
    </row>
    <row r="54" spans="2:11">
      <c r="B54" s="84" t="s">
        <v>59</v>
      </c>
      <c r="C54" s="85">
        <f>'Control Entry'!B3</f>
        <v>45393</v>
      </c>
    </row>
    <row r="55" spans="2:11" ht="21">
      <c r="B55" s="61"/>
      <c r="C55" s="61"/>
      <c r="D55" s="61"/>
      <c r="E55" s="61"/>
      <c r="F55" s="57"/>
      <c r="G55" s="63"/>
      <c r="H55" s="63"/>
      <c r="I55" s="63"/>
      <c r="J55" s="57"/>
    </row>
    <row r="56" spans="2:11">
      <c r="E56" s="1"/>
    </row>
    <row r="57" spans="2:11">
      <c r="B57" s="59"/>
      <c r="C57" s="60"/>
      <c r="D57" s="60"/>
      <c r="E57" s="60"/>
      <c r="F57" s="161"/>
      <c r="G57" s="162"/>
      <c r="H57" s="162"/>
      <c r="I57" s="162"/>
      <c r="J57" s="162"/>
    </row>
  </sheetData>
  <mergeCells count="50">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 ref="G47:I47"/>
    <mergeCell ref="G20:I20"/>
    <mergeCell ref="D12:E12"/>
    <mergeCell ref="D14:E14"/>
    <mergeCell ref="G27:I27"/>
    <mergeCell ref="G28:I28"/>
    <mergeCell ref="G26:I26"/>
    <mergeCell ref="C17:F17"/>
    <mergeCell ref="G37:I37"/>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C2:F2"/>
    <mergeCell ref="B19:J19"/>
    <mergeCell ref="B10:C10"/>
    <mergeCell ref="E10:G10"/>
    <mergeCell ref="C7:F8"/>
    <mergeCell ref="H7:H8"/>
    <mergeCell ref="E5:H6"/>
    <mergeCell ref="E3:H3"/>
    <mergeCell ref="E4:H4"/>
  </mergeCells>
  <printOptions horizontalCentered="1" verticalCentered="1"/>
  <pageMargins left="0.39370078740157483" right="0.39370078740157483" top="0.39370078740157483" bottom="0.39370078740157483" header="0.15748031496062992" footer="0.15748031496062992"/>
  <pageSetup scale="37"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O57"/>
  <sheetViews>
    <sheetView topLeftCell="A13" zoomScale="115" zoomScaleNormal="115" zoomScalePageLayoutView="115" workbookViewId="0">
      <selection activeCell="C14" sqref="C14"/>
    </sheetView>
  </sheetViews>
  <sheetFormatPr baseColWidth="10" defaultColWidth="8.83203125" defaultRowHeight="12" x14ac:dyDescent="0"/>
  <cols>
    <col min="1" max="1" width="1.83203125" customWidth="1"/>
    <col min="2" max="2" width="12.83203125" customWidth="1"/>
    <col min="3" max="4" width="15.83203125" customWidth="1"/>
    <col min="5" max="5" width="25.83203125" customWidth="1"/>
    <col min="6" max="6" width="40.83203125" customWidth="1"/>
    <col min="7" max="7" width="12.83203125" customWidth="1"/>
    <col min="8" max="8" width="25.83203125" customWidth="1"/>
    <col min="9" max="9" width="30.83203125" customWidth="1"/>
    <col min="10" max="10" width="25.83203125" customWidth="1"/>
    <col min="11" max="11" width="1.83203125" customWidth="1"/>
    <col min="12" max="12" width="8.83203125" customWidth="1"/>
  </cols>
  <sheetData>
    <row r="1" spans="2:15">
      <c r="K1" s="83"/>
      <c r="L1" s="83"/>
      <c r="M1" s="83"/>
    </row>
    <row r="2" spans="2:15" ht="17">
      <c r="C2" s="133" t="s">
        <v>33</v>
      </c>
      <c r="D2" s="133"/>
      <c r="E2" s="133"/>
      <c r="F2" s="133"/>
      <c r="G2" s="58"/>
      <c r="H2" s="58"/>
      <c r="I2" s="86" t="s">
        <v>58</v>
      </c>
      <c r="J2" s="87">
        <f>'Control Entry'!B4</f>
        <v>45727</v>
      </c>
      <c r="K2" s="58"/>
      <c r="L2" s="58"/>
    </row>
    <row r="3" spans="2:15" ht="45" customHeight="1">
      <c r="D3" s="12"/>
      <c r="E3" s="142" t="s">
        <v>29</v>
      </c>
      <c r="F3" s="142"/>
      <c r="G3" s="142"/>
      <c r="H3" s="142"/>
      <c r="I3" s="71" t="s">
        <v>60</v>
      </c>
      <c r="J3" s="79">
        <f>IF(ISBLANK(Brevet_Number),"",Brevet_Number)</f>
        <v>5504</v>
      </c>
      <c r="K3" s="39"/>
      <c r="L3" s="39"/>
    </row>
    <row r="4" spans="2:15" ht="20" customHeight="1">
      <c r="C4" s="12"/>
      <c r="E4" s="143" t="str">
        <f>IF(ISBLANK(Brevet_Length),"",Brevet_Length&amp;" km Randonnée")</f>
        <v>200 km Randonnée</v>
      </c>
      <c r="F4" s="143"/>
      <c r="G4" s="143"/>
      <c r="H4" s="143"/>
      <c r="K4" s="53"/>
      <c r="L4" s="53"/>
    </row>
    <row r="5" spans="2:15" ht="20" customHeight="1">
      <c r="D5" s="54"/>
      <c r="E5" s="141" t="str">
        <f>IF(ISBLANK(Brevet_Description),"",Brevet_Description)</f>
        <v>Early Bird 200</v>
      </c>
      <c r="F5" s="141"/>
      <c r="G5" s="141"/>
      <c r="H5" s="141"/>
      <c r="I5" s="82"/>
      <c r="J5" s="54"/>
      <c r="K5" s="54"/>
      <c r="L5" s="54"/>
    </row>
    <row r="6" spans="2:15" ht="18">
      <c r="D6" s="72"/>
      <c r="E6" s="141"/>
      <c r="F6" s="141"/>
      <c r="G6" s="141"/>
      <c r="H6" s="141"/>
      <c r="I6" s="82"/>
      <c r="J6" s="72"/>
      <c r="K6" s="54"/>
      <c r="L6" s="54"/>
    </row>
    <row r="7" spans="2:15" ht="25" customHeight="1">
      <c r="C7" s="137"/>
      <c r="D7" s="137"/>
      <c r="E7" s="137"/>
      <c r="F7" s="137"/>
      <c r="H7" s="139"/>
    </row>
    <row r="8" spans="2:15" ht="19" thickBot="1">
      <c r="B8" s="111" t="s">
        <v>61</v>
      </c>
      <c r="C8" s="138"/>
      <c r="D8" s="138"/>
      <c r="E8" s="138"/>
      <c r="F8" s="138"/>
      <c r="G8" s="20" t="s">
        <v>31</v>
      </c>
      <c r="H8" s="140"/>
      <c r="I8" s="56"/>
      <c r="J8" s="56"/>
      <c r="K8" s="56"/>
      <c r="L8" s="19"/>
    </row>
    <row r="9" spans="2:15" ht="22" customHeight="1">
      <c r="B9" s="73"/>
      <c r="C9" s="73"/>
      <c r="D9" s="73"/>
      <c r="E9" s="73"/>
      <c r="F9" s="74"/>
      <c r="G9" s="75"/>
      <c r="H9" s="75"/>
      <c r="I9" s="75"/>
      <c r="J9" s="74"/>
    </row>
    <row r="10" spans="2:15" ht="20" customHeight="1">
      <c r="B10" s="135" t="s">
        <v>34</v>
      </c>
      <c r="C10" s="135"/>
      <c r="D10" s="67" t="s">
        <v>35</v>
      </c>
      <c r="E10" s="136" t="s">
        <v>57</v>
      </c>
      <c r="F10" s="136"/>
      <c r="G10" s="136"/>
      <c r="H10" s="110"/>
      <c r="I10" s="62"/>
      <c r="J10" s="62"/>
      <c r="K10" s="22"/>
      <c r="L10" s="144"/>
      <c r="M10" s="144"/>
      <c r="N10" s="144"/>
      <c r="O10" s="144"/>
    </row>
    <row r="11" spans="2:15" ht="21">
      <c r="B11" s="61"/>
      <c r="C11" s="61" t="s">
        <v>73</v>
      </c>
      <c r="D11" s="61"/>
      <c r="E11" s="61"/>
      <c r="F11" s="57"/>
      <c r="G11" s="63"/>
      <c r="H11" s="63"/>
      <c r="I11" s="63"/>
      <c r="J11" s="57"/>
    </row>
    <row r="12" spans="2:15" ht="20" thickBot="1">
      <c r="D12" s="158" t="s">
        <v>19</v>
      </c>
      <c r="E12" s="158"/>
      <c r="F12" s="77">
        <f>IF(ISBLANK('Control Entry'!B12),"",'Control Entry'!B12)</f>
        <v>45738</v>
      </c>
      <c r="G12" s="81"/>
      <c r="H12" s="68" t="s">
        <v>63</v>
      </c>
      <c r="I12" s="76">
        <f>IF(ISBLANK('Control Entry'!B13),"",'Control Entry'!B13)</f>
        <v>0.29166666666666669</v>
      </c>
      <c r="J12" s="26"/>
    </row>
    <row r="13" spans="2:15" ht="19">
      <c r="D13" s="25"/>
      <c r="E13" s="25"/>
      <c r="F13" s="24"/>
      <c r="G13" s="24"/>
      <c r="H13" s="24"/>
      <c r="J13" s="19"/>
      <c r="K13" s="14"/>
      <c r="L13" s="26"/>
      <c r="M13" s="26"/>
      <c r="N13" s="26"/>
      <c r="O13" s="19"/>
    </row>
    <row r="14" spans="2:15" ht="20" thickBot="1">
      <c r="D14" s="159" t="s">
        <v>62</v>
      </c>
      <c r="E14" s="159"/>
      <c r="F14" s="77"/>
      <c r="G14" s="81"/>
      <c r="H14" s="68" t="s">
        <v>64</v>
      </c>
      <c r="I14" s="76"/>
      <c r="J14" s="26"/>
      <c r="K14" s="13"/>
      <c r="L14" s="70"/>
      <c r="M14" s="70"/>
      <c r="N14" s="70"/>
    </row>
    <row r="15" spans="2:15" ht="18">
      <c r="B15" s="37"/>
      <c r="C15" s="37"/>
      <c r="D15" s="24"/>
      <c r="E15" s="24"/>
      <c r="H15" s="24"/>
      <c r="I15" s="14"/>
      <c r="J15" s="14"/>
      <c r="K15" s="14"/>
      <c r="L15" s="14"/>
      <c r="M15" s="14"/>
      <c r="N15" s="14"/>
      <c r="O15" s="19"/>
    </row>
    <row r="16" spans="2:15" ht="20" thickBot="1">
      <c r="C16" s="69"/>
      <c r="D16" s="69"/>
      <c r="E16" s="69"/>
      <c r="F16" s="69"/>
      <c r="H16" s="20" t="s">
        <v>65</v>
      </c>
      <c r="I16" s="76"/>
      <c r="J16" s="26"/>
      <c r="K16" s="13"/>
      <c r="L16" s="70"/>
      <c r="M16" s="70"/>
      <c r="N16" s="70"/>
    </row>
    <row r="17" spans="2:15" ht="18">
      <c r="C17" s="160" t="s">
        <v>14</v>
      </c>
      <c r="D17" s="160"/>
      <c r="E17" s="160"/>
      <c r="F17" s="160"/>
      <c r="G17" s="22"/>
      <c r="H17" s="22"/>
      <c r="I17" s="154"/>
      <c r="J17" s="154"/>
      <c r="K17" s="22"/>
      <c r="L17" s="144"/>
      <c r="M17" s="144"/>
      <c r="N17" s="144"/>
      <c r="O17" s="144"/>
    </row>
    <row r="18" spans="2:15" ht="6" customHeight="1" thickBot="1">
      <c r="B18" s="64"/>
      <c r="C18" s="64"/>
      <c r="D18" s="64"/>
      <c r="E18" s="64"/>
      <c r="F18" s="65"/>
      <c r="G18" s="66"/>
      <c r="H18" s="66"/>
      <c r="I18" s="66"/>
      <c r="J18" s="65"/>
    </row>
    <row r="19" spans="2:15" ht="20" thickTop="1" thickBot="1">
      <c r="B19" s="134" t="s">
        <v>50</v>
      </c>
      <c r="C19" s="134"/>
      <c r="D19" s="134"/>
      <c r="E19" s="134"/>
      <c r="F19" s="134"/>
      <c r="G19" s="134"/>
      <c r="H19" s="134"/>
      <c r="I19" s="134"/>
      <c r="J19" s="134"/>
    </row>
    <row r="20" spans="2:15" ht="18" thickBot="1">
      <c r="B20" s="52" t="s">
        <v>26</v>
      </c>
      <c r="C20" s="8" t="s">
        <v>0</v>
      </c>
      <c r="D20" s="8" t="s">
        <v>1</v>
      </c>
      <c r="E20" s="8" t="s">
        <v>22</v>
      </c>
      <c r="F20" s="8" t="s">
        <v>27</v>
      </c>
      <c r="G20" s="155" t="s">
        <v>36</v>
      </c>
      <c r="H20" s="156"/>
      <c r="I20" s="157"/>
      <c r="J20" s="52" t="s">
        <v>28</v>
      </c>
    </row>
    <row r="21" spans="2:15" ht="40" customHeight="1">
      <c r="B21" s="96"/>
      <c r="C21" s="108" t="str">
        <f>'Control Entry'!N$28</f>
        <v/>
      </c>
      <c r="D21" s="108" t="str">
        <f>'Control Entry'!O$28</f>
        <v/>
      </c>
      <c r="E21" s="97"/>
      <c r="F21" s="98" t="str">
        <f>IF(ISBLANK('Control Entry'!F$28),"",'Control Entry'!F$28)</f>
        <v/>
      </c>
      <c r="G21" s="148" t="str">
        <f>IF(ISBLANK('Control Entry'!I$28),"",'Control Entry'!I$28)</f>
        <v/>
      </c>
      <c r="H21" s="149"/>
      <c r="I21" s="150"/>
      <c r="J21" s="99"/>
    </row>
    <row r="22" spans="2:15" ht="40" customHeight="1">
      <c r="B22" s="100" t="str">
        <f>IF(ISBLANK('Control Entry'!D$28),"",'Control Entry'!D$28)</f>
        <v/>
      </c>
      <c r="C22" s="101" t="str">
        <f>'Control Entry'!N$28</f>
        <v/>
      </c>
      <c r="D22" s="101" t="str">
        <f>'Control Entry'!O$28</f>
        <v/>
      </c>
      <c r="E22" s="98" t="str">
        <f>IF(ISBLANK('Control Entry'!E$28),"",'Control Entry'!E$28)</f>
        <v/>
      </c>
      <c r="F22" s="98" t="str">
        <f>IF(ISBLANK('Control Entry'!G$28),"",'Control Entry'!G$28)</f>
        <v/>
      </c>
      <c r="G22" s="151" t="str">
        <f>IF(ISBLANK('Control Entry'!J$28),"",'Control Entry'!J$28)</f>
        <v/>
      </c>
      <c r="H22" s="152"/>
      <c r="I22" s="153"/>
      <c r="J22" s="102"/>
    </row>
    <row r="23" spans="2:15" ht="40" customHeight="1" thickBot="1">
      <c r="B23" s="103"/>
      <c r="C23" s="109" t="str">
        <f>'Control Entry'!N$28</f>
        <v/>
      </c>
      <c r="D23" s="109" t="str">
        <f>'Control Entry'!O$28</f>
        <v/>
      </c>
      <c r="E23" s="104"/>
      <c r="F23" s="105" t="str">
        <f>IF(ISBLANK('Control Entry'!H$28),"",'Control Entry'!H$28)</f>
        <v/>
      </c>
      <c r="G23" s="145" t="str">
        <f>IF(ISBLANK('Control Entry'!K$28),"",'Control Entry'!K$28)</f>
        <v/>
      </c>
      <c r="H23" s="146"/>
      <c r="I23" s="147"/>
      <c r="J23" s="106"/>
    </row>
    <row r="24" spans="2:15" ht="40" customHeight="1">
      <c r="B24" s="96"/>
      <c r="C24" s="108" t="str">
        <f>'Control Entry'!N$29</f>
        <v/>
      </c>
      <c r="D24" s="108" t="str">
        <f>'Control Entry'!O$29</f>
        <v/>
      </c>
      <c r="E24" s="97"/>
      <c r="F24" s="98" t="str">
        <f>IF(ISBLANK('Control Entry'!F$29),"",'Control Entry'!F$29)</f>
        <v/>
      </c>
      <c r="G24" s="148" t="str">
        <f>IF(ISBLANK('Control Entry'!I$29),"",'Control Entry'!I$29)</f>
        <v/>
      </c>
      <c r="H24" s="149"/>
      <c r="I24" s="150"/>
      <c r="J24" s="99"/>
    </row>
    <row r="25" spans="2:15" ht="40" customHeight="1">
      <c r="B25" s="100" t="str">
        <f>IF(ISBLANK('Control Entry'!D$29),"",'Control Entry'!D$29)</f>
        <v/>
      </c>
      <c r="C25" s="101" t="str">
        <f>'Control Entry'!N$29</f>
        <v/>
      </c>
      <c r="D25" s="101" t="str">
        <f>'Control Entry'!O$29</f>
        <v/>
      </c>
      <c r="E25" s="98" t="str">
        <f>IF(ISBLANK('Control Entry'!E$29),"",'Control Entry'!E$29)</f>
        <v/>
      </c>
      <c r="F25" s="98" t="str">
        <f>IF(ISBLANK('Control Entry'!G$29),"",'Control Entry'!G$29)</f>
        <v/>
      </c>
      <c r="G25" s="151" t="str">
        <f>IF(ISBLANK('Control Entry'!J$29),"",'Control Entry'!J$29)</f>
        <v/>
      </c>
      <c r="H25" s="152"/>
      <c r="I25" s="153"/>
      <c r="J25" s="102"/>
    </row>
    <row r="26" spans="2:15" ht="40" customHeight="1" thickBot="1">
      <c r="B26" s="103"/>
      <c r="C26" s="109" t="str">
        <f>'Control Entry'!N$29</f>
        <v/>
      </c>
      <c r="D26" s="109" t="str">
        <f>'Control Entry'!O$29</f>
        <v/>
      </c>
      <c r="E26" s="104"/>
      <c r="F26" s="105" t="str">
        <f>IF(ISBLANK('Control Entry'!H$29),"",'Control Entry'!H$29)</f>
        <v/>
      </c>
      <c r="G26" s="145" t="str">
        <f>IF(ISBLANK('Control Entry'!K$29),"",'Control Entry'!K$29)</f>
        <v/>
      </c>
      <c r="H26" s="146"/>
      <c r="I26" s="147"/>
      <c r="J26" s="106"/>
    </row>
    <row r="27" spans="2:15" ht="40" customHeight="1">
      <c r="B27" s="96"/>
      <c r="C27" s="108" t="str">
        <f>'Control Entry'!N$30</f>
        <v/>
      </c>
      <c r="D27" s="108" t="str">
        <f>'Control Entry'!O$30</f>
        <v/>
      </c>
      <c r="E27" s="97"/>
      <c r="F27" s="98" t="str">
        <f>IF(ISBLANK('Control Entry'!F$30),"",'Control Entry'!F$30)</f>
        <v/>
      </c>
      <c r="G27" s="148" t="str">
        <f>IF(ISBLANK('Control Entry'!I$30),"",'Control Entry'!I$30)</f>
        <v/>
      </c>
      <c r="H27" s="149"/>
      <c r="I27" s="150"/>
      <c r="J27" s="99"/>
    </row>
    <row r="28" spans="2:15" ht="40" customHeight="1">
      <c r="B28" s="100" t="str">
        <f>IF(ISBLANK('Control Entry'!D$30),"",'Control Entry'!D$30)</f>
        <v/>
      </c>
      <c r="C28" s="101" t="str">
        <f>'Control Entry'!N$30</f>
        <v/>
      </c>
      <c r="D28" s="101" t="str">
        <f>'Control Entry'!O$30</f>
        <v/>
      </c>
      <c r="E28" s="98" t="str">
        <f>IF(ISBLANK('Control Entry'!E$30),"",'Control Entry'!E$30)</f>
        <v/>
      </c>
      <c r="F28" s="98" t="str">
        <f>IF(ISBLANK('Control Entry'!G$30),"",'Control Entry'!G$30)</f>
        <v/>
      </c>
      <c r="G28" s="151" t="str">
        <f>IF(ISBLANK('Control Entry'!J$30),"",'Control Entry'!J$30)</f>
        <v/>
      </c>
      <c r="H28" s="152"/>
      <c r="I28" s="153"/>
      <c r="J28" s="102"/>
    </row>
    <row r="29" spans="2:15" ht="40" customHeight="1" thickBot="1">
      <c r="B29" s="103"/>
      <c r="C29" s="109" t="str">
        <f>'Control Entry'!N$30</f>
        <v/>
      </c>
      <c r="D29" s="109" t="str">
        <f>'Control Entry'!O$30</f>
        <v/>
      </c>
      <c r="E29" s="104"/>
      <c r="F29" s="105" t="str">
        <f>IF(ISBLANK('Control Entry'!H$30),"",'Control Entry'!H$30)</f>
        <v/>
      </c>
      <c r="G29" s="145" t="str">
        <f>IF(ISBLANK('Control Entry'!K$30),"",'Control Entry'!K$30)</f>
        <v/>
      </c>
      <c r="H29" s="146"/>
      <c r="I29" s="147"/>
      <c r="J29" s="106"/>
    </row>
    <row r="30" spans="2:15" ht="40" customHeight="1">
      <c r="B30" s="96"/>
      <c r="C30" s="108" t="str">
        <f>'Control Entry'!N$31</f>
        <v/>
      </c>
      <c r="D30" s="108" t="str">
        <f>'Control Entry'!O$31</f>
        <v/>
      </c>
      <c r="E30" s="97"/>
      <c r="F30" s="98" t="str">
        <f>IF(ISBLANK('Control Entry'!F$31),"",'Control Entry'!F$31)</f>
        <v/>
      </c>
      <c r="G30" s="148" t="str">
        <f>IF(ISBLANK('Control Entry'!I$31),"",'Control Entry'!I$31)</f>
        <v/>
      </c>
      <c r="H30" s="149"/>
      <c r="I30" s="150"/>
      <c r="J30" s="99"/>
    </row>
    <row r="31" spans="2:15" ht="40" customHeight="1">
      <c r="B31" s="100" t="str">
        <f>IF(ISBLANK('Control Entry'!D$31),"",'Control Entry'!D$31)</f>
        <v/>
      </c>
      <c r="C31" s="101" t="str">
        <f>'Control Entry'!N$31</f>
        <v/>
      </c>
      <c r="D31" s="101" t="str">
        <f>'Control Entry'!O$31</f>
        <v/>
      </c>
      <c r="E31" s="98" t="str">
        <f>IF(ISBLANK('Control Entry'!E$31),"",'Control Entry'!E$31)</f>
        <v/>
      </c>
      <c r="F31" s="98" t="str">
        <f>IF(ISBLANK('Control Entry'!G$31),"",'Control Entry'!G$31)</f>
        <v/>
      </c>
      <c r="G31" s="151" t="str">
        <f>IF(ISBLANK('Control Entry'!J$31),"",'Control Entry'!J$31)</f>
        <v/>
      </c>
      <c r="H31" s="152"/>
      <c r="I31" s="153"/>
      <c r="J31" s="102"/>
    </row>
    <row r="32" spans="2:15" ht="40" customHeight="1" thickBot="1">
      <c r="B32" s="103"/>
      <c r="C32" s="109" t="str">
        <f>'Control Entry'!N$31</f>
        <v/>
      </c>
      <c r="D32" s="109" t="str">
        <f>'Control Entry'!O$31</f>
        <v/>
      </c>
      <c r="E32" s="104"/>
      <c r="F32" s="105" t="str">
        <f>IF(ISBLANK('Control Entry'!H$31),"",'Control Entry'!H$31)</f>
        <v/>
      </c>
      <c r="G32" s="145" t="str">
        <f>IF(ISBLANK('Control Entry'!K$31),"",'Control Entry'!K$31)</f>
        <v/>
      </c>
      <c r="H32" s="146"/>
      <c r="I32" s="147"/>
      <c r="J32" s="106"/>
    </row>
    <row r="33" spans="2:10" ht="40" customHeight="1">
      <c r="B33" s="96"/>
      <c r="C33" s="108" t="str">
        <f>'Control Entry'!N$32</f>
        <v/>
      </c>
      <c r="D33" s="108" t="str">
        <f>'Control Entry'!O$32</f>
        <v/>
      </c>
      <c r="E33" s="97"/>
      <c r="F33" s="98" t="str">
        <f>IF(ISBLANK('Control Entry'!F$32),"",'Control Entry'!F$32)</f>
        <v/>
      </c>
      <c r="G33" s="148" t="str">
        <f>IF(ISBLANK('Control Entry'!I$32),"",'Control Entry'!I$32)</f>
        <v/>
      </c>
      <c r="H33" s="149"/>
      <c r="I33" s="150"/>
      <c r="J33" s="99"/>
    </row>
    <row r="34" spans="2:10" ht="40" customHeight="1">
      <c r="B34" s="100" t="str">
        <f>IF(ISBLANK('Control Entry'!D$32),"",'Control Entry'!D$32)</f>
        <v/>
      </c>
      <c r="C34" s="101" t="str">
        <f>'Control Entry'!N$32</f>
        <v/>
      </c>
      <c r="D34" s="101" t="str">
        <f>'Control Entry'!O$32</f>
        <v/>
      </c>
      <c r="E34" s="98" t="str">
        <f>IF(ISBLANK('Control Entry'!E$32),"",'Control Entry'!E$32)</f>
        <v/>
      </c>
      <c r="F34" s="98" t="str">
        <f>IF(ISBLANK('Control Entry'!G$32),"",'Control Entry'!G$32)</f>
        <v/>
      </c>
      <c r="G34" s="151" t="str">
        <f>IF(ISBLANK('Control Entry'!J$32),"",'Control Entry'!J$32)</f>
        <v/>
      </c>
      <c r="H34" s="152"/>
      <c r="I34" s="153"/>
      <c r="J34" s="102"/>
    </row>
    <row r="35" spans="2:10" ht="40" customHeight="1" thickBot="1">
      <c r="B35" s="103"/>
      <c r="C35" s="109" t="str">
        <f>'Control Entry'!N$32</f>
        <v/>
      </c>
      <c r="D35" s="109" t="str">
        <f>'Control Entry'!O$32</f>
        <v/>
      </c>
      <c r="E35" s="104"/>
      <c r="F35" s="105" t="str">
        <f>IF(ISBLANK('Control Entry'!H$32),"",'Control Entry'!H$32)</f>
        <v/>
      </c>
      <c r="G35" s="145" t="str">
        <f>IF(ISBLANK('Control Entry'!K$32),"",'Control Entry'!K$32)</f>
        <v/>
      </c>
      <c r="H35" s="146"/>
      <c r="I35" s="147"/>
      <c r="J35" s="106"/>
    </row>
    <row r="36" spans="2:10" ht="40" customHeight="1">
      <c r="B36" s="96"/>
      <c r="C36" s="108" t="str">
        <f>'Control Entry'!N$33</f>
        <v/>
      </c>
      <c r="D36" s="108" t="str">
        <f>'Control Entry'!O$33</f>
        <v/>
      </c>
      <c r="E36" s="97"/>
      <c r="F36" s="98" t="str">
        <f>IF(ISBLANK('Control Entry'!F$33),"",'Control Entry'!F$33)</f>
        <v/>
      </c>
      <c r="G36" s="148" t="str">
        <f>IF(ISBLANK('Control Entry'!I$33),"",'Control Entry'!I$33)</f>
        <v/>
      </c>
      <c r="H36" s="149"/>
      <c r="I36" s="150"/>
      <c r="J36" s="99"/>
    </row>
    <row r="37" spans="2:10" ht="40" customHeight="1">
      <c r="B37" s="100" t="str">
        <f>IF(ISBLANK('Control Entry'!D$33),"",'Control Entry'!D$33)</f>
        <v/>
      </c>
      <c r="C37" s="101" t="str">
        <f>'Control Entry'!N$33</f>
        <v/>
      </c>
      <c r="D37" s="101" t="str">
        <f>'Control Entry'!O$33</f>
        <v/>
      </c>
      <c r="E37" s="98" t="str">
        <f>IF(ISBLANK('Control Entry'!E$33),"",'Control Entry'!E$33)</f>
        <v/>
      </c>
      <c r="F37" s="98" t="str">
        <f>IF(ISBLANK('Control Entry'!G$33),"",'Control Entry'!G$33)</f>
        <v/>
      </c>
      <c r="G37" s="151" t="str">
        <f>IF(ISBLANK('Control Entry'!J$33),"",'Control Entry'!J$33)</f>
        <v/>
      </c>
      <c r="H37" s="152"/>
      <c r="I37" s="153"/>
      <c r="J37" s="102"/>
    </row>
    <row r="38" spans="2:10" ht="40" customHeight="1" thickBot="1">
      <c r="B38" s="103"/>
      <c r="C38" s="109" t="str">
        <f>'Control Entry'!N$33</f>
        <v/>
      </c>
      <c r="D38" s="109" t="str">
        <f>'Control Entry'!O$33</f>
        <v/>
      </c>
      <c r="E38" s="104"/>
      <c r="F38" s="105" t="str">
        <f>IF(ISBLANK('Control Entry'!H$33),"",'Control Entry'!H$33)</f>
        <v/>
      </c>
      <c r="G38" s="145" t="str">
        <f>IF(ISBLANK('Control Entry'!K$33),"",'Control Entry'!K$33)</f>
        <v/>
      </c>
      <c r="H38" s="146"/>
      <c r="I38" s="147"/>
      <c r="J38" s="106"/>
    </row>
    <row r="39" spans="2:10" ht="40" customHeight="1">
      <c r="B39" s="96"/>
      <c r="C39" s="108" t="str">
        <f>'Control Entry'!N$34</f>
        <v/>
      </c>
      <c r="D39" s="108" t="str">
        <f>'Control Entry'!O$34</f>
        <v/>
      </c>
      <c r="E39" s="97"/>
      <c r="F39" s="98" t="str">
        <f>IF(ISBLANK('Control Entry'!F$34),"",'Control Entry'!F$34)</f>
        <v/>
      </c>
      <c r="G39" s="148" t="str">
        <f>IF(ISBLANK('Control Entry'!I$34),"",'Control Entry'!I$34)</f>
        <v/>
      </c>
      <c r="H39" s="149"/>
      <c r="I39" s="150"/>
      <c r="J39" s="99"/>
    </row>
    <row r="40" spans="2:10" ht="40" customHeight="1">
      <c r="B40" s="100" t="str">
        <f>IF(ISBLANK('Control Entry'!D$34),"",'Control Entry'!D$34)</f>
        <v/>
      </c>
      <c r="C40" s="101" t="str">
        <f>'Control Entry'!N$34</f>
        <v/>
      </c>
      <c r="D40" s="101" t="str">
        <f>'Control Entry'!O$34</f>
        <v/>
      </c>
      <c r="E40" s="98" t="str">
        <f>IF(ISBLANK('Control Entry'!E$34),"",'Control Entry'!E$34)</f>
        <v/>
      </c>
      <c r="F40" s="98" t="str">
        <f>IF(ISBLANK('Control Entry'!G$34),"",'Control Entry'!G$34)</f>
        <v/>
      </c>
      <c r="G40" s="151" t="str">
        <f>IF(ISBLANK('Control Entry'!J$34),"",'Control Entry'!J$34)</f>
        <v/>
      </c>
      <c r="H40" s="152"/>
      <c r="I40" s="153"/>
      <c r="J40" s="102"/>
    </row>
    <row r="41" spans="2:10" ht="40" customHeight="1" thickBot="1">
      <c r="B41" s="103"/>
      <c r="C41" s="109" t="str">
        <f>'Control Entry'!N$34</f>
        <v/>
      </c>
      <c r="D41" s="109" t="str">
        <f>'Control Entry'!O$34</f>
        <v/>
      </c>
      <c r="E41" s="104"/>
      <c r="F41" s="105" t="str">
        <f>IF(ISBLANK('Control Entry'!H$34),"",'Control Entry'!H$34)</f>
        <v/>
      </c>
      <c r="G41" s="145" t="str">
        <f>IF(ISBLANK('Control Entry'!K$34),"",'Control Entry'!K$34)</f>
        <v/>
      </c>
      <c r="H41" s="146"/>
      <c r="I41" s="147"/>
      <c r="J41" s="106"/>
    </row>
    <row r="42" spans="2:10" ht="40" customHeight="1">
      <c r="B42" s="96"/>
      <c r="C42" s="108" t="str">
        <f>'Control Entry'!N$35</f>
        <v/>
      </c>
      <c r="D42" s="108" t="str">
        <f>'Control Entry'!O$35</f>
        <v/>
      </c>
      <c r="E42" s="97"/>
      <c r="F42" s="98" t="str">
        <f>IF(ISBLANK('Control Entry'!F$35),"",'Control Entry'!F$35)</f>
        <v/>
      </c>
      <c r="G42" s="148" t="str">
        <f>IF(ISBLANK('Control Entry'!I$35),"",'Control Entry'!I$35)</f>
        <v/>
      </c>
      <c r="H42" s="149"/>
      <c r="I42" s="150"/>
      <c r="J42" s="99"/>
    </row>
    <row r="43" spans="2:10" ht="40" customHeight="1">
      <c r="B43" s="100" t="str">
        <f>IF(ISBLANK('Control Entry'!D$35),"",'Control Entry'!D$35)</f>
        <v/>
      </c>
      <c r="C43" s="101" t="str">
        <f>'Control Entry'!N$35</f>
        <v/>
      </c>
      <c r="D43" s="101" t="str">
        <f>'Control Entry'!O$35</f>
        <v/>
      </c>
      <c r="E43" s="98" t="str">
        <f>IF(ISBLANK('Control Entry'!E$35),"",'Control Entry'!E$35)</f>
        <v/>
      </c>
      <c r="F43" s="98" t="str">
        <f>IF(ISBLANK('Control Entry'!G$35),"",'Control Entry'!G$35)</f>
        <v/>
      </c>
      <c r="G43" s="151" t="str">
        <f>IF(ISBLANK('Control Entry'!J$35),"",'Control Entry'!J$35)</f>
        <v/>
      </c>
      <c r="H43" s="152"/>
      <c r="I43" s="153"/>
      <c r="J43" s="102"/>
    </row>
    <row r="44" spans="2:10" ht="40" customHeight="1" thickBot="1">
      <c r="B44" s="103"/>
      <c r="C44" s="109" t="str">
        <f>'Control Entry'!N$35</f>
        <v/>
      </c>
      <c r="D44" s="109" t="str">
        <f>'Control Entry'!O$35</f>
        <v/>
      </c>
      <c r="E44" s="104"/>
      <c r="F44" s="105" t="str">
        <f>IF(ISBLANK('Control Entry'!H$35),"",'Control Entry'!H$35)</f>
        <v/>
      </c>
      <c r="G44" s="145" t="str">
        <f>IF(ISBLANK('Control Entry'!K$35),"",'Control Entry'!K$35)</f>
        <v/>
      </c>
      <c r="H44" s="146"/>
      <c r="I44" s="147"/>
      <c r="J44" s="106"/>
    </row>
    <row r="45" spans="2:10" ht="40" customHeight="1">
      <c r="B45" s="96"/>
      <c r="C45" s="108" t="str">
        <f>'Control Entry'!N$36</f>
        <v/>
      </c>
      <c r="D45" s="108" t="str">
        <f>'Control Entry'!O$36</f>
        <v/>
      </c>
      <c r="E45" s="97"/>
      <c r="F45" s="98" t="str">
        <f>IF(ISBLANK('Control Entry'!F$36),"",'Control Entry'!F$36)</f>
        <v/>
      </c>
      <c r="G45" s="148" t="str">
        <f>IF(ISBLANK('Control Entry'!I$36),"",'Control Entry'!I$36)</f>
        <v/>
      </c>
      <c r="H45" s="149"/>
      <c r="I45" s="150"/>
      <c r="J45" s="99"/>
    </row>
    <row r="46" spans="2:10" ht="40" customHeight="1">
      <c r="B46" s="100" t="str">
        <f>IF(ISBLANK('Control Entry'!D$36),"",'Control Entry'!D$36)</f>
        <v/>
      </c>
      <c r="C46" s="101" t="str">
        <f>'Control Entry'!N$36</f>
        <v/>
      </c>
      <c r="D46" s="101" t="str">
        <f>'Control Entry'!O$36</f>
        <v/>
      </c>
      <c r="E46" s="98" t="str">
        <f>IF(ISBLANK('Control Entry'!E$36),"",'Control Entry'!E$36)</f>
        <v/>
      </c>
      <c r="F46" s="98" t="str">
        <f>IF(ISBLANK('Control Entry'!G$36),"",'Control Entry'!G$36)</f>
        <v/>
      </c>
      <c r="G46" s="151" t="str">
        <f>IF(ISBLANK('Control Entry'!J$36),"",'Control Entry'!J$36)</f>
        <v/>
      </c>
      <c r="H46" s="152"/>
      <c r="I46" s="153"/>
      <c r="J46" s="102"/>
    </row>
    <row r="47" spans="2:10" ht="40" customHeight="1" thickBot="1">
      <c r="B47" s="103"/>
      <c r="C47" s="109" t="str">
        <f>'Control Entry'!N$36</f>
        <v/>
      </c>
      <c r="D47" s="109" t="str">
        <f>'Control Entry'!O$36</f>
        <v/>
      </c>
      <c r="E47" s="104"/>
      <c r="F47" s="105" t="str">
        <f>IF(ISBLANK('Control Entry'!H$36),"",'Control Entry'!H$36)</f>
        <v/>
      </c>
      <c r="G47" s="145" t="str">
        <f>IF(ISBLANK('Control Entry'!K$36),"",'Control Entry'!K$36)</f>
        <v/>
      </c>
      <c r="H47" s="146"/>
      <c r="I47" s="147"/>
      <c r="J47" s="106"/>
    </row>
    <row r="48" spans="2:10" ht="40" customHeight="1">
      <c r="B48" s="96"/>
      <c r="C48" s="108" t="str">
        <f>'Control Entry'!N$37</f>
        <v/>
      </c>
      <c r="D48" s="108" t="str">
        <f>'Control Entry'!O$37</f>
        <v/>
      </c>
      <c r="E48" s="97"/>
      <c r="F48" s="98" t="str">
        <f>IF(ISBLANK('Control Entry'!F$37),"",'Control Entry'!F$37)</f>
        <v/>
      </c>
      <c r="G48" s="148" t="str">
        <f>IF(ISBLANK('Control Entry'!I$37),"",'Control Entry'!I$37)</f>
        <v/>
      </c>
      <c r="H48" s="149"/>
      <c r="I48" s="150"/>
      <c r="J48" s="99"/>
    </row>
    <row r="49" spans="2:11" ht="40" customHeight="1">
      <c r="B49" s="100" t="str">
        <f>IF(ISBLANK('Control Entry'!D$37),"",'Control Entry'!D$37)</f>
        <v/>
      </c>
      <c r="C49" s="101" t="str">
        <f>'Control Entry'!N$37</f>
        <v/>
      </c>
      <c r="D49" s="101" t="str">
        <f>'Control Entry'!O$37</f>
        <v/>
      </c>
      <c r="E49" s="98" t="str">
        <f>IF(ISBLANK('Control Entry'!E$37),"",'Control Entry'!E$37)</f>
        <v/>
      </c>
      <c r="F49" s="98" t="str">
        <f>IF(ISBLANK('Control Entry'!G$37),"",'Control Entry'!G$37)</f>
        <v/>
      </c>
      <c r="G49" s="151" t="str">
        <f>IF(ISBLANK('Control Entry'!J$37),"",'Control Entry'!J$37)</f>
        <v/>
      </c>
      <c r="H49" s="152"/>
      <c r="I49" s="153"/>
      <c r="J49" s="102"/>
    </row>
    <row r="50" spans="2:11" ht="40" customHeight="1" thickBot="1">
      <c r="B50" s="103"/>
      <c r="C50" s="109" t="str">
        <f>'Control Entry'!N$37</f>
        <v/>
      </c>
      <c r="D50" s="109" t="str">
        <f>'Control Entry'!O$37</f>
        <v/>
      </c>
      <c r="E50" s="104"/>
      <c r="F50" s="105" t="str">
        <f>IF(ISBLANK('Control Entry'!H$37),"",'Control Entry'!H$37)</f>
        <v/>
      </c>
      <c r="G50" s="145" t="str">
        <f>IF(ISBLANK('Control Entry'!K$37),"",'Control Entry'!K$37)</f>
        <v/>
      </c>
      <c r="H50" s="146"/>
      <c r="I50" s="147"/>
      <c r="J50" s="106"/>
    </row>
    <row r="52" spans="2:11" ht="24" customHeight="1">
      <c r="B52" s="163" t="s">
        <v>30</v>
      </c>
      <c r="C52" s="163"/>
      <c r="D52" s="163"/>
      <c r="E52" s="163"/>
      <c r="F52" s="163"/>
      <c r="I52" s="61" t="s">
        <v>56</v>
      </c>
      <c r="J52" s="89" t="str">
        <f>IF(ISBLANK('Control Entry'!F10),"",'Control Entry'!F10)</f>
        <v>604 818 6694</v>
      </c>
      <c r="K52" s="57"/>
    </row>
    <row r="54" spans="2:11">
      <c r="B54" s="84" t="s">
        <v>59</v>
      </c>
      <c r="C54" s="85">
        <f>'Control Entry'!B3</f>
        <v>45393</v>
      </c>
    </row>
    <row r="55" spans="2:11" ht="21">
      <c r="B55" s="61"/>
      <c r="C55" s="61"/>
      <c r="D55" s="61"/>
      <c r="E55" s="61"/>
      <c r="F55" s="57"/>
      <c r="G55" s="63"/>
      <c r="H55" s="63"/>
      <c r="I55" s="63"/>
      <c r="J55" s="57"/>
    </row>
    <row r="56" spans="2:11">
      <c r="E56" s="1"/>
    </row>
    <row r="57" spans="2:11">
      <c r="B57" s="59"/>
      <c r="C57" s="60"/>
      <c r="D57" s="60"/>
      <c r="E57" s="60"/>
      <c r="F57" s="161"/>
      <c r="G57" s="162"/>
      <c r="H57" s="162"/>
      <c r="I57" s="162"/>
      <c r="J57" s="162"/>
    </row>
  </sheetData>
  <mergeCells count="50">
    <mergeCell ref="C2:F2"/>
    <mergeCell ref="E3:H3"/>
    <mergeCell ref="E4:H4"/>
    <mergeCell ref="E5:H6"/>
    <mergeCell ref="C7:F8"/>
    <mergeCell ref="H7:H8"/>
    <mergeCell ref="G20:I20"/>
    <mergeCell ref="B10:C10"/>
    <mergeCell ref="E10:G10"/>
    <mergeCell ref="L10:M10"/>
    <mergeCell ref="N10:O10"/>
    <mergeCell ref="D12:E12"/>
    <mergeCell ref="D14:E14"/>
    <mergeCell ref="C17:F17"/>
    <mergeCell ref="I17:J17"/>
    <mergeCell ref="L17:M17"/>
    <mergeCell ref="N17:O17"/>
    <mergeCell ref="B19:J19"/>
    <mergeCell ref="G32:I32"/>
    <mergeCell ref="G21:I21"/>
    <mergeCell ref="G22:I22"/>
    <mergeCell ref="G23:I23"/>
    <mergeCell ref="G24:I24"/>
    <mergeCell ref="G25:I25"/>
    <mergeCell ref="G26:I26"/>
    <mergeCell ref="G27:I27"/>
    <mergeCell ref="G28:I28"/>
    <mergeCell ref="G29:I29"/>
    <mergeCell ref="G30:I30"/>
    <mergeCell ref="G31:I31"/>
    <mergeCell ref="G44:I44"/>
    <mergeCell ref="G33:I33"/>
    <mergeCell ref="G34:I34"/>
    <mergeCell ref="G35:I35"/>
    <mergeCell ref="G36:I36"/>
    <mergeCell ref="G37:I37"/>
    <mergeCell ref="G38:I38"/>
    <mergeCell ref="G39:I39"/>
    <mergeCell ref="G40:I40"/>
    <mergeCell ref="G41:I41"/>
    <mergeCell ref="G42:I42"/>
    <mergeCell ref="G43:I43"/>
    <mergeCell ref="B52:F52"/>
    <mergeCell ref="F57:J57"/>
    <mergeCell ref="G45:I45"/>
    <mergeCell ref="G46:I46"/>
    <mergeCell ref="G47:I47"/>
    <mergeCell ref="G48:I48"/>
    <mergeCell ref="G49:I49"/>
    <mergeCell ref="G50:I50"/>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Control Entry</vt:lpstr>
      <vt:lpstr>Card #1</vt:lpstr>
      <vt:lpstr>Card #2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Nigel</cp:lastModifiedBy>
  <cp:lastPrinted>2023-08-24T23:38:36Z</cp:lastPrinted>
  <dcterms:created xsi:type="dcterms:W3CDTF">1997-11-12T04:43:39Z</dcterms:created>
  <dcterms:modified xsi:type="dcterms:W3CDTF">2025-03-16T18:38:24Z</dcterms:modified>
</cp:coreProperties>
</file>