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showInkAnnotation="0" autoCompressPictures="0"/>
  <mc:AlternateContent xmlns:mc="http://schemas.openxmlformats.org/markup-compatibility/2006">
    <mc:Choice Requires="x15">
      <x15ac:absPath xmlns:x15ac="http://schemas.microsoft.com/office/spreadsheetml/2010/11/ac" url="/Users/ehossack/Sync/Cycling/Randonneur/Events/LM600-2 2023 Whidbey Whanderer/"/>
    </mc:Choice>
  </mc:AlternateContent>
  <xr:revisionPtr revIDLastSave="0" documentId="13_ncr:1_{6BC47EC4-C452-A34C-827F-6A9F3B89C11F}" xr6:coauthVersionLast="47" xr6:coauthVersionMax="47" xr10:uidLastSave="{00000000-0000-0000-0000-000000000000}"/>
  <bookViews>
    <workbookView xWindow="11820" yWindow="760" windowWidth="18420" windowHeight="17320" tabRatio="509"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C5" i="1"/>
  <c r="M20" i="1"/>
  <c r="M21" i="1"/>
  <c r="M22" i="1"/>
  <c r="B6" i="1"/>
  <c r="M23" i="1"/>
  <c r="M19" i="1"/>
  <c r="M18" i="1"/>
  <c r="M17" i="1"/>
  <c r="M16" i="1"/>
  <c r="M15" i="1"/>
  <c r="S20" i="4"/>
  <c r="L20" i="4"/>
  <c r="S20" i="3"/>
  <c r="L20" i="3"/>
  <c r="S20" i="2"/>
  <c r="L20" i="2"/>
  <c r="Q33" i="4"/>
  <c r="Q33" i="3"/>
  <c r="Q33"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c r="S3" i="3"/>
  <c r="S3" i="2"/>
  <c r="A7" i="2"/>
  <c r="F11" i="4"/>
  <c r="F10" i="4"/>
  <c r="F9" i="4"/>
  <c r="E11" i="4"/>
  <c r="E10" i="4"/>
  <c r="E9" i="4"/>
  <c r="D10" i="4"/>
  <c r="A10" i="4"/>
  <c r="F8" i="4"/>
  <c r="F7" i="4"/>
  <c r="F6" i="4"/>
  <c r="E8" i="4"/>
  <c r="E7" i="4"/>
  <c r="E6" i="4"/>
  <c r="D7" i="4"/>
  <c r="A7" i="4"/>
  <c r="F5" i="4"/>
  <c r="F4" i="4"/>
  <c r="F3" i="4"/>
  <c r="E4" i="4"/>
  <c r="E3" i="4"/>
  <c r="D4" i="4"/>
  <c r="A4" i="4"/>
  <c r="O49" i="1"/>
  <c r="L49" i="1"/>
  <c r="N49" i="1"/>
  <c r="L48" i="1"/>
  <c r="L47" i="1"/>
  <c r="L46" i="1"/>
  <c r="L45" i="1"/>
  <c r="L44" i="1"/>
  <c r="L43" i="1"/>
  <c r="L42" i="1"/>
  <c r="L41" i="1"/>
  <c r="L40" i="1"/>
  <c r="F26" i="4"/>
  <c r="F25" i="4"/>
  <c r="F24" i="4"/>
  <c r="L6" i="4"/>
  <c r="R5" i="4"/>
  <c r="P5" i="4"/>
  <c r="E5" i="4"/>
  <c r="B30" i="4"/>
  <c r="B32" i="4"/>
  <c r="B31" i="4"/>
  <c r="C31" i="4"/>
  <c r="C30" i="4"/>
  <c r="C32"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45" i="1"/>
  <c r="O44" i="1"/>
  <c r="O42" i="1"/>
  <c r="O46" i="1"/>
  <c r="O47" i="1"/>
  <c r="O48" i="1"/>
  <c r="N47" i="1"/>
  <c r="N41" i="1"/>
  <c r="N46" i="1"/>
  <c r="N42" i="1"/>
  <c r="N44" i="1"/>
  <c r="N48" i="1"/>
  <c r="N45" i="1"/>
  <c r="N43" i="1"/>
  <c r="O41" i="1"/>
  <c r="N40" i="1"/>
  <c r="O43" i="1"/>
  <c r="O40" i="1"/>
  <c r="M4" i="4"/>
  <c r="O16" i="1"/>
  <c r="M14" i="1"/>
  <c r="O14" i="1"/>
  <c r="C3" i="2"/>
  <c r="N30" i="1"/>
  <c r="B4" i="2"/>
  <c r="O18" i="1"/>
  <c r="C17" i="2"/>
  <c r="N17" i="1"/>
  <c r="B14" i="2"/>
  <c r="O22" i="1"/>
  <c r="C27" i="2"/>
  <c r="N27" i="1"/>
  <c r="N33" i="1"/>
  <c r="O17" i="1"/>
  <c r="N21" i="1"/>
  <c r="B25" i="2"/>
  <c r="O33" i="1"/>
  <c r="B3" i="2"/>
  <c r="O19" i="1"/>
  <c r="O21" i="1"/>
  <c r="C26" i="2"/>
  <c r="O32" i="1"/>
  <c r="B5" i="2"/>
  <c r="N16" i="1"/>
  <c r="B11" i="2"/>
  <c r="N20" i="1"/>
  <c r="B22" i="2"/>
  <c r="N23" i="1"/>
  <c r="B31" i="2"/>
  <c r="N34" i="1"/>
  <c r="O36" i="1"/>
  <c r="N36" i="1"/>
  <c r="O23" i="1"/>
  <c r="C31" i="2"/>
  <c r="N15" i="1"/>
  <c r="B6" i="2"/>
  <c r="N19" i="1"/>
  <c r="B19" i="2"/>
  <c r="O20" i="1"/>
  <c r="C23" i="2"/>
  <c r="N28" i="1"/>
  <c r="N31" i="1"/>
  <c r="O15" i="1"/>
  <c r="N18" i="1"/>
  <c r="B17" i="2"/>
  <c r="N22" i="1"/>
  <c r="B27" i="2"/>
  <c r="N29" i="1"/>
  <c r="N32" i="1"/>
  <c r="N35" i="1"/>
  <c r="O29" i="1"/>
  <c r="O28" i="1"/>
  <c r="M4" i="2"/>
  <c r="O35" i="1"/>
  <c r="O31" i="1"/>
  <c r="O27" i="1"/>
  <c r="O34" i="1"/>
  <c r="O30" i="1"/>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<sst xmlns="http://schemas.openxmlformats.org/spreadsheetml/2006/main" count="312" uniqueCount="111">
  <si>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</si>
  <si>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</si>
  <si>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</si>
  <si>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</si>
  <si>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</si>
  <si>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</si>
  <si>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</si>
  <si>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</si>
  <si>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</si>
  <si>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</si>
  <si>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</si>
  <si>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</si>
  <si>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</si>
  <si>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</si>
  <si>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</si>
  <si>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</si>
  <si>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</si>
  <si>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</si>
  <si>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</si>
  <si>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</si>
  <si>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</si>
  <si>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</si>
  <si>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</si>
  <si>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</si>
  <si>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</si>
  <si>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</si>
  <si>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</si>
  <si>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</si>
  <si>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</si>
  <si>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</si>
  <si>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</si>
  <si>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</si>
  <si>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</si>
  <si>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</si>
  <si>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</si>
  <si>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</si>
  <si>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</si>
  <si>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</si>
  <si>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</si>
  <si>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</si>
  <si>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</si>
  <si>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</si>
  <si>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</si>
  <si>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</si>
  <si>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</si>
  <si>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</si>
  <si>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</si>
  <si>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</si>
  <si>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</si>
  <si>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</si>
  <si>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</si>
  <si>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</si>
  <si>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</si>
  <si>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</si>
  <si>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</si>
  <si>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</si>
  <si>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</si>
  <si>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</si>
  <si>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</si>
  <si>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</si>
  <si>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</si>
  <si>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</si>
  <si>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</si>
  <si>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</si>
  <si>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</si>
  <si>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</si>
  <si>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</si>
  <si>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</si>
  <si>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</si>
  <si>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</si>
  <si>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</si>
  <si>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</si>
  <si>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</si>
  <si>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</si>
  <si>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</si>
  <si>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</si>
  <si>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</si>
  <si>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</si>
  <si>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</si>
  <si>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</si>
  <si>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</si>
  <si>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</si>
  <si>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</si>
  <si>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</si>
  <si>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</si>
  <si>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</si>
  <si>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</si>
  <si>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Whidbey Whanderer</t>
  </si>
  <si>
    <t>Vancouver</t>
  </si>
  <si>
    <t>23rd And Fraser</t>
  </si>
  <si>
    <t xml:space="preserve">Elderberry Ln &amp; Semiahoo Dr </t>
  </si>
  <si>
    <t>Stop Sign</t>
  </si>
  <si>
    <t>Four letters top left back of sign</t>
  </si>
  <si>
    <t>Info Control</t>
  </si>
  <si>
    <t>Fairhaven</t>
  </si>
  <si>
    <t>Your Choice</t>
  </si>
  <si>
    <t>Clinton, WA</t>
  </si>
  <si>
    <t>Mobil Gas Convenience Store</t>
  </si>
  <si>
    <t>Oak Harbor</t>
  </si>
  <si>
    <t>Coachman Inn</t>
  </si>
  <si>
    <t>Rexville, WA</t>
  </si>
  <si>
    <t>Riders Remembered Memorial</t>
  </si>
  <si>
    <t>Sedro Woolley</t>
  </si>
  <si>
    <t>(Try AM PM)</t>
  </si>
  <si>
    <t>Birch Bay</t>
  </si>
  <si>
    <t>Birch Bay Park Playground</t>
  </si>
  <si>
    <t>Name of Center                              (Log Building)</t>
  </si>
  <si>
    <t>Artigiano before 1pm</t>
  </si>
  <si>
    <t>Anacortes</t>
  </si>
  <si>
    <t>(last option is 7-Eleven @ 12 st)</t>
  </si>
  <si>
    <t>Portland Craft after 1pm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</si>
</sst>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tabSelected="1" topLeftCell="A2" zoomScale="135" zoomScaleNormal="135" zoomScalePageLayoutView="135" workbookViewId="0">
      <selection activeCell="D24" sqref="D24"/>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4" t="s">
        <v>83</v>
      </c>
      <c r="B1" s="104"/>
      <c r="C1" s="104"/>
      <c r="D1" s="104"/>
      <c r="E1" s="104"/>
      <c r="F1" s="104"/>
      <c r="G1" s="104"/>
      <c r="H1" s="104"/>
      <c r="I1" s="86" t="s">
        <v>85</v>
      </c>
      <c r="Q1" s="103" t="s">
        <v>86</v>
      </c>
      <c r="R1" s="103"/>
      <c r="S1" s="103"/>
      <c r="T1" s="103"/>
      <c r="U1" s="103"/>
      <c r="V1" s="103"/>
      <c r="W1" s="103"/>
      <c r="X1" s="103"/>
      <c r="Y1" s="103"/>
      <c r="Z1" s="103"/>
    </row>
    <row r="2" spans="1:26" ht="13" customHeight="1" thickBot="1" x14ac:dyDescent="0.2">
      <c r="H2" s="94"/>
      <c r="I2" s="94"/>
      <c r="Q2" s="103"/>
      <c r="R2" s="103"/>
      <c r="S2" s="103"/>
      <c r="T2" s="103"/>
      <c r="U2" s="103"/>
      <c r="V2" s="103"/>
      <c r="W2" s="103"/>
      <c r="X2" s="103"/>
      <c r="Y2" s="103"/>
      <c r="Z2" s="103"/>
    </row>
    <row r="3" spans="1:26" ht="13" customHeight="1" x14ac:dyDescent="0.15">
      <c r="A3" s="92" t="s">
        <v>82</v>
      </c>
      <c r="B3" s="91">
        <v>44674</v>
      </c>
      <c r="C3"/>
      <c r="H3" s="94"/>
      <c r="I3" s="94"/>
      <c r="Q3" s="103"/>
      <c r="R3" s="103"/>
      <c r="S3" s="103"/>
      <c r="T3" s="103"/>
      <c r="U3" s="103"/>
      <c r="V3" s="103"/>
      <c r="W3" s="103"/>
      <c r="X3" s="103"/>
      <c r="Y3" s="103"/>
      <c r="Z3" s="103"/>
    </row>
    <row r="4" spans="1:26" ht="14" thickBot="1" x14ac:dyDescent="0.2">
      <c r="H4" s="94"/>
      <c r="I4" s="94"/>
      <c r="Q4" s="103"/>
      <c r="R4" s="103"/>
      <c r="S4" s="103"/>
      <c r="T4" s="103"/>
      <c r="U4" s="103"/>
      <c r="V4" s="103"/>
      <c r="W4" s="103"/>
      <c r="X4" s="103"/>
      <c r="Y4" s="103"/>
      <c r="Z4" s="103"/>
    </row>
    <row r="5" spans="1:26" ht="18" x14ac:dyDescent="0.2">
      <c r="A5" s="11" t="s">
        <v>18</v>
      </c>
      <c r="B5" s="63">
        <v>600</v>
      </c>
      <c r="C5">
        <f>IF(Brevet_Length&gt;=1200,Brevet_Length,IF(Brevet_Length&gt;=1000,1000,IF(Brevet_Length&gt;=600,600,IF(Brevet_Length&gt;=400,400,IF(Brevet_Length&gt;=300,300,IF(Brevet_Length&gt;=200,200,100))))))</f>
        <v>600</v>
      </c>
      <c r="J5" s="111" t="s">
        <v>63</v>
      </c>
      <c r="K5" s="111"/>
      <c r="Q5" s="67" t="s">
        <v>64</v>
      </c>
      <c r="R5" s="67"/>
      <c r="S5" s="67"/>
      <c r="T5" s="67"/>
      <c r="U5" s="67"/>
      <c r="V5" s="67"/>
      <c r="W5" s="67"/>
    </row>
    <row r="6" spans="1:26" ht="14" thickBot="1" x14ac:dyDescent="0.2">
      <c r="A6" s="12" t="s">
        <v>19</v>
      </c>
      <c r="B6" s="13">
        <f>IF(brevet=1200,90,IF(brevet=1000,75,IF(brevet=600,40,IF(brevet=400,27,IF(brevet=300,20,IF(brevet=200,13.5,IF(brevet=100,7,0)))))))</f>
        <v>40</v>
      </c>
      <c r="Q6" t="s">
        <v>65</v>
      </c>
    </row>
    <row r="7" spans="1:26" ht="19" thickBot="1" x14ac:dyDescent="0.25">
      <c r="A7" s="12" t="s">
        <v>20</v>
      </c>
      <c r="B7" s="105" t="s">
        <v>87</v>
      </c>
      <c r="C7" s="106"/>
      <c r="D7" s="106"/>
      <c r="E7" s="106"/>
      <c r="F7" s="106"/>
      <c r="G7" s="106"/>
      <c r="H7" s="107"/>
      <c r="I7" s="26"/>
      <c r="J7" s="26"/>
      <c r="K7" s="26"/>
      <c r="Q7" s="67" t="s">
        <v>66</v>
      </c>
    </row>
    <row r="8" spans="1:26" ht="18" x14ac:dyDescent="0.2">
      <c r="A8" s="12" t="s">
        <v>21</v>
      </c>
      <c r="B8" s="64">
        <v>5244</v>
      </c>
      <c r="C8" s="23"/>
      <c r="F8" s="24"/>
      <c r="G8" s="24"/>
      <c r="H8" s="24"/>
      <c r="I8" s="24"/>
      <c r="J8" s="24"/>
      <c r="K8" s="24"/>
      <c r="Q8" s="67" t="s">
        <v>67</v>
      </c>
    </row>
    <row r="9" spans="1:26" ht="18" x14ac:dyDescent="0.2">
      <c r="A9" s="45" t="s">
        <v>48</v>
      </c>
      <c r="B9" s="65">
        <v>45073</v>
      </c>
      <c r="Q9" s="67" t="s">
        <v>68</v>
      </c>
    </row>
    <row r="10" spans="1:26" ht="6" customHeight="1" x14ac:dyDescent="0.15">
      <c r="B10" s="95"/>
    </row>
    <row r="11" spans="1:26" ht="18" customHeight="1" thickBot="1" x14ac:dyDescent="0.25">
      <c r="A11" s="89" t="s">
        <v>22</v>
      </c>
      <c r="B11" s="90">
        <v>45073</v>
      </c>
      <c r="Q11" s="67" t="s">
        <v>76</v>
      </c>
    </row>
    <row r="12" spans="1:26" ht="19" thickBot="1" x14ac:dyDescent="0.25">
      <c r="A12" s="10" t="s">
        <v>23</v>
      </c>
      <c r="B12" s="66">
        <v>0.25</v>
      </c>
      <c r="D12" s="108" t="s">
        <v>81</v>
      </c>
      <c r="E12" s="109"/>
      <c r="F12" s="109"/>
      <c r="G12" s="109"/>
      <c r="H12" s="109"/>
      <c r="I12" s="112" t="s">
        <v>71</v>
      </c>
      <c r="J12" s="109"/>
      <c r="K12" s="110"/>
      <c r="Q12" s="67" t="s">
        <v>75</v>
      </c>
    </row>
    <row r="13" spans="1:26" ht="14" thickBot="1" x14ac:dyDescent="0.2">
      <c r="D13" s="6" t="s">
        <v>24</v>
      </c>
      <c r="E13" s="7" t="s">
        <v>25</v>
      </c>
      <c r="F13" s="57" t="s">
        <v>26</v>
      </c>
      <c r="G13" s="57" t="s">
        <v>27</v>
      </c>
      <c r="H13" s="58" t="s">
        <v>28</v>
      </c>
      <c r="I13" s="7" t="s">
        <v>60</v>
      </c>
      <c r="J13" s="7" t="s">
        <v>61</v>
      </c>
      <c r="K13" s="8" t="s">
        <v>62</v>
      </c>
      <c r="L13" t="s">
        <v>3</v>
      </c>
      <c r="M13" t="s">
        <v>4</v>
      </c>
      <c r="N13" t="s">
        <v>5</v>
      </c>
      <c r="O13" t="s">
        <v>6</v>
      </c>
      <c r="Q13" s="67" t="s">
        <v>69</v>
      </c>
    </row>
    <row r="14" spans="1:26" ht="17" customHeight="1" x14ac:dyDescent="0.2">
      <c r="C14" s="3" t="s">
        <v>7</v>
      </c>
      <c r="D14" s="25">
        <v>0</v>
      </c>
      <c r="E14" s="69" t="s">
        <v>88</v>
      </c>
      <c r="F14" s="70"/>
      <c r="G14" s="70" t="s">
        <v>89</v>
      </c>
      <c r="H14" s="71"/>
      <c r="I14" s="75"/>
      <c r="J14" s="75"/>
      <c r="K14" s="76"/>
      <c r="L14" s="4">
        <f>Start_date+Start_time</f>
        <v>45073.25</v>
      </c>
      <c r="M14" s="4">
        <f>L14+"1:00"</f>
        <v>45073.291666666664</v>
      </c>
      <c r="N14" s="5">
        <f>IF(ISBLANK(Distance),"",Open Control_1)</f>
        <v>45073.25</v>
      </c>
      <c r="O14" s="5">
        <f>IF(ISBLANK(Distance),"",Close Control_1)</f>
        <v>45073.291666666664</v>
      </c>
      <c r="Q14" s="67" t="s">
        <v>84</v>
      </c>
    </row>
    <row r="15" spans="1:26" ht="17" customHeight="1" x14ac:dyDescent="0.2">
      <c r="B15" s="81"/>
      <c r="C15" s="3" t="s">
        <v>8</v>
      </c>
      <c r="D15" s="25">
        <v>68.099999999999994</v>
      </c>
      <c r="E15" s="69" t="s">
        <v>90</v>
      </c>
      <c r="F15" s="70" t="s">
        <v>91</v>
      </c>
      <c r="G15" s="70" t="s">
        <v>92</v>
      </c>
      <c r="H15" s="71" t="s">
        <v>93</v>
      </c>
      <c r="I15" s="75"/>
      <c r="J15" s="75"/>
      <c r="K15" s="76"/>
      <c r="L15">
        <f>IF(ISBLANK(Distance),"",IF(Distance&gt;1000,(Distance-1000)/26+33.0847,(IF(Distance&gt;600,(Distance-600)/28+18.799,(IF(Distance&gt;400,(Distance-400)/30+12.1324,(IF(Distance&gt;200,(Distance-200)/32+5.8824,Distance/34))))))))</f>
        <v>2.0029411764705882</v>
      </c>
      <c r="M15">
        <f t="shared" ref="M15:M23" si="0">IF(ISBLANK(Distance),"",IF(Distance&gt;=brevet,IF(brevet&gt;1200,(brevet-1200)*75/1000+90,Max_time),IF(Distance&gt;1200,(Distance-1200)*75/1000+90,IF(Distance&gt;1000,(Distance-1000)/(1000/75)+75,IF(Distance&gt;600,(Distance-600)/(400/35)+40,IF(Distance&lt;=60,(Distance/20+1),Distance/15))))))</f>
        <v>4.54</v>
      </c>
      <c r="N15" s="5">
        <f>IF(ISBLANK(Distance),"",Open_time Control_1+(INT(Open)&amp;":"&amp;IF(ROUND(((Open-INT(Open))*60),0)&lt;10,0,"")&amp;ROUND(((Open-INT(Open))*60),0)))</f>
        <v>45073.333333333336</v>
      </c>
      <c r="O15" s="5">
        <f>IF(ISBLANK(Distance),"",Open_time Control_1+(INT(Close)&amp;":"&amp;IF(ROUND(((Close-INT(Close))*60),0)&lt;10,0,"")&amp;ROUND(((Close-INT(Close))*60),0)))</f>
        <v>45073.438888888886</v>
      </c>
      <c r="Q15" s="67" t="s">
        <v>70</v>
      </c>
    </row>
    <row r="16" spans="1:26" ht="17" customHeight="1" x14ac:dyDescent="0.2">
      <c r="B16" s="81"/>
      <c r="C16" s="3" t="s">
        <v>9</v>
      </c>
      <c r="D16" s="25">
        <v>120.2</v>
      </c>
      <c r="E16" s="69" t="s">
        <v>94</v>
      </c>
      <c r="F16" s="70"/>
      <c r="G16" s="70" t="s">
        <v>95</v>
      </c>
      <c r="H16" s="71"/>
      <c r="I16" s="75"/>
      <c r="J16" s="75"/>
      <c r="K16" s="76"/>
      <c r="L16">
        <f>IF(ISBLANK(Distance),"",IF(Distance&gt;1000,(Distance-1000)/26+33.0847,(IF(Distance&gt;600,(Distance-600)/28+18.799,(IF(Distance&gt;400,(Distance-400)/30+12.1324,(IF(Distance&gt;200,(Distance-200)/32+5.8824,Distance/34))))))))</f>
        <v>3.5352941176470587</v>
      </c>
      <c r="M16">
        <f t="shared" si="0"/>
        <v>8.0133333333333336</v>
      </c>
      <c r="N16" s="5">
        <f>IF(ISBLANK(Distance),"",Open_time Control_1+(INT(Open)&amp;":"&amp;IF(ROUND(((Open-INT(Open))*60),0)&lt;10,0,"")&amp;ROUND(((Open-INT(Open))*60),0)))</f>
        <v>45073.397222222222</v>
      </c>
      <c r="O16" s="5">
        <f>IF(ISBLANK(Distance),"",Open_time Control_1+(INT(Close)&amp;":"&amp;IF(ROUND(((Close-INT(Close))*60),0)&lt;10,0,"")&amp;ROUND(((Close-INT(Close))*60),0)))</f>
        <v>45073.584027777775</v>
      </c>
    </row>
    <row r="17" spans="2:17" ht="17" customHeight="1" x14ac:dyDescent="0.2">
      <c r="B17" s="81"/>
      <c r="C17" s="3" t="s">
        <v>10</v>
      </c>
      <c r="D17" s="25">
        <v>178.2</v>
      </c>
      <c r="E17" s="69" t="s">
        <v>108</v>
      </c>
      <c r="F17" s="70" t="s">
        <v>95</v>
      </c>
      <c r="G17" s="70" t="s">
        <v>109</v>
      </c>
      <c r="H17" s="71"/>
      <c r="I17" s="75"/>
      <c r="J17" s="75"/>
      <c r="K17" s="76"/>
      <c r="L17">
        <f t="shared" ref="L17:L23" si="1">IF(ISBLANK(Distance),"",IF(Distance&gt;1000,(Distance-1000)/26+33.0847,(IF(Distance&gt;600,(Distance-600)/28+18.799,(IF(Distance&gt;400,(Distance-400)/30+12.1324,(IF(Distance&gt;200,(Distance-200)/32+5.8824,Distance/34))))))))</f>
        <v>5.2411764705882353</v>
      </c>
      <c r="M17">
        <f t="shared" si="0"/>
        <v>11.879999999999999</v>
      </c>
      <c r="N17" s="5">
        <f>IF(ISBLANK(Distance),"",Open_time Control_1+(INT(Open)&amp;":"&amp;IF(ROUND(((Open-INT(Open))*60),0)&lt;10,0,"")&amp;ROUND(((Open-INT(Open))*60),0)))</f>
        <v>45073.468055555553</v>
      </c>
      <c r="O17" s="5">
        <f>IF(ISBLANK(Distance),"",Open_time Control_1+(INT(Close)&amp;":"&amp;IF(ROUND(((Close-INT(Close))*60),0)&lt;10,0,"")&amp;ROUND(((Close-INT(Close))*60),0)))</f>
        <v>45073.745138888888</v>
      </c>
    </row>
    <row r="18" spans="2:17" ht="17" customHeight="1" x14ac:dyDescent="0.2">
      <c r="B18" s="81"/>
      <c r="C18" s="3" t="s">
        <v>11</v>
      </c>
      <c r="D18" s="25">
        <v>282.60000000000002</v>
      </c>
      <c r="E18" s="69" t="s">
        <v>96</v>
      </c>
      <c r="F18" s="70"/>
      <c r="G18" s="70" t="s">
        <v>97</v>
      </c>
      <c r="H18" s="71"/>
      <c r="I18" s="75"/>
      <c r="J18" s="75"/>
      <c r="K18" s="77"/>
      <c r="L18">
        <f t="shared" si="1"/>
        <v>8.4636500000000012</v>
      </c>
      <c r="M18">
        <f t="shared" si="0"/>
        <v>18.84</v>
      </c>
      <c r="N18" s="5">
        <f>IF(ISBLANK(Distance),"",Open_time Control_1+(INT(Open)&amp;":"&amp;IF(ROUND(((Open-INT(Open))*60),0)&lt;10,0,"")&amp;ROUND(((Open-INT(Open))*60),0)))</f>
        <v>45073.602777777778</v>
      </c>
      <c r="O18" s="5">
        <f>IF(ISBLANK(Distance),"",Open_time Control_1+(INT(Close)&amp;":"&amp;IF(ROUND(((Close-INT(Close))*60),0)&lt;10,0,"")&amp;ROUND(((Close-INT(Close))*60),0)))</f>
        <v>45074.034722222219</v>
      </c>
      <c r="Q18" s="86"/>
    </row>
    <row r="19" spans="2:17" ht="17" customHeight="1" x14ac:dyDescent="0.2">
      <c r="B19" s="81"/>
      <c r="C19" s="3" t="s">
        <v>12</v>
      </c>
      <c r="D19" s="25">
        <v>366.4</v>
      </c>
      <c r="E19" s="69" t="s">
        <v>98</v>
      </c>
      <c r="F19" s="70"/>
      <c r="G19" s="70" t="s">
        <v>99</v>
      </c>
      <c r="H19" s="71"/>
      <c r="I19" s="75"/>
      <c r="J19" s="75"/>
      <c r="K19" s="76"/>
      <c r="L19">
        <f t="shared" si="1"/>
        <v>11.0824</v>
      </c>
      <c r="M19">
        <f t="shared" si="0"/>
        <v>24.426666666666666</v>
      </c>
      <c r="N19" s="5">
        <f>IF(ISBLANK(Distance),"",Open_time Control_1+(INT(Open)&amp;":"&amp;IF(ROUND(((Open-INT(Open))*60),0)&lt;10,0,"")&amp;ROUND(((Open-INT(Open))*60),0)))</f>
        <v>45073.711805555555</v>
      </c>
      <c r="O19" s="5">
        <f>IF(ISBLANK(Distance),"",Open_time Control_1+(INT(Close)&amp;":"&amp;IF(ROUND(((Close-INT(Close))*60),0)&lt;10,0,"")&amp;ROUND(((Close-INT(Close))*60),0)))</f>
        <v>45074.268055555556</v>
      </c>
    </row>
    <row r="20" spans="2:17" ht="17" customHeight="1" x14ac:dyDescent="0.2">
      <c r="B20" s="81"/>
      <c r="C20" s="3" t="s">
        <v>13</v>
      </c>
      <c r="D20" s="25">
        <v>419.6</v>
      </c>
      <c r="E20" s="69" t="s">
        <v>100</v>
      </c>
      <c r="F20" s="70" t="s">
        <v>101</v>
      </c>
      <c r="G20" s="70"/>
      <c r="H20" s="71"/>
      <c r="I20" s="75"/>
      <c r="J20" s="75"/>
      <c r="K20" s="76"/>
      <c r="L20">
        <f t="shared" si="1"/>
        <v>12.785733333333335</v>
      </c>
      <c r="M20">
        <f t="shared" si="0"/>
        <v>27.973333333333336</v>
      </c>
      <c r="N20" s="5">
        <f>IF(ISBLANK(Distance),"",Open_time Control_1+(INT(Open)&amp;":"&amp;IF(ROUND(((Open-INT(Open))*60),0)&lt;10,0,"")&amp;ROUND(((Open-INT(Open))*60),0)))</f>
        <v>45073.782638888886</v>
      </c>
      <c r="O20" s="5">
        <f>IF(ISBLANK(Distance),"",Open_time Control_1+(INT(Close)&amp;":"&amp;IF(ROUND(((Close-INT(Close))*60),0)&lt;10,0,"")&amp;ROUND(((Close-INT(Close))*60),0)))</f>
        <v>45074.415277777778</v>
      </c>
    </row>
    <row r="21" spans="2:17" ht="17" customHeight="1" x14ac:dyDescent="0.2">
      <c r="B21" s="81"/>
      <c r="C21" s="3" t="s">
        <v>14</v>
      </c>
      <c r="D21" s="25">
        <v>452.3</v>
      </c>
      <c r="E21" s="69" t="s">
        <v>102</v>
      </c>
      <c r="F21" s="70" t="s">
        <v>95</v>
      </c>
      <c r="G21" s="70" t="s">
        <v>103</v>
      </c>
      <c r="H21" s="71"/>
      <c r="I21" s="75"/>
      <c r="J21" s="75"/>
      <c r="K21" s="76"/>
      <c r="L21">
        <f t="shared" si="1"/>
        <v>13.875733333333335</v>
      </c>
      <c r="M21">
        <f t="shared" si="0"/>
        <v>30.153333333333332</v>
      </c>
      <c r="N21" s="5">
        <f>IF(ISBLANK(Distance),"",Open_time Control_1+(INT(Open)&amp;":"&amp;IF(ROUND(((Open-INT(Open))*60),0)&lt;10,0,"")&amp;ROUND(((Open-INT(Open))*60),0)))</f>
        <v>45073.828472222223</v>
      </c>
      <c r="O21" s="5">
        <f>IF(ISBLANK(Distance),"",Open_time Control_1+(INT(Close)&amp;":"&amp;IF(ROUND(((Close-INT(Close))*60),0)&lt;10,0,"")&amp;ROUND(((Close-INT(Close))*60),0)))</f>
        <v>45074.506249999999</v>
      </c>
    </row>
    <row r="22" spans="2:17" ht="17" customHeight="1" x14ac:dyDescent="0.2">
      <c r="B22" s="81"/>
      <c r="C22" s="3" t="s">
        <v>15</v>
      </c>
      <c r="D22" s="25">
        <v>535.4</v>
      </c>
      <c r="E22" s="69" t="s">
        <v>104</v>
      </c>
      <c r="F22" s="70" t="s">
        <v>105</v>
      </c>
      <c r="G22" s="70" t="s">
        <v>106</v>
      </c>
      <c r="H22" s="71" t="s">
        <v>93</v>
      </c>
      <c r="I22" s="75"/>
      <c r="J22" s="75"/>
      <c r="K22" s="77"/>
      <c r="L22">
        <f t="shared" si="1"/>
        <v>16.645733333333332</v>
      </c>
      <c r="M22">
        <f t="shared" si="0"/>
        <v>35.693333333333335</v>
      </c>
      <c r="N22" s="5">
        <f>IF(ISBLANK(Distance),"",Open_time Control_1+(INT(Open)&amp;":"&amp;IF(ROUND(((Open-INT(Open))*60),0)&lt;10,0,"")&amp;ROUND(((Open-INT(Open))*60),0)))</f>
        <v>45073.943749999999</v>
      </c>
      <c r="O22" s="5">
        <f>IF(ISBLANK(Distance),"",Open_time Control_1+(INT(Close)&amp;":"&amp;IF(ROUND(((Close-INT(Close))*60),0)&lt;10,0,"")&amp;ROUND(((Close-INT(Close))*60),0)))</f>
        <v>45074.737500000003</v>
      </c>
    </row>
    <row r="23" spans="2:17" ht="17" customHeight="1" thickBot="1" x14ac:dyDescent="0.25">
      <c r="B23" s="81"/>
      <c r="C23" s="3" t="s">
        <v>16</v>
      </c>
      <c r="D23" s="49">
        <v>603.20000000000005</v>
      </c>
      <c r="E23" s="72" t="s">
        <v>88</v>
      </c>
      <c r="F23" s="73" t="s">
        <v>107</v>
      </c>
      <c r="G23" s="73" t="s">
        <v>110</v>
      </c>
      <c r="H23" s="74"/>
      <c r="I23" s="78"/>
      <c r="J23" s="78"/>
      <c r="K23" s="79"/>
      <c r="L23">
        <f t="shared" si="1"/>
        <v>18.913285714285717</v>
      </c>
      <c r="M23">
        <f t="shared" si="0"/>
        <v>40</v>
      </c>
      <c r="N23" s="5">
        <f>IF(ISBLANK(Distance),"",Open_time Control_1+(INT(Open)&amp;":"&amp;IF(ROUND(((Open-INT(Open))*60),0)&lt;10,0,"")&amp;ROUND(((Open-INT(Open))*60),0)))</f>
        <v>45074.038194444445</v>
      </c>
      <c r="O23" s="5">
        <f>IF(ISBLANK(Distance),"",Open_time Control_1+(INT(Close)&amp;":"&amp;IF(ROUND(((Close-INT(Close))*60),0)&lt;10,0,"")&amp;ROUND(((Close-INT(Close))*60),0)))</f>
        <v>45074.916666666664</v>
      </c>
    </row>
    <row r="24" spans="2:17" ht="7" customHeight="1" thickBot="1" x14ac:dyDescent="0.25">
      <c r="D24" s="59"/>
      <c r="E24" s="60"/>
      <c r="F24" s="61"/>
      <c r="G24" s="61"/>
      <c r="H24" s="61"/>
      <c r="I24" s="61"/>
      <c r="J24" s="61"/>
      <c r="K24" s="62"/>
      <c r="N24" s="5"/>
      <c r="O24" s="5"/>
    </row>
    <row r="25" spans="2:17" ht="14" thickBot="1" x14ac:dyDescent="0.2">
      <c r="D25" s="108" t="s">
        <v>77</v>
      </c>
      <c r="E25" s="109"/>
      <c r="F25" s="109"/>
      <c r="G25" s="109"/>
      <c r="H25" s="109"/>
      <c r="I25" s="112" t="s">
        <v>72</v>
      </c>
      <c r="J25" s="109"/>
      <c r="K25" s="110"/>
    </row>
    <row r="26" spans="2:17" ht="14" thickBot="1" x14ac:dyDescent="0.2">
      <c r="D26" s="6" t="s">
        <v>24</v>
      </c>
      <c r="E26" s="7" t="s">
        <v>25</v>
      </c>
      <c r="F26" s="57" t="s">
        <v>26</v>
      </c>
      <c r="G26" s="57" t="s">
        <v>27</v>
      </c>
      <c r="H26" s="58" t="s">
        <v>28</v>
      </c>
      <c r="I26" s="7" t="s">
        <v>60</v>
      </c>
      <c r="J26" s="7" t="s">
        <v>61</v>
      </c>
      <c r="K26" s="8" t="s">
        <v>62</v>
      </c>
      <c r="L26" t="s">
        <v>3</v>
      </c>
      <c r="M26" t="s">
        <v>4</v>
      </c>
      <c r="N26" t="s">
        <v>5</v>
      </c>
      <c r="O26" t="s">
        <v>6</v>
      </c>
    </row>
    <row r="27" spans="2:17" ht="16" x14ac:dyDescent="0.2">
      <c r="D27" s="25"/>
      <c r="E27" s="69"/>
      <c r="F27" s="70"/>
      <c r="G27" s="70"/>
      <c r="H27" s="71"/>
      <c r="I27" s="75"/>
      <c r="J27" s="75"/>
      <c r="K27" s="76"/>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x14ac:dyDescent="0.2">
      <c r="D28" s="25"/>
      <c r="E28" s="69"/>
      <c r="F28" s="70"/>
      <c r="G28" s="70"/>
      <c r="H28" s="71"/>
      <c r="I28" s="75"/>
      <c r="J28" s="75"/>
      <c r="K28" s="77"/>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x14ac:dyDescent="0.2">
      <c r="D29" s="25"/>
      <c r="E29" s="69"/>
      <c r="F29" s="70"/>
      <c r="G29" s="70"/>
      <c r="H29" s="71"/>
      <c r="I29" s="75"/>
      <c r="J29" s="75"/>
      <c r="K29" s="77"/>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2">
      <c r="D30" s="25"/>
      <c r="E30" s="69"/>
      <c r="F30" s="70"/>
      <c r="G30" s="70"/>
      <c r="H30" s="71"/>
      <c r="I30" s="75"/>
      <c r="J30" s="75"/>
      <c r="K30" s="7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2">
      <c r="D31" s="25"/>
      <c r="E31" s="69"/>
      <c r="F31" s="70"/>
      <c r="G31" s="70"/>
      <c r="H31" s="71"/>
      <c r="I31" s="75"/>
      <c r="J31" s="75"/>
      <c r="K31" s="7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2">
      <c r="D32" s="25"/>
      <c r="E32" s="69"/>
      <c r="F32" s="70"/>
      <c r="G32" s="70"/>
      <c r="H32" s="71"/>
      <c r="I32" s="75"/>
      <c r="J32" s="75"/>
      <c r="K32" s="7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2">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2">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2">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x14ac:dyDescent="0.25">
      <c r="D36" s="49"/>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x14ac:dyDescent="0.25">
      <c r="D37" s="59"/>
      <c r="E37" s="60"/>
      <c r="F37" s="61"/>
      <c r="G37" s="61"/>
      <c r="H37" s="61"/>
      <c r="I37" s="61"/>
      <c r="J37" s="61"/>
      <c r="K37" s="62"/>
      <c r="N37" s="5"/>
      <c r="O37" s="5"/>
    </row>
    <row r="38" spans="4:15" ht="14" thickBot="1" x14ac:dyDescent="0.2">
      <c r="D38" s="108" t="s">
        <v>79</v>
      </c>
      <c r="E38" s="109"/>
      <c r="F38" s="109"/>
      <c r="G38" s="109"/>
      <c r="H38" s="109"/>
      <c r="I38" s="108" t="s">
        <v>78</v>
      </c>
      <c r="J38" s="109"/>
      <c r="K38" s="110"/>
    </row>
    <row r="39" spans="4:15" ht="14" thickBot="1" x14ac:dyDescent="0.2">
      <c r="D39" s="6" t="s">
        <v>24</v>
      </c>
      <c r="E39" s="7" t="s">
        <v>25</v>
      </c>
      <c r="F39" s="57" t="s">
        <v>26</v>
      </c>
      <c r="G39" s="57" t="s">
        <v>27</v>
      </c>
      <c r="H39" s="87" t="s">
        <v>28</v>
      </c>
      <c r="I39" s="7" t="s">
        <v>60</v>
      </c>
      <c r="J39" s="7" t="s">
        <v>61</v>
      </c>
      <c r="K39" s="8" t="s">
        <v>62</v>
      </c>
      <c r="L39" t="s">
        <v>3</v>
      </c>
      <c r="M39" t="s">
        <v>4</v>
      </c>
      <c r="N39" t="s">
        <v>5</v>
      </c>
      <c r="O39" t="s">
        <v>6</v>
      </c>
    </row>
    <row r="40" spans="4:15" ht="16" x14ac:dyDescent="0.2">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6" x14ac:dyDescent="0.2">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6" x14ac:dyDescent="0.2">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6" x14ac:dyDescent="0.2">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 x14ac:dyDescent="0.2">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 x14ac:dyDescent="0.2">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 x14ac:dyDescent="0.2">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 x14ac:dyDescent="0.2">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 x14ac:dyDescent="0.2">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thickBot="1" x14ac:dyDescent="0.25">
      <c r="D49" s="49"/>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5"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80</v>
      </c>
      <c r="B1" s="121"/>
      <c r="C1" s="121"/>
      <c r="D1" s="121"/>
      <c r="E1" s="121"/>
      <c r="F1" s="121"/>
      <c r="G1" s="121"/>
      <c r="H1" s="26" t="s">
        <v>29</v>
      </c>
    </row>
    <row r="2" spans="1:22" ht="33.75" customHeight="1" thickBot="1" x14ac:dyDescent="0.25">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45">
      <c r="A3" s="27"/>
      <c r="B3" s="28">
        <f>Control_1 Open_time</f>
        <v>45073.25</v>
      </c>
      <c r="C3" s="28">
        <f>Control_1 Close_time</f>
        <v>45073.291666666664</v>
      </c>
      <c r="D3" s="29"/>
      <c r="E3" s="30" t="str">
        <f>IF(ISBLANK(Control_1 Establishment_1),"",Control_1 Establishment_1)</f>
        <v/>
      </c>
      <c r="F3" s="96" t="str">
        <f>IF(ISBLANK('Control Entry'!I14),"",'Control Entry'!I14)</f>
        <v/>
      </c>
      <c r="G3" s="97"/>
      <c r="H3" s="26" t="s">
        <v>29</v>
      </c>
      <c r="K3" s="14"/>
      <c r="O3" s="127" t="s">
        <v>33</v>
      </c>
      <c r="P3" s="127"/>
      <c r="Q3" s="127"/>
      <c r="R3" s="127"/>
      <c r="S3" s="84" t="str">
        <f>IF('Control Entry'!D27=0,"","#1")</f>
        <v/>
      </c>
      <c r="U3" s="40"/>
    </row>
    <row r="4" spans="1:22" ht="36" customHeight="1" x14ac:dyDescent="0.2">
      <c r="A4" s="36">
        <f>IF(ISBLANK(Distance Control_1),"",Control_1 Distance)</f>
        <v>0</v>
      </c>
      <c r="B4" s="37">
        <f>Control_1 Open_time</f>
        <v>45073.25</v>
      </c>
      <c r="C4" s="37">
        <f>Control_1 Close_time</f>
        <v>45073.291666666664</v>
      </c>
      <c r="D4" s="38" t="str">
        <f>IF(ISBLANK(Locale Control_1),"",Locale Control_1)</f>
        <v>Vancouver</v>
      </c>
      <c r="E4" s="30" t="str">
        <f>IF(ISBLANK(Control_1 Establishment_2),"",Control_1 Establishment_2)</f>
        <v>23rd And Fraser</v>
      </c>
      <c r="F4" s="98" t="str">
        <f>IF(ISBLANK('Control Entry'!J14),"",'Control Entry'!J14)</f>
        <v/>
      </c>
      <c r="G4" s="97"/>
      <c r="H4" s="26" t="s">
        <v>29</v>
      </c>
      <c r="K4" s="14"/>
      <c r="M4" s="123" t="str">
        <f>IF(ISBLANK(brevet),"",brevet&amp;" km Randonnée")</f>
        <v>600 km Randonnée</v>
      </c>
      <c r="N4" s="123"/>
      <c r="O4" s="123"/>
      <c r="P4" s="123"/>
      <c r="Q4" s="123"/>
      <c r="R4" s="123"/>
      <c r="S4" s="123"/>
      <c r="T4" s="123"/>
      <c r="U4" s="41"/>
    </row>
    <row r="5" spans="1:22" ht="36" customHeight="1" thickBot="1" x14ac:dyDescent="0.25">
      <c r="A5" s="31"/>
      <c r="B5" s="32">
        <f>Control_1 Open_time</f>
        <v>45073.25</v>
      </c>
      <c r="C5" s="32">
        <f>Control_1 Close_time</f>
        <v>45073.291666666664</v>
      </c>
      <c r="D5" s="33"/>
      <c r="E5" s="34" t="str">
        <f>IF(ISBLANK(Control_1 Establishment_3),"",Control_1 Establishment_3)</f>
        <v/>
      </c>
      <c r="F5" s="99" t="str">
        <f>IF(ISBLANK('Control Entry'!K14),"",'Control Entry'!K14)</f>
        <v/>
      </c>
      <c r="G5" s="100"/>
      <c r="H5" s="26" t="s">
        <v>29</v>
      </c>
      <c r="K5" s="14"/>
      <c r="M5" s="15"/>
      <c r="N5" s="125" t="s">
        <v>47</v>
      </c>
      <c r="O5" s="125"/>
      <c r="P5" s="55">
        <f>IF(ISBLANK(Brevet_Number),"",Brevet_Number)</f>
        <v>5244</v>
      </c>
      <c r="Q5" s="56"/>
      <c r="R5" s="118">
        <f>IF(ISBLANK('Control Entry'!$B9),"",'Control Entry'!$B9)</f>
        <v>45073</v>
      </c>
      <c r="S5" s="118"/>
      <c r="T5" s="118"/>
      <c r="U5" s="118"/>
      <c r="V5" s="42"/>
    </row>
    <row r="6" spans="1:22" ht="36" customHeight="1" x14ac:dyDescent="0.2">
      <c r="A6" s="27"/>
      <c r="B6" s="28">
        <f>Control_2 Open_time</f>
        <v>45073.333333333336</v>
      </c>
      <c r="C6" s="28">
        <f>Control_2 Close_time</f>
        <v>45073.438888888886</v>
      </c>
      <c r="D6" s="35"/>
      <c r="E6" s="30" t="str">
        <f>IF(ISBLANK(Control_2 Establishment_1),"",Control_2 Establishment_1)</f>
        <v>Stop Sign</v>
      </c>
      <c r="F6" s="96" t="str">
        <f>IF(ISBLANK('Control Entry'!I15),"",'Control Entry'!I15)</f>
        <v/>
      </c>
      <c r="G6" s="97"/>
      <c r="H6" s="26" t="s">
        <v>29</v>
      </c>
      <c r="K6" s="14"/>
      <c r="L6" s="130" t="str">
        <f>IF(ISBLANK(Brevet_Description),"",Brevet_Description)</f>
        <v>Whidbey Whanderer</v>
      </c>
      <c r="M6" s="130"/>
      <c r="N6" s="130"/>
      <c r="O6" s="130"/>
      <c r="P6" s="130"/>
      <c r="Q6" s="130"/>
      <c r="R6" s="130"/>
      <c r="S6" s="130"/>
      <c r="T6" s="130"/>
      <c r="U6" s="130"/>
    </row>
    <row r="7" spans="1:22" ht="36" customHeight="1" x14ac:dyDescent="0.2">
      <c r="A7" s="36">
        <f>IF(ISBLANK(Distance Control_2),"",Control_2 Distance)</f>
        <v>68.099999999999994</v>
      </c>
      <c r="B7" s="37">
        <f>Control_2 Open_time</f>
        <v>45073.333333333336</v>
      </c>
      <c r="C7" s="37">
        <f>Control_2 Close_time</f>
        <v>45073.438888888886</v>
      </c>
      <c r="D7" s="38" t="str">
        <f>IF(ISBLANK(Locale Control_2),"",Locale Control_2)</f>
        <v xml:space="preserve">Elderberry Ln &amp; Semiahoo Dr </v>
      </c>
      <c r="E7" s="51" t="str">
        <f>IF(ISBLANK(Control_2 Establishment_2),"",Control_2 Establishment_2)</f>
        <v>Four letters top left back of sign</v>
      </c>
      <c r="F7" s="98" t="str">
        <f>IF(ISBLANK('Control Entry'!J15),"",'Control Entry'!J15)</f>
        <v/>
      </c>
      <c r="G7" s="97"/>
      <c r="H7" s="26" t="s">
        <v>29</v>
      </c>
      <c r="J7" s="83"/>
      <c r="L7" s="83"/>
    </row>
    <row r="8" spans="1:22" ht="36" customHeight="1" thickBot="1" x14ac:dyDescent="0.25">
      <c r="A8" s="31"/>
      <c r="B8" s="32">
        <f>Control_2 Open_time</f>
        <v>45073.333333333336</v>
      </c>
      <c r="C8" s="32">
        <f>Control_2 Close_time</f>
        <v>45073.438888888886</v>
      </c>
      <c r="D8" s="33"/>
      <c r="E8" s="82" t="str">
        <f>IF(ISBLANK(Control_2 Establishment_3),"",Control_2 Establishment_3)</f>
        <v>Info Control</v>
      </c>
      <c r="F8" s="99" t="str">
        <f>IF(ISBLANK('Control Entry'!K15),"",'Control Entry'!K15)</f>
        <v/>
      </c>
      <c r="G8" s="100"/>
      <c r="H8" s="26" t="s">
        <v>29</v>
      </c>
      <c r="J8" s="15" t="s">
        <v>34</v>
      </c>
      <c r="L8" s="120"/>
      <c r="M8" s="120"/>
      <c r="N8" s="120"/>
      <c r="O8" s="120"/>
      <c r="P8" s="120"/>
      <c r="Q8" s="120"/>
      <c r="S8" s="43" t="s">
        <v>46</v>
      </c>
      <c r="T8" s="131"/>
      <c r="U8" s="131"/>
    </row>
    <row r="9" spans="1:22" ht="36" customHeight="1" thickBot="1" x14ac:dyDescent="0.3">
      <c r="A9" s="27"/>
      <c r="B9" s="28">
        <f>Control_3 Open_time</f>
        <v>45073.397222222222</v>
      </c>
      <c r="C9" s="28">
        <f>Control_3 Close_time</f>
        <v>45073.584027777775</v>
      </c>
      <c r="D9" s="35"/>
      <c r="E9" s="30" t="str">
        <f>IF(ISBLANK(Control_3 Establishment_1),"",Control_3 Establishment_1)</f>
        <v/>
      </c>
      <c r="F9" s="96" t="str">
        <f>IF(ISBLANK('Control Entry'!I16),"",'Control Entry'!I16)</f>
        <v/>
      </c>
      <c r="G9" s="97"/>
      <c r="H9" s="26" t="s">
        <v>29</v>
      </c>
      <c r="J9" s="15" t="s">
        <v>35</v>
      </c>
      <c r="K9" s="15"/>
      <c r="L9" s="114" t="s">
        <v>54</v>
      </c>
      <c r="M9" s="114"/>
      <c r="N9" s="114"/>
      <c r="O9" s="114"/>
      <c r="P9" s="114"/>
      <c r="Q9" s="114"/>
      <c r="R9" s="114"/>
      <c r="S9" s="114"/>
      <c r="T9" s="114"/>
      <c r="U9" s="114"/>
    </row>
    <row r="10" spans="1:22" ht="36" customHeight="1" thickBot="1" x14ac:dyDescent="0.3">
      <c r="A10" s="36">
        <f>IF(ISBLANK(Distance Control_3),"",Control_3 Distance)</f>
        <v>120.2</v>
      </c>
      <c r="B10" s="37">
        <f>Control_3 Open_time</f>
        <v>45073.397222222222</v>
      </c>
      <c r="C10" s="37">
        <f>Control_3 Close_time</f>
        <v>45073.584027777775</v>
      </c>
      <c r="D10" s="38" t="str">
        <f>IF(ISBLANK(Locale Control_3),"",Locale Control_3)</f>
        <v>Fairhaven</v>
      </c>
      <c r="E10" s="51" t="str">
        <f>IF(ISBLANK(Control_3 Establishment_2),"",Control_3 Establishment_2)</f>
        <v>Your Choice</v>
      </c>
      <c r="F10" s="98" t="str">
        <f>IF(ISBLANK('Control Entry'!J16),"",'Control Entry'!J16)</f>
        <v/>
      </c>
      <c r="G10" s="97"/>
      <c r="H10" s="26" t="s">
        <v>29</v>
      </c>
      <c r="J10" s="15"/>
      <c r="K10" s="15"/>
      <c r="L10" s="115"/>
      <c r="M10" s="115"/>
      <c r="N10" s="115"/>
      <c r="O10" s="115"/>
      <c r="P10" s="115"/>
      <c r="Q10" s="115"/>
      <c r="R10" s="115"/>
      <c r="S10" s="115"/>
      <c r="T10" s="115"/>
      <c r="U10" s="115"/>
    </row>
    <row r="11" spans="1:22" ht="36" customHeight="1" thickBot="1" x14ac:dyDescent="0.3">
      <c r="A11" s="31"/>
      <c r="B11" s="32">
        <f>Control_3 Open_time</f>
        <v>45073.397222222222</v>
      </c>
      <c r="C11" s="32">
        <f>Control_3 Close_time</f>
        <v>45073.584027777775</v>
      </c>
      <c r="D11" s="33"/>
      <c r="E11" s="34" t="str">
        <f>IF(ISBLANK(Control_3 Establishment_3),"",Control_3 Establishment_3)</f>
        <v/>
      </c>
      <c r="F11" s="99" t="str">
        <f>IF(ISBLANK('Control Entry'!K16),"",'Control Entry'!K16)</f>
        <v/>
      </c>
      <c r="G11" s="100"/>
      <c r="H11" s="26" t="s">
        <v>29</v>
      </c>
      <c r="J11" s="15" t="s">
        <v>36</v>
      </c>
      <c r="K11" s="15"/>
      <c r="L11" s="115"/>
      <c r="M11" s="115"/>
      <c r="N11" s="115"/>
      <c r="O11" s="15"/>
      <c r="P11" s="15" t="s">
        <v>37</v>
      </c>
      <c r="Q11" s="15"/>
      <c r="R11" s="15"/>
      <c r="S11" s="139"/>
      <c r="T11" s="139"/>
      <c r="U11" s="139"/>
    </row>
    <row r="12" spans="1:22" ht="36" customHeight="1" thickBot="1" x14ac:dyDescent="0.3">
      <c r="A12" s="27"/>
      <c r="B12" s="28">
        <f>Control_4 Open_time</f>
        <v>45073.468055555553</v>
      </c>
      <c r="C12" s="28">
        <f>Control_4 Close_time</f>
        <v>45073.745138888888</v>
      </c>
      <c r="D12" s="35"/>
      <c r="E12" s="30" t="str">
        <f>IF(ISBLANK(Control_4 Establishment_1),"",Control_4 Establishment_1)</f>
        <v>Your Choice</v>
      </c>
      <c r="F12" s="96" t="str">
        <f>IF(ISBLANK('Control Entry'!I17),"",'Control Entry'!I17)</f>
        <v/>
      </c>
      <c r="G12" s="97"/>
      <c r="H12" s="26" t="s">
        <v>29</v>
      </c>
      <c r="J12" s="15" t="s">
        <v>38</v>
      </c>
      <c r="K12" s="15"/>
      <c r="L12" s="115"/>
      <c r="M12" s="115"/>
      <c r="N12" s="115"/>
      <c r="O12" s="15"/>
      <c r="P12" s="15" t="s">
        <v>39</v>
      </c>
      <c r="Q12" s="15"/>
      <c r="R12" s="15"/>
      <c r="S12" s="139"/>
      <c r="T12" s="139"/>
      <c r="U12" s="139"/>
    </row>
    <row r="13" spans="1:22" ht="36" customHeight="1" thickBot="1" x14ac:dyDescent="0.3">
      <c r="A13" s="36">
        <f>IF(ISBLANK(Distance Control_4),"",Control_4 Distance)</f>
        <v>178.2</v>
      </c>
      <c r="B13" s="37">
        <f>Control_4 Open_time</f>
        <v>45073.468055555553</v>
      </c>
      <c r="C13" s="37">
        <f>Control_4 Close_time</f>
        <v>45073.745138888888</v>
      </c>
      <c r="D13" s="38" t="str">
        <f>IF(ISBLANK(Locale Control_4),"",Locale Control_4)</f>
        <v>Anacortes</v>
      </c>
      <c r="E13" s="30" t="str">
        <f>IF(ISBLANK(Control_4 Establishment_2),"",Control_4 Establishment_2)</f>
        <v>(last option is 7-Eleven @ 12 st)</v>
      </c>
      <c r="F13" s="96" t="str">
        <f>IF(ISBLANK('Control Entry'!J17),"",'Control Entry'!J17)</f>
        <v/>
      </c>
      <c r="G13" s="97"/>
      <c r="H13" s="26" t="s">
        <v>29</v>
      </c>
      <c r="J13" s="15" t="s">
        <v>40</v>
      </c>
      <c r="L13" s="138"/>
      <c r="M13" s="138"/>
      <c r="N13" s="138"/>
      <c r="P13" s="15" t="s">
        <v>41</v>
      </c>
      <c r="Q13" s="15"/>
      <c r="R13" s="140"/>
      <c r="S13" s="140"/>
      <c r="T13" s="140"/>
      <c r="U13" s="140"/>
    </row>
    <row r="14" spans="1:22" ht="36" customHeight="1" thickBot="1" x14ac:dyDescent="0.25">
      <c r="A14" s="31"/>
      <c r="B14" s="32">
        <f>Control_4 Open_time</f>
        <v>45073.468055555553</v>
      </c>
      <c r="C14" s="32">
        <f>Control_4 Close_time</f>
        <v>45073.745138888888</v>
      </c>
      <c r="D14" s="33"/>
      <c r="E14" s="34" t="str">
        <f>IF(ISBLANK(Control_4 Establishment_3),"",Control_4 Establishment_3)</f>
        <v/>
      </c>
      <c r="F14" s="99" t="str">
        <f>IF(ISBLANK('Control Entry'!K17),"",'Control Entry'!K17)</f>
        <v/>
      </c>
      <c r="G14" s="100"/>
      <c r="H14" s="26" t="s">
        <v>29</v>
      </c>
    </row>
    <row r="15" spans="1:22" ht="36" customHeight="1" x14ac:dyDescent="0.2">
      <c r="A15" s="27"/>
      <c r="B15" s="28">
        <f>Control_5 Open_time</f>
        <v>45073.602777777778</v>
      </c>
      <c r="C15" s="28">
        <f>Control_5 Close_time</f>
        <v>45074.034722222219</v>
      </c>
      <c r="D15" s="35"/>
      <c r="E15" s="30" t="str">
        <f>IF(ISBLANK(Control_5 Establishment_1),"",Control_5 Establishment_1)</f>
        <v/>
      </c>
      <c r="F15" s="96" t="str">
        <f>IF(ISBLANK('Control Entry'!I18),"",'Control Entry'!I18)</f>
        <v/>
      </c>
      <c r="G15" s="97"/>
      <c r="H15" s="26" t="s">
        <v>29</v>
      </c>
      <c r="J15" s="15"/>
      <c r="L15" s="129" t="s">
        <v>58</v>
      </c>
      <c r="M15" s="129"/>
      <c r="N15" s="129"/>
      <c r="O15" s="129"/>
      <c r="P15" s="129"/>
      <c r="Q15" s="129"/>
      <c r="R15" s="129"/>
      <c r="S15" s="129"/>
      <c r="T15" s="129"/>
      <c r="U15" s="129"/>
    </row>
    <row r="16" spans="1:22" ht="36" customHeight="1" thickBot="1" x14ac:dyDescent="0.25">
      <c r="A16" s="36">
        <f>IF(ISBLANK(Distance Control_5),"",Control_5 Distance)</f>
        <v>282.60000000000002</v>
      </c>
      <c r="B16" s="37">
        <f>Control_5 Open_time</f>
        <v>45073.602777777778</v>
      </c>
      <c r="C16" s="37">
        <f>Control_5 Close_time</f>
        <v>45074.034722222219</v>
      </c>
      <c r="D16" s="38" t="str">
        <f>IF(ISBLANK(Locale Control_5),"",Locale Control_5)</f>
        <v>Clinton, WA</v>
      </c>
      <c r="E16" s="30" t="str">
        <f>IF(ISBLANK(Control_5 Establishment_2),"",Control_5 Establishment_2)</f>
        <v>Mobil Gas Convenience Store</v>
      </c>
      <c r="F16" s="96" t="str">
        <f>IF(ISBLANK('Control Entry'!J18),"",'Control Entry'!J18)</f>
        <v/>
      </c>
      <c r="G16" s="97"/>
      <c r="H16" s="26" t="s">
        <v>29</v>
      </c>
      <c r="L16" s="116"/>
      <c r="M16" s="116"/>
      <c r="N16" s="116"/>
      <c r="O16" s="116"/>
      <c r="P16" s="116"/>
      <c r="Q16" s="116"/>
      <c r="R16" s="116"/>
      <c r="S16" s="116"/>
      <c r="T16" s="116"/>
      <c r="U16" s="116"/>
    </row>
    <row r="17" spans="1:22" ht="36" customHeight="1" thickBot="1" x14ac:dyDescent="0.25">
      <c r="A17" s="31"/>
      <c r="B17" s="32">
        <f>Control_5 Open_time</f>
        <v>45073.602777777778</v>
      </c>
      <c r="C17" s="32">
        <f>Control_5 Close_time</f>
        <v>45074.034722222219</v>
      </c>
      <c r="D17" s="33"/>
      <c r="E17" s="34" t="str">
        <f>IF(ISBLANK(Control_5 Establishment_3),"",Control_5 Establishment_3)</f>
        <v/>
      </c>
      <c r="F17" s="101" t="str">
        <f>IF(ISBLANK('Control Entry'!K18),"",'Control Entry'!K18)</f>
        <v/>
      </c>
      <c r="G17" s="100"/>
      <c r="H17" s="26" t="s">
        <v>29</v>
      </c>
    </row>
    <row r="18" spans="1:22" ht="36" customHeight="1" x14ac:dyDescent="0.2">
      <c r="A18" s="27"/>
      <c r="B18" s="28">
        <f>Control_6 Open_time</f>
        <v>45073.711805555555</v>
      </c>
      <c r="C18" s="28">
        <f>Control_6 Close_time</f>
        <v>45074.268055555556</v>
      </c>
      <c r="D18" s="35"/>
      <c r="E18" s="30" t="str">
        <f>IF(ISBLANK(Control_6 Establishment_1),"",Control_6 Establishment_1)</f>
        <v/>
      </c>
      <c r="F18" s="96" t="str">
        <f>IF(ISBLANK('Control Entry'!I19),"",'Control Entry'!I19)</f>
        <v/>
      </c>
      <c r="G18" s="97"/>
      <c r="H18" s="26" t="s">
        <v>29</v>
      </c>
    </row>
    <row r="19" spans="1:22" ht="36" customHeight="1" x14ac:dyDescent="0.2">
      <c r="A19" s="36">
        <f>IF(ISBLANK(Distance Control_6),"",Control_6 Distance)</f>
        <v>366.4</v>
      </c>
      <c r="B19" s="37">
        <f>Control_6 Open_time</f>
        <v>45073.711805555555</v>
      </c>
      <c r="C19" s="37">
        <f>Control_6 Close_time</f>
        <v>45074.268055555556</v>
      </c>
      <c r="D19" s="38" t="str">
        <f>IF(ISBLANK(Locale Control_6),"",Locale Control_6)</f>
        <v>Oak Harbor</v>
      </c>
      <c r="E19" s="30" t="str">
        <f>IF(ISBLANK(Control_6 Establishment_2),"",Control_6 Establishment_2)</f>
        <v>Coachman Inn</v>
      </c>
      <c r="F19" s="96" t="str">
        <f>IF(ISBLANK('Control Entry'!J19),"",'Control Entry'!J19)</f>
        <v/>
      </c>
      <c r="G19" s="97"/>
      <c r="H19" s="26" t="s">
        <v>29</v>
      </c>
    </row>
    <row r="20" spans="1:22" ht="36" customHeight="1" thickBot="1" x14ac:dyDescent="0.25">
      <c r="A20" s="31"/>
      <c r="B20" s="32">
        <f>Control_6 Open_time</f>
        <v>45073.711805555555</v>
      </c>
      <c r="C20" s="32">
        <f>Control_6 Close_time</f>
        <v>45074.268055555556</v>
      </c>
      <c r="D20" s="33"/>
      <c r="E20" s="34" t="str">
        <f>IF(ISBLANK(Control_6 Establishment_3),"",Control_6 Establishment_3)</f>
        <v/>
      </c>
      <c r="F20" s="101" t="str">
        <f>IF(ISBLANK('Control Entry'!K19),"",'Control Entry'!K19)</f>
        <v/>
      </c>
      <c r="G20" s="100"/>
      <c r="H20" s="26" t="s">
        <v>29</v>
      </c>
      <c r="J20" s="53" t="s">
        <v>44</v>
      </c>
      <c r="K20" s="53"/>
      <c r="L20" s="137">
        <f>IF(ISBLANK('Control Entry'!B11),"",'Control Entry'!B11)</f>
        <v>45073</v>
      </c>
      <c r="M20" s="137"/>
      <c r="N20" s="137"/>
      <c r="P20" s="15" t="s">
        <v>0</v>
      </c>
      <c r="Q20" s="15"/>
      <c r="S20" s="128">
        <f>IF(ISBLANK('Control Entry'!B12),"",'Control Entry'!B12)</f>
        <v>0.25</v>
      </c>
      <c r="T20" s="128"/>
      <c r="U20" s="128"/>
    </row>
    <row r="21" spans="1:22" ht="36" customHeight="1" x14ac:dyDescent="0.2">
      <c r="A21" s="27"/>
      <c r="B21" s="28">
        <f>Control_7 Open_time</f>
        <v>45073.782638888886</v>
      </c>
      <c r="C21" s="28">
        <f>Control_7 Close_time</f>
        <v>45074.415277777778</v>
      </c>
      <c r="D21" s="35"/>
      <c r="E21" s="30" t="str">
        <f>IF(ISBLANK(Control_7 Establishment_1),"",Control_7 Establishment_1)</f>
        <v>Riders Remembered Memorial</v>
      </c>
      <c r="F21" s="96" t="str">
        <f>IF(ISBLANK('Control Entry'!I20),"",'Control Entry'!I20)</f>
        <v/>
      </c>
      <c r="G21" s="97"/>
      <c r="H21" s="26" t="s">
        <v>29</v>
      </c>
      <c r="J21" s="53"/>
      <c r="K21" s="53"/>
      <c r="L21" s="46"/>
      <c r="M21" s="46"/>
      <c r="N21" s="46"/>
      <c r="P21" s="15"/>
      <c r="Q21" s="15"/>
      <c r="S21" s="54"/>
      <c r="T21" s="54"/>
      <c r="U21" s="54"/>
    </row>
    <row r="22" spans="1:22" ht="36" customHeight="1" thickBot="1" x14ac:dyDescent="0.25">
      <c r="A22" s="36">
        <f>IF(ISBLANK(Distance Control_7),"",Control_7 Distance)</f>
        <v>419.6</v>
      </c>
      <c r="B22" s="37">
        <f>Control_7 Open_time</f>
        <v>45073.782638888886</v>
      </c>
      <c r="C22" s="37">
        <f>Control_7 Close_time</f>
        <v>45074.415277777778</v>
      </c>
      <c r="D22" s="38" t="str">
        <f>IF(ISBLANK(Locale Control_7),"",Locale Control_7)</f>
        <v>Rexville, WA</v>
      </c>
      <c r="E22" s="30" t="str">
        <f>IF(ISBLANK(Control_7 Establishment_2),"",Control_7 Establishment_2)</f>
        <v/>
      </c>
      <c r="F22" s="96" t="str">
        <f>IF(ISBLANK('Control Entry'!J20),"",'Control Entry'!J20)</f>
        <v/>
      </c>
      <c r="G22" s="97"/>
      <c r="H22" s="26" t="s">
        <v>29</v>
      </c>
      <c r="J22" s="53" t="s">
        <v>45</v>
      </c>
      <c r="K22" s="53"/>
      <c r="L22" s="117"/>
      <c r="M22" s="117"/>
      <c r="N22" s="117"/>
      <c r="P22" s="15" t="s">
        <v>1</v>
      </c>
      <c r="Q22" s="15"/>
      <c r="S22" s="113"/>
      <c r="T22" s="113"/>
      <c r="U22" s="113"/>
    </row>
    <row r="23" spans="1:22" ht="36" customHeight="1" thickBot="1" x14ac:dyDescent="0.25">
      <c r="A23" s="31"/>
      <c r="B23" s="32">
        <f>Control_7 Open_time</f>
        <v>45073.782638888886</v>
      </c>
      <c r="C23" s="32">
        <f>Control_7 Close_time</f>
        <v>45074.415277777778</v>
      </c>
      <c r="D23" s="33"/>
      <c r="E23" s="34" t="str">
        <f>IF(ISBLANK(Control_7 Establishment_3),"",Control_7 Establishment_3)</f>
        <v/>
      </c>
      <c r="F23" s="101" t="str">
        <f>IF(ISBLANK('Control Entry'!K20),"",'Control Entry'!K20)</f>
        <v/>
      </c>
      <c r="G23" s="100"/>
      <c r="H23" s="26" t="s">
        <v>29</v>
      </c>
      <c r="J23" s="53"/>
      <c r="K23" s="53"/>
      <c r="L23" s="46"/>
      <c r="M23" s="46"/>
      <c r="N23" s="46"/>
      <c r="P23" s="15"/>
      <c r="Q23" s="15"/>
    </row>
    <row r="24" spans="1:22" ht="36" customHeight="1" thickBot="1" x14ac:dyDescent="0.25">
      <c r="A24" s="27"/>
      <c r="B24" s="28">
        <f>Control_8 Open_time</f>
        <v>45073.828472222223</v>
      </c>
      <c r="C24" s="28">
        <f>Control_8 Close_time</f>
        <v>45074.506249999999</v>
      </c>
      <c r="D24" s="35"/>
      <c r="E24" s="30" t="str">
        <f>IF(ISBLANK(Control_8 Establishment_1),"",Control_8 Establishment_1)</f>
        <v>Your Choice</v>
      </c>
      <c r="F24" s="96" t="str">
        <f>IF(ISBLANK('Control Entry'!I21),"",'Control Entry'!I21)</f>
        <v/>
      </c>
      <c r="G24" s="97"/>
      <c r="H24" s="26" t="s">
        <v>29</v>
      </c>
      <c r="J24" s="113"/>
      <c r="K24" s="113"/>
      <c r="L24" s="113"/>
      <c r="M24" s="113"/>
      <c r="N24" s="113"/>
      <c r="P24" s="15" t="s">
        <v>2</v>
      </c>
      <c r="Q24" s="15"/>
      <c r="S24" s="113"/>
      <c r="T24" s="113"/>
      <c r="U24" s="113"/>
    </row>
    <row r="25" spans="1:22" ht="36" customHeight="1" x14ac:dyDescent="0.2">
      <c r="A25" s="36">
        <f>IF(ISBLANK(Distance Control_8),"",Control_8 Distance)</f>
        <v>452.3</v>
      </c>
      <c r="B25" s="37">
        <f>Control_8 Open_time</f>
        <v>45073.828472222223</v>
      </c>
      <c r="C25" s="37">
        <f>Control_8 Close_time</f>
        <v>45074.506249999999</v>
      </c>
      <c r="D25" s="38" t="str">
        <f>IF(ISBLANK(Locale Control_8),"",Locale Control_8)</f>
        <v>Sedro Woolley</v>
      </c>
      <c r="E25" s="51" t="str">
        <f>IF(ISBLANK(Control_8 Establishment_2),"",Control_8 Establishment_2)</f>
        <v>(Try AM PM)</v>
      </c>
      <c r="F25" s="96" t="str">
        <f>IF(ISBLANK('Control Entry'!J21),"",'Control Entry'!J21)</f>
        <v/>
      </c>
      <c r="G25" s="97"/>
      <c r="H25" s="26" t="s">
        <v>29</v>
      </c>
      <c r="J25" s="126" t="s">
        <v>17</v>
      </c>
      <c r="K25" s="126"/>
      <c r="L25" s="126"/>
      <c r="M25" s="126"/>
      <c r="N25" s="126"/>
      <c r="O25" s="48"/>
      <c r="P25" s="124"/>
      <c r="Q25" s="124"/>
      <c r="R25" s="48"/>
      <c r="S25" s="125"/>
      <c r="T25" s="125"/>
      <c r="U25" s="125"/>
      <c r="V25" s="125"/>
    </row>
    <row r="26" spans="1:22" ht="36" customHeight="1" thickBot="1" x14ac:dyDescent="0.25">
      <c r="A26" s="31"/>
      <c r="B26" s="32">
        <f>Control_8 Open_time</f>
        <v>45073.828472222223</v>
      </c>
      <c r="C26" s="32">
        <f>Control_8 Close_time</f>
        <v>45074.506249999999</v>
      </c>
      <c r="D26" s="33"/>
      <c r="E26" s="34" t="str">
        <f>IF(ISBLANK(Control_8 Establishment_3),"",Control_8 Establishment_3)</f>
        <v/>
      </c>
      <c r="F26" s="101" t="str">
        <f>IF(ISBLANK('Control Entry'!K21),"",'Control Entry'!K21)</f>
        <v/>
      </c>
      <c r="G26" s="100"/>
      <c r="H26" s="26" t="s">
        <v>29</v>
      </c>
    </row>
    <row r="27" spans="1:22" ht="36" customHeight="1" x14ac:dyDescent="0.2">
      <c r="A27" s="27"/>
      <c r="B27" s="28">
        <f>Control_9 Open_time</f>
        <v>45073.943749999999</v>
      </c>
      <c r="C27" s="28">
        <f>Control_9 Close_time</f>
        <v>45074.737500000003</v>
      </c>
      <c r="D27" s="35"/>
      <c r="E27" s="30" t="str">
        <f>IF(ISBLANK(Control_9 Establishment_1),"",Control_9 Establishment_1)</f>
        <v>Birch Bay Park Playground</v>
      </c>
      <c r="F27" s="96" t="str">
        <f>IF(ISBLANK('Control Entry'!I22),"",'Control Entry'!I22)</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
      <c r="A28" s="36">
        <f>IF(ISBLANK(Distance Control_9),"",Control_9 Distance)</f>
        <v>535.4</v>
      </c>
      <c r="B28" s="37">
        <f>Control_9 Open_time</f>
        <v>45073.943749999999</v>
      </c>
      <c r="C28" s="37">
        <f>Control_9 Close_time</f>
        <v>45074.737500000003</v>
      </c>
      <c r="D28" s="38" t="str">
        <f>IF(ISBLANK(Locale Control_9),"",Locale Control_9)</f>
        <v>Birch Bay</v>
      </c>
      <c r="E28" s="30" t="str">
        <f>IF(ISBLANK(Control_9 Establishment_2),"",Control_9 Establishment_2)</f>
        <v>Name of Center                              (Log Building)</v>
      </c>
      <c r="F28" s="96" t="str">
        <f>IF(ISBLANK('Control Entry'!J22),"",'Control Entry'!J22)</f>
        <v/>
      </c>
      <c r="G28" s="97"/>
      <c r="H28" s="26" t="s">
        <v>29</v>
      </c>
    </row>
    <row r="29" spans="1:22" ht="36" customHeight="1" thickBot="1" x14ac:dyDescent="0.25">
      <c r="A29" s="31"/>
      <c r="B29" s="32">
        <f>Control_9 Open_time</f>
        <v>45073.943749999999</v>
      </c>
      <c r="C29" s="32">
        <f>Control_9 Close_time</f>
        <v>45074.737500000003</v>
      </c>
      <c r="D29" s="33"/>
      <c r="E29" s="34" t="str">
        <f>IF(ISBLANK(Control_9 Establishment_3),"",Control_9 Establishment_3)</f>
        <v>Info Control</v>
      </c>
      <c r="F29" s="101" t="str">
        <f>IF(ISBLANK('Control Entry'!K22),"",'Control Entry'!K22)</f>
        <v/>
      </c>
      <c r="G29" s="100"/>
      <c r="H29" s="26" t="s">
        <v>29</v>
      </c>
      <c r="M29" s="132" t="s">
        <v>42</v>
      </c>
      <c r="N29" s="132"/>
      <c r="O29" s="132"/>
      <c r="P29" s="132"/>
      <c r="Q29" s="132"/>
      <c r="R29" s="132"/>
      <c r="S29" s="132"/>
      <c r="T29" s="132"/>
      <c r="U29" s="52"/>
    </row>
    <row r="30" spans="1:22" ht="36" customHeight="1" x14ac:dyDescent="0.2">
      <c r="A30" s="27"/>
      <c r="B30" s="28">
        <f>Control_10 Open_time</f>
        <v>45074.038194444445</v>
      </c>
      <c r="C30" s="28">
        <f>Control_10 Close_time</f>
        <v>45074.916666666664</v>
      </c>
      <c r="D30" s="35"/>
      <c r="E30" s="30" t="str">
        <f>IF(ISBLANK(Control_10 Establishment_1),"",Control_10 Establishment_1)</f>
        <v>Artigiano before 1pm</v>
      </c>
      <c r="F30" s="96" t="str">
        <f>IF(ISBLANK('Control Entry'!I23),"",'Control Entry'!I23)</f>
        <v/>
      </c>
      <c r="G30" s="97"/>
      <c r="H30" s="26" t="s">
        <v>29</v>
      </c>
      <c r="M30" s="16"/>
      <c r="N30" s="19"/>
      <c r="O30" s="19"/>
      <c r="P30" s="20"/>
      <c r="Q30" s="19"/>
      <c r="R30" s="19"/>
      <c r="S30" s="19"/>
      <c r="T30" s="20"/>
    </row>
    <row r="31" spans="1:22" ht="36" customHeight="1" x14ac:dyDescent="0.2">
      <c r="A31" s="36">
        <f>IF(ISBLANK(Distance Control_10),"",Control_10 Distance)</f>
        <v>603.20000000000005</v>
      </c>
      <c r="B31" s="37">
        <f>Control_10 Open_time</f>
        <v>45074.038194444445</v>
      </c>
      <c r="C31" s="37">
        <f>Control_10 Close_time</f>
        <v>45074.916666666664</v>
      </c>
      <c r="D31" s="38" t="str">
        <f>IF(ISBLANK(Locale Control_10),"",Locale Control_10)</f>
        <v>Vancouver</v>
      </c>
      <c r="E31" s="30" t="str">
        <f>IF(ISBLANK(Control_10 Establishment_2),"",Control_10 Establishment_2)</f>
        <v>Portland Craft after 1pm</v>
      </c>
      <c r="F31" s="96" t="str">
        <f>IF(ISBLANK('Control Entry'!J23),"",'Control Entry'!J23)</f>
        <v/>
      </c>
      <c r="G31" s="97"/>
      <c r="H31" s="26" t="s">
        <v>29</v>
      </c>
      <c r="M31" s="17"/>
      <c r="P31" s="21"/>
      <c r="T31" s="21"/>
    </row>
    <row r="32" spans="1:22" ht="36" customHeight="1" thickBot="1" x14ac:dyDescent="0.25">
      <c r="A32" s="31"/>
      <c r="B32" s="32">
        <f>Control_10 Open_time</f>
        <v>45074.038194444445</v>
      </c>
      <c r="C32" s="32">
        <f>Control_10 Close_time</f>
        <v>45074.916666666664</v>
      </c>
      <c r="D32" s="33"/>
      <c r="E32" s="34" t="str">
        <f>IF(ISBLANK(Control_10 Establishment_3),"",Control_10 Establishment_3)</f>
        <v/>
      </c>
      <c r="F32" s="101" t="str">
        <f>IF(ISBLANK('Control Entry'!K23),"",'Control Entry'!K23)</f>
        <v/>
      </c>
      <c r="G32" s="100"/>
      <c r="H32" s="26" t="s">
        <v>29</v>
      </c>
      <c r="M32" s="50"/>
      <c r="N32" s="18"/>
      <c r="O32" s="18"/>
      <c r="P32" s="22"/>
      <c r="Q32" s="18"/>
      <c r="R32" s="18"/>
      <c r="S32" s="18"/>
      <c r="T32" s="22"/>
    </row>
    <row r="33" spans="1:22" ht="36" customHeight="1" x14ac:dyDescent="0.2">
      <c r="A33" s="122" t="s">
        <v>43</v>
      </c>
      <c r="B33" s="122"/>
      <c r="C33" s="122"/>
      <c r="D33" s="122"/>
      <c r="E33" s="122"/>
      <c r="F33" s="122"/>
      <c r="G33" s="122"/>
      <c r="H33" s="39"/>
      <c r="I33" s="39"/>
      <c r="M33" s="133" t="s">
        <v>82</v>
      </c>
      <c r="N33" s="134"/>
      <c r="O33" s="134"/>
      <c r="P33" s="134"/>
      <c r="Q33" s="135">
        <f>'Control Entry'!B3</f>
        <v>44674</v>
      </c>
      <c r="R33" s="136"/>
      <c r="S33" s="136"/>
      <c r="T33" s="136"/>
      <c r="V33" s="46"/>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copies="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74</v>
      </c>
      <c r="B1" s="121"/>
      <c r="C1" s="121"/>
      <c r="D1" s="121"/>
      <c r="E1" s="121"/>
      <c r="F1" s="121"/>
      <c r="G1" s="121"/>
      <c r="H1" s="26" t="s">
        <v>29</v>
      </c>
    </row>
    <row r="2" spans="1:22" ht="33.75" customHeight="1" thickBot="1" x14ac:dyDescent="0.25">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45">
      <c r="A3" s="27"/>
      <c r="B3" s="28" t="str">
        <f>'Control Entry'!N27</f>
        <v/>
      </c>
      <c r="C3" s="28" t="str">
        <f>'Control Entry'!O27</f>
        <v/>
      </c>
      <c r="D3" s="29"/>
      <c r="E3" s="30" t="str">
        <f>IF(ISBLANK('Control Entry'!F27),"",'Control Entry'!F27)</f>
        <v/>
      </c>
      <c r="F3" s="96" t="str">
        <f>IF(ISBLANK('Control Entry'!I27),"",'Control Entry'!I27)</f>
        <v/>
      </c>
      <c r="G3" s="97"/>
      <c r="H3" s="26" t="s">
        <v>29</v>
      </c>
      <c r="K3" s="14"/>
      <c r="O3" s="127" t="s">
        <v>73</v>
      </c>
      <c r="P3" s="127"/>
      <c r="Q3" s="127"/>
      <c r="R3" s="127"/>
      <c r="S3" s="84" t="str">
        <f>IF('Control Entry'!D27=0,"","#2")</f>
        <v/>
      </c>
      <c r="U3" s="40"/>
    </row>
    <row r="4" spans="1:22" ht="36" customHeight="1" x14ac:dyDescent="0.2">
      <c r="A4" s="36" t="str">
        <f>IF(ISBLANK('Control Entry'!D27),"",'Control Entry'!D27)</f>
        <v/>
      </c>
      <c r="B4" s="37" t="str">
        <f>'Control Entry'!N27</f>
        <v/>
      </c>
      <c r="C4" s="37" t="str">
        <f>'Control Entry'!O27</f>
        <v/>
      </c>
      <c r="D4" s="38" t="str">
        <f>IF(ISBLANK('Control Entry'!E27),"",'Control Entry'!E27)</f>
        <v/>
      </c>
      <c r="E4" s="30" t="str">
        <f>IF(ISBLANK('Control Entry'!G27),"",'Control Entry'!G27)</f>
        <v/>
      </c>
      <c r="F4" s="96" t="str">
        <f>IF(ISBLANK('Control Entry'!J27),"",'Control Entry'!J27)</f>
        <v/>
      </c>
      <c r="G4" s="97"/>
      <c r="H4" s="26" t="s">
        <v>29</v>
      </c>
      <c r="K4" s="14"/>
      <c r="M4" s="123" t="str">
        <f>IF(ISBLANK(brevet),"",brevet&amp;" km Randonnée")</f>
        <v>600 km Randonnée</v>
      </c>
      <c r="N4" s="123"/>
      <c r="O4" s="123"/>
      <c r="P4" s="123"/>
      <c r="Q4" s="123"/>
      <c r="R4" s="123"/>
      <c r="S4" s="123"/>
      <c r="T4" s="123"/>
      <c r="U4" s="41"/>
    </row>
    <row r="5" spans="1:22" ht="36" customHeight="1" thickBot="1" x14ac:dyDescent="0.25">
      <c r="A5" s="31"/>
      <c r="B5" s="32" t="str">
        <f>'Control Entry'!N27</f>
        <v/>
      </c>
      <c r="C5" s="32" t="str">
        <f>'Control Entry'!O27</f>
        <v/>
      </c>
      <c r="D5" s="33"/>
      <c r="E5" s="34" t="str">
        <f>IF(ISBLANK('Control Entry'!H27),"",'Control Entry'!H27)</f>
        <v/>
      </c>
      <c r="F5" s="101" t="str">
        <f>IF(ISBLANK('Control Entry'!K27),"",'Control Entry'!K27)</f>
        <v/>
      </c>
      <c r="G5" s="100"/>
      <c r="H5" s="26" t="s">
        <v>29</v>
      </c>
      <c r="K5" s="14"/>
      <c r="M5" s="15"/>
      <c r="N5" s="125" t="s">
        <v>47</v>
      </c>
      <c r="O5" s="125"/>
      <c r="P5" s="55">
        <f>IF(ISBLANK(Brevet_Number),"",Brevet_Number)</f>
        <v>5244</v>
      </c>
      <c r="Q5" s="56"/>
      <c r="R5" s="118">
        <f>IF(ISBLANK('Control Entry'!$B9),"",'Control Entry'!$B9)</f>
        <v>45073</v>
      </c>
      <c r="S5" s="118"/>
      <c r="T5" s="118"/>
      <c r="U5" s="118"/>
      <c r="V5" s="42"/>
    </row>
    <row r="6" spans="1:22" ht="36" customHeight="1" x14ac:dyDescent="0.2">
      <c r="A6" s="27"/>
      <c r="B6" s="28" t="str">
        <f>'Control Entry'!N28</f>
        <v/>
      </c>
      <c r="C6" s="28" t="str">
        <f>'Control Entry'!O28</f>
        <v/>
      </c>
      <c r="D6" s="35"/>
      <c r="E6" s="30" t="str">
        <f>IF(ISBLANK('Control Entry'!F28),"",'Control Entry'!F28)</f>
        <v/>
      </c>
      <c r="F6" s="96" t="str">
        <f>IF(ISBLANK('Control Entry'!I28),"",'Control Entry'!I28)</f>
        <v/>
      </c>
      <c r="G6" s="97"/>
      <c r="H6" s="26" t="s">
        <v>29</v>
      </c>
      <c r="K6" s="14"/>
      <c r="L6" s="130" t="str">
        <f>IF(ISBLANK(Brevet_Description),"",Brevet_Description)</f>
        <v>Whidbey Whanderer</v>
      </c>
      <c r="M6" s="130"/>
      <c r="N6" s="130"/>
      <c r="O6" s="130"/>
      <c r="P6" s="130"/>
      <c r="Q6" s="130"/>
      <c r="R6" s="130"/>
      <c r="S6" s="130"/>
      <c r="T6" s="130"/>
      <c r="U6" s="130"/>
    </row>
    <row r="7" spans="1:22" ht="36" customHeight="1" x14ac:dyDescent="0.2">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29</v>
      </c>
    </row>
    <row r="8" spans="1:22" ht="36" customHeight="1" thickBot="1" x14ac:dyDescent="0.25">
      <c r="A8" s="31"/>
      <c r="B8" s="32" t="str">
        <f>'Control Entry'!N28</f>
        <v/>
      </c>
      <c r="C8" s="32" t="str">
        <f>'Control Entry'!O28</f>
        <v/>
      </c>
      <c r="D8" s="33"/>
      <c r="E8" s="34" t="str">
        <f>IF(ISBLANK('Control Entry'!H28),"",'Control Entry'!H28)</f>
        <v/>
      </c>
      <c r="F8" s="101" t="str">
        <f>IF(ISBLANK('Control Entry'!K28),"",'Control Entry'!K28)</f>
        <v/>
      </c>
      <c r="G8" s="100"/>
      <c r="H8" s="26" t="s">
        <v>29</v>
      </c>
      <c r="J8" s="15" t="s">
        <v>34</v>
      </c>
      <c r="L8" s="120"/>
      <c r="M8" s="120"/>
      <c r="N8" s="120"/>
      <c r="O8" s="120"/>
      <c r="P8" s="120"/>
      <c r="Q8" s="120"/>
      <c r="S8" s="43" t="s">
        <v>46</v>
      </c>
      <c r="T8" s="131"/>
      <c r="U8" s="131"/>
    </row>
    <row r="9" spans="1:22" ht="36" customHeight="1" thickBot="1" x14ac:dyDescent="0.3">
      <c r="A9" s="27"/>
      <c r="B9" s="28" t="str">
        <f>'Control Entry'!N29</f>
        <v/>
      </c>
      <c r="C9" s="28" t="str">
        <f>'Control Entry'!O29</f>
        <v/>
      </c>
      <c r="D9" s="35"/>
      <c r="E9" s="30" t="str">
        <f>IF(ISBLANK('Control Entry'!F29),"",'Control Entry'!F29)</f>
        <v/>
      </c>
      <c r="F9" s="96" t="str">
        <f>IF(ISBLANK('Control Entry'!I29),"",'Control Entry'!I29)</f>
        <v/>
      </c>
      <c r="G9" s="97"/>
      <c r="H9" s="26" t="s">
        <v>29</v>
      </c>
      <c r="J9" s="15" t="s">
        <v>35</v>
      </c>
      <c r="K9" s="15"/>
      <c r="L9" s="114" t="s">
        <v>54</v>
      </c>
      <c r="M9" s="114"/>
      <c r="N9" s="114"/>
      <c r="O9" s="114"/>
      <c r="P9" s="114"/>
      <c r="Q9" s="114"/>
      <c r="R9" s="114"/>
      <c r="S9" s="114"/>
      <c r="T9" s="114"/>
      <c r="U9" s="114"/>
    </row>
    <row r="10" spans="1:22" ht="36" customHeight="1" thickBot="1" x14ac:dyDescent="0.3">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29</v>
      </c>
      <c r="J10" s="15"/>
      <c r="K10" s="15"/>
      <c r="L10" s="115"/>
      <c r="M10" s="115"/>
      <c r="N10" s="115"/>
      <c r="O10" s="115"/>
      <c r="P10" s="115"/>
      <c r="Q10" s="115"/>
      <c r="R10" s="115"/>
      <c r="S10" s="115"/>
      <c r="T10" s="115"/>
      <c r="U10" s="115"/>
    </row>
    <row r="11" spans="1:22" ht="36" customHeight="1" thickBot="1" x14ac:dyDescent="0.3">
      <c r="A11" s="31"/>
      <c r="B11" s="32" t="str">
        <f>'Control Entry'!N29</f>
        <v/>
      </c>
      <c r="C11" s="32" t="str">
        <f>'Control Entry'!O29</f>
        <v/>
      </c>
      <c r="D11" s="33"/>
      <c r="E11" s="34" t="str">
        <f>IF(ISBLANK('Control Entry'!H29),"",'Control Entry'!H29)</f>
        <v/>
      </c>
      <c r="F11" s="101" t="str">
        <f>IF(ISBLANK('Control Entry'!K29),"",'Control Entry'!K29)</f>
        <v/>
      </c>
      <c r="G11" s="100"/>
      <c r="H11" s="26" t="s">
        <v>29</v>
      </c>
      <c r="J11" s="15" t="s">
        <v>36</v>
      </c>
      <c r="K11" s="15"/>
      <c r="L11" s="115"/>
      <c r="M11" s="115"/>
      <c r="N11" s="115"/>
      <c r="O11" s="15"/>
      <c r="P11" s="15" t="s">
        <v>37</v>
      </c>
      <c r="Q11" s="15"/>
      <c r="R11" s="15"/>
      <c r="S11" s="139"/>
      <c r="T11" s="139"/>
      <c r="U11" s="139"/>
    </row>
    <row r="12" spans="1:22" ht="36" customHeight="1" thickBot="1" x14ac:dyDescent="0.3">
      <c r="A12" s="27"/>
      <c r="B12" s="28" t="str">
        <f>'Control Entry'!N30</f>
        <v/>
      </c>
      <c r="C12" s="28" t="str">
        <f>'Control Entry'!O30</f>
        <v/>
      </c>
      <c r="D12" s="35"/>
      <c r="E12" s="30" t="str">
        <f>IF(ISBLANK('Control Entry'!F30),"",'Control Entry'!F30)</f>
        <v/>
      </c>
      <c r="F12" s="96" t="str">
        <f>IF(ISBLANK('Control Entry'!I30),"",'Control Entry'!I30)</f>
        <v/>
      </c>
      <c r="G12" s="97"/>
      <c r="H12" s="26" t="s">
        <v>29</v>
      </c>
      <c r="J12" s="15" t="s">
        <v>38</v>
      </c>
      <c r="K12" s="15"/>
      <c r="L12" s="115"/>
      <c r="M12" s="115"/>
      <c r="N12" s="115"/>
      <c r="O12" s="15"/>
      <c r="P12" s="15" t="s">
        <v>39</v>
      </c>
      <c r="Q12" s="15"/>
      <c r="R12" s="15"/>
      <c r="S12" s="139"/>
      <c r="T12" s="139"/>
      <c r="U12" s="139"/>
    </row>
    <row r="13" spans="1:22" ht="36" customHeight="1" thickBot="1" x14ac:dyDescent="0.3">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29</v>
      </c>
      <c r="J13" s="15" t="s">
        <v>40</v>
      </c>
      <c r="L13" s="138"/>
      <c r="M13" s="138"/>
      <c r="N13" s="138"/>
      <c r="P13" s="15" t="s">
        <v>41</v>
      </c>
      <c r="Q13" s="15"/>
      <c r="R13" s="140"/>
      <c r="S13" s="140"/>
      <c r="T13" s="140"/>
      <c r="U13" s="140"/>
    </row>
    <row r="14" spans="1:22" ht="36" customHeight="1" thickBot="1" x14ac:dyDescent="0.25">
      <c r="A14" s="31"/>
      <c r="B14" s="32" t="str">
        <f>'Control Entry'!N30</f>
        <v/>
      </c>
      <c r="C14" s="32" t="str">
        <f>'Control Entry'!O30</f>
        <v/>
      </c>
      <c r="D14" s="33"/>
      <c r="E14" s="34" t="str">
        <f>IF(ISBLANK('Control Entry'!H30),"",'Control Entry'!H30)</f>
        <v/>
      </c>
      <c r="F14" s="101" t="str">
        <f>IF(ISBLANK('Control Entry'!K30),"",'Control Entry'!K30)</f>
        <v/>
      </c>
      <c r="G14" s="100"/>
      <c r="H14" s="26" t="s">
        <v>29</v>
      </c>
    </row>
    <row r="15" spans="1:22" ht="36" customHeight="1" x14ac:dyDescent="0.2">
      <c r="A15" s="27"/>
      <c r="B15" s="28" t="str">
        <f>'Control Entry'!N31</f>
        <v/>
      </c>
      <c r="C15" s="28" t="str">
        <f>'Control Entry'!O31</f>
        <v/>
      </c>
      <c r="D15" s="35"/>
      <c r="E15" s="30" t="str">
        <f>IF(ISBLANK('Control Entry'!F31),"",'Control Entry'!F31)</f>
        <v/>
      </c>
      <c r="F15" s="96" t="str">
        <f>IF(ISBLANK('Control Entry'!I31),"",'Control Entry'!I31)</f>
        <v/>
      </c>
      <c r="G15" s="97"/>
      <c r="H15" s="26" t="s">
        <v>29</v>
      </c>
      <c r="J15" s="15"/>
      <c r="L15" s="129" t="s">
        <v>58</v>
      </c>
      <c r="M15" s="129"/>
      <c r="N15" s="129"/>
      <c r="O15" s="129"/>
      <c r="P15" s="129"/>
      <c r="Q15" s="129"/>
      <c r="R15" s="129"/>
      <c r="S15" s="129"/>
      <c r="T15" s="129"/>
      <c r="U15" s="129"/>
    </row>
    <row r="16" spans="1:22" ht="36" customHeight="1" thickBot="1" x14ac:dyDescent="0.25">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29</v>
      </c>
      <c r="L16" s="116"/>
      <c r="M16" s="116"/>
      <c r="N16" s="116"/>
      <c r="O16" s="116"/>
      <c r="P16" s="116"/>
      <c r="Q16" s="116"/>
      <c r="R16" s="116"/>
      <c r="S16" s="116"/>
      <c r="T16" s="116"/>
      <c r="U16" s="116"/>
    </row>
    <row r="17" spans="1:22" ht="36" customHeight="1" thickBot="1" x14ac:dyDescent="0.25">
      <c r="A17" s="31"/>
      <c r="B17" s="32" t="str">
        <f>'Control Entry'!N31</f>
        <v/>
      </c>
      <c r="C17" s="32" t="str">
        <f>'Control Entry'!O31</f>
        <v/>
      </c>
      <c r="D17" s="33"/>
      <c r="E17" s="34" t="str">
        <f>IF(ISBLANK('Control Entry'!H31),"",'Control Entry'!H31)</f>
        <v/>
      </c>
      <c r="F17" s="101" t="str">
        <f>IF(ISBLANK('Control Entry'!K31),"",'Control Entry'!K31)</f>
        <v/>
      </c>
      <c r="G17" s="100"/>
      <c r="H17" s="26" t="s">
        <v>29</v>
      </c>
    </row>
    <row r="18" spans="1:22" ht="36" customHeight="1" x14ac:dyDescent="0.2">
      <c r="A18" s="27"/>
      <c r="B18" s="28" t="str">
        <f>'Control Entry'!N32</f>
        <v/>
      </c>
      <c r="C18" s="28" t="str">
        <f>'Control Entry'!O32</f>
        <v/>
      </c>
      <c r="D18" s="35"/>
      <c r="E18" s="30" t="str">
        <f>IF(ISBLANK('Control Entry'!F32),"",'Control Entry'!F32)</f>
        <v/>
      </c>
      <c r="F18" s="96" t="str">
        <f>IF(ISBLANK('Control Entry'!I32),"",'Control Entry'!I32)</f>
        <v/>
      </c>
      <c r="G18" s="97"/>
      <c r="H18" s="26" t="s">
        <v>29</v>
      </c>
    </row>
    <row r="19" spans="1:22" ht="36" customHeight="1" x14ac:dyDescent="0.2">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29</v>
      </c>
    </row>
    <row r="20" spans="1:22" ht="36" customHeight="1" thickBot="1" x14ac:dyDescent="0.25">
      <c r="A20" s="31"/>
      <c r="B20" s="32" t="str">
        <f>'Control Entry'!N32</f>
        <v/>
      </c>
      <c r="C20" s="32" t="str">
        <f>'Control Entry'!O32</f>
        <v/>
      </c>
      <c r="D20" s="33"/>
      <c r="E20" s="34" t="str">
        <f>IF(ISBLANK('Control Entry'!H32),"",'Control Entry'!H32)</f>
        <v/>
      </c>
      <c r="F20" s="101" t="str">
        <f>IF(ISBLANK('Control Entry'!K32),"",'Control Entry'!K32)</f>
        <v/>
      </c>
      <c r="G20" s="100"/>
      <c r="H20" s="26" t="s">
        <v>29</v>
      </c>
      <c r="J20" s="53" t="s">
        <v>44</v>
      </c>
      <c r="K20" s="53"/>
      <c r="L20" s="141">
        <f>IF(ISBLANK('Control Entry'!B11),"",'Control Entry'!B11)</f>
        <v>45073</v>
      </c>
      <c r="M20" s="141"/>
      <c r="N20" s="141"/>
      <c r="P20" s="15" t="s">
        <v>0</v>
      </c>
      <c r="Q20" s="15"/>
      <c r="S20" s="128">
        <f>IF(ISBLANK('Control Entry'!B12),"",'Control Entry'!B12)</f>
        <v>0.25</v>
      </c>
      <c r="T20" s="128"/>
      <c r="U20" s="128"/>
    </row>
    <row r="21" spans="1:22" ht="36" customHeight="1" x14ac:dyDescent="0.2">
      <c r="A21" s="27"/>
      <c r="B21" s="28" t="str">
        <f>'Control Entry'!N33</f>
        <v/>
      </c>
      <c r="C21" s="28" t="str">
        <f>'Control Entry'!O33</f>
        <v/>
      </c>
      <c r="D21" s="35"/>
      <c r="E21" s="30" t="str">
        <f>IF(ISBLANK('Control Entry'!F33),"",'Control Entry'!F33)</f>
        <v/>
      </c>
      <c r="F21" s="96" t="str">
        <f>IF(ISBLANK('Control Entry'!I33),"",'Control Entry'!I33)</f>
        <v/>
      </c>
      <c r="G21" s="97"/>
      <c r="H21" s="26" t="s">
        <v>29</v>
      </c>
      <c r="J21" s="53"/>
      <c r="K21" s="53"/>
      <c r="L21" s="46"/>
      <c r="M21" s="46"/>
      <c r="N21" s="46"/>
      <c r="P21" s="15"/>
      <c r="Q21" s="15"/>
      <c r="S21" s="54"/>
      <c r="T21" s="54"/>
      <c r="U21" s="54"/>
    </row>
    <row r="22" spans="1:22" ht="36" customHeight="1" thickBot="1" x14ac:dyDescent="0.2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29</v>
      </c>
      <c r="J22" s="53" t="s">
        <v>45</v>
      </c>
      <c r="K22" s="53"/>
      <c r="L22" s="117"/>
      <c r="M22" s="117"/>
      <c r="N22" s="117"/>
      <c r="P22" s="15" t="s">
        <v>1</v>
      </c>
      <c r="Q22" s="15"/>
      <c r="S22" s="113"/>
      <c r="T22" s="113"/>
      <c r="U22" s="113"/>
    </row>
    <row r="23" spans="1:22" ht="36" customHeight="1" thickBot="1" x14ac:dyDescent="0.25">
      <c r="A23" s="31"/>
      <c r="B23" s="32" t="str">
        <f>'Control Entry'!N33</f>
        <v/>
      </c>
      <c r="C23" s="32" t="str">
        <f>'Control Entry'!O33</f>
        <v/>
      </c>
      <c r="D23" s="33"/>
      <c r="E23" s="34" t="str">
        <f>IF(ISBLANK('Control Entry'!H33),"",'Control Entry'!H33)</f>
        <v/>
      </c>
      <c r="F23" s="101" t="str">
        <f>IF(ISBLANK('Control Entry'!K33),"",'Control Entry'!K33)</f>
        <v/>
      </c>
      <c r="G23" s="100"/>
      <c r="H23" s="26" t="s">
        <v>29</v>
      </c>
      <c r="J23" s="53"/>
      <c r="K23" s="53"/>
      <c r="L23" s="46"/>
      <c r="M23" s="46"/>
      <c r="N23" s="46"/>
      <c r="P23" s="15"/>
      <c r="Q23" s="15"/>
    </row>
    <row r="24" spans="1:22" ht="36" customHeight="1" thickBot="1" x14ac:dyDescent="0.25">
      <c r="A24" s="27"/>
      <c r="B24" s="28" t="str">
        <f>'Control Entry'!N34</f>
        <v/>
      </c>
      <c r="C24" s="28" t="str">
        <f>'Control Entry'!O34</f>
        <v/>
      </c>
      <c r="D24" s="35"/>
      <c r="E24" s="30" t="str">
        <f>IF(ISBLANK('Control Entry'!F34),"",'Control Entry'!F34)</f>
        <v/>
      </c>
      <c r="F24" s="96" t="str">
        <f>IF(ISBLANK('Control Entry'!I34),"",'Control Entry'!I34)</f>
        <v/>
      </c>
      <c r="G24" s="97"/>
      <c r="H24" s="26" t="s">
        <v>29</v>
      </c>
      <c r="J24" s="113"/>
      <c r="K24" s="113"/>
      <c r="L24" s="113"/>
      <c r="M24" s="113"/>
      <c r="N24" s="113"/>
      <c r="P24" s="15" t="s">
        <v>2</v>
      </c>
      <c r="Q24" s="15"/>
      <c r="S24" s="113"/>
      <c r="T24" s="113"/>
      <c r="U24" s="113"/>
    </row>
    <row r="25" spans="1:22" ht="36" customHeight="1" x14ac:dyDescent="0.2">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29</v>
      </c>
      <c r="J25" s="126" t="s">
        <v>17</v>
      </c>
      <c r="K25" s="126"/>
      <c r="L25" s="126"/>
      <c r="M25" s="126"/>
      <c r="N25" s="126"/>
      <c r="O25" s="48"/>
      <c r="P25" s="124"/>
      <c r="Q25" s="124"/>
      <c r="R25" s="48"/>
      <c r="S25" s="125"/>
      <c r="T25" s="125"/>
      <c r="U25" s="125"/>
      <c r="V25" s="125"/>
    </row>
    <row r="26" spans="1:22" ht="36" customHeight="1" thickBot="1" x14ac:dyDescent="0.25">
      <c r="A26" s="31"/>
      <c r="B26" s="32" t="str">
        <f>'Control Entry'!N34</f>
        <v/>
      </c>
      <c r="C26" s="32" t="str">
        <f>'Control Entry'!O34</f>
        <v/>
      </c>
      <c r="D26" s="33"/>
      <c r="E26" s="34" t="str">
        <f>IF(ISBLANK('Control Entry'!H34),"",'Control Entry'!H34)</f>
        <v/>
      </c>
      <c r="F26" s="101" t="str">
        <f>IF(ISBLANK('Control Entry'!K34),"",'Control Entry'!K34)</f>
        <v/>
      </c>
      <c r="G26" s="100"/>
      <c r="H26" s="26" t="s">
        <v>29</v>
      </c>
    </row>
    <row r="27" spans="1:22" ht="36" customHeight="1" x14ac:dyDescent="0.2">
      <c r="A27" s="27"/>
      <c r="B27" s="28" t="str">
        <f>'Control Entry'!N35</f>
        <v/>
      </c>
      <c r="C27" s="28" t="str">
        <f>'Control Entry'!O35</f>
        <v/>
      </c>
      <c r="D27" s="35"/>
      <c r="E27" s="30" t="str">
        <f>IF(ISBLANK('Control Entry'!F35),"",'Control Entry'!F35)</f>
        <v/>
      </c>
      <c r="F27" s="96" t="str">
        <f>IF(ISBLANK('Control Entry'!I35),"",'Control Entry'!I35)</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29</v>
      </c>
    </row>
    <row r="29" spans="1:22" ht="36" customHeight="1" thickBot="1" x14ac:dyDescent="0.25">
      <c r="A29" s="31"/>
      <c r="B29" s="32" t="str">
        <f>'Control Entry'!N35</f>
        <v/>
      </c>
      <c r="C29" s="32" t="str">
        <f>'Control Entry'!O35</f>
        <v/>
      </c>
      <c r="D29" s="33"/>
      <c r="E29" s="34" t="str">
        <f>IF(ISBLANK('Control Entry'!H35),"",'Control Entry'!H35)</f>
        <v/>
      </c>
      <c r="F29" s="101" t="str">
        <f>IF(ISBLANK('Control Entry'!K35),"",'Control Entry'!K35)</f>
        <v/>
      </c>
      <c r="G29" s="100"/>
      <c r="H29" s="26" t="s">
        <v>29</v>
      </c>
      <c r="M29" s="132" t="s">
        <v>42</v>
      </c>
      <c r="N29" s="132"/>
      <c r="O29" s="132"/>
      <c r="P29" s="132"/>
      <c r="Q29" s="132"/>
      <c r="R29" s="132"/>
      <c r="S29" s="132"/>
      <c r="T29" s="132"/>
      <c r="U29" s="52"/>
    </row>
    <row r="30" spans="1:22" ht="36" customHeight="1" x14ac:dyDescent="0.2">
      <c r="A30" s="27"/>
      <c r="B30" s="28" t="str">
        <f>'Control Entry'!N36</f>
        <v/>
      </c>
      <c r="C30" s="28" t="str">
        <f>'Control Entry'!O36</f>
        <v/>
      </c>
      <c r="D30" s="35"/>
      <c r="E30" s="30" t="str">
        <f>IF(ISBLANK('Control Entry'!F36),"",'Control Entry'!F36)</f>
        <v/>
      </c>
      <c r="F30" s="96" t="str">
        <f>IF(ISBLANK('Control Entry'!I36),"",'Control Entry'!I36)</f>
        <v/>
      </c>
      <c r="G30" s="97"/>
      <c r="H30" s="26" t="s">
        <v>29</v>
      </c>
      <c r="M30" s="16"/>
      <c r="N30" s="19"/>
      <c r="O30" s="19"/>
      <c r="P30" s="20"/>
      <c r="Q30" s="19"/>
      <c r="R30" s="19"/>
      <c r="S30" s="19"/>
      <c r="T30" s="20"/>
    </row>
    <row r="31" spans="1:22" ht="36" customHeight="1" x14ac:dyDescent="0.2">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29</v>
      </c>
      <c r="M31" s="17"/>
      <c r="P31" s="21"/>
      <c r="T31" s="21"/>
    </row>
    <row r="32" spans="1:22" ht="36" customHeight="1" thickBot="1" x14ac:dyDescent="0.25">
      <c r="A32" s="31"/>
      <c r="B32" s="32" t="str">
        <f>'Control Entry'!N36</f>
        <v/>
      </c>
      <c r="C32" s="32" t="str">
        <f>'Control Entry'!O36</f>
        <v/>
      </c>
      <c r="D32" s="33"/>
      <c r="E32" s="34" t="str">
        <f>IF(ISBLANK('Control Entry'!H36),"",'Control Entry'!H36)</f>
        <v/>
      </c>
      <c r="F32" s="101" t="str">
        <f>IF(ISBLANK('Control Entry'!K36),"",'Control Entry'!K36)</f>
        <v/>
      </c>
      <c r="G32" s="100"/>
      <c r="H32" s="26" t="s">
        <v>29</v>
      </c>
      <c r="M32" s="50"/>
      <c r="N32" s="18"/>
      <c r="O32" s="18"/>
      <c r="P32" s="22"/>
      <c r="Q32" s="18"/>
      <c r="R32" s="18"/>
      <c r="S32" s="18"/>
      <c r="T32" s="22"/>
    </row>
    <row r="33" spans="1:22" ht="36" customHeight="1" x14ac:dyDescent="0.2">
      <c r="A33" s="122" t="s">
        <v>43</v>
      </c>
      <c r="B33" s="122"/>
      <c r="C33" s="122"/>
      <c r="D33" s="122"/>
      <c r="E33" s="122"/>
      <c r="F33" s="122"/>
      <c r="G33" s="122"/>
      <c r="H33" s="39"/>
      <c r="I33" s="39"/>
      <c r="M33" s="133" t="s">
        <v>82</v>
      </c>
      <c r="N33" s="134"/>
      <c r="O33" s="134"/>
      <c r="P33" s="134"/>
      <c r="Q33" s="135">
        <f>'Control Entry'!B3</f>
        <v>44674</v>
      </c>
      <c r="R33" s="136"/>
      <c r="S33" s="136"/>
      <c r="T33" s="136"/>
      <c r="V33" s="46"/>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1:G1"/>
    <mergeCell ref="K2:U2"/>
    <mergeCell ref="M4:T4"/>
    <mergeCell ref="N5:O5"/>
    <mergeCell ref="R5:U5"/>
    <mergeCell ref="O3:R3"/>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74</v>
      </c>
      <c r="B1" s="121"/>
      <c r="C1" s="121"/>
      <c r="D1" s="121"/>
      <c r="E1" s="121"/>
      <c r="F1" s="121"/>
      <c r="G1" s="121"/>
      <c r="H1" s="26" t="s">
        <v>29</v>
      </c>
    </row>
    <row r="2" spans="1:22" ht="33.75" customHeight="1" thickBot="1" x14ac:dyDescent="0.25">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45">
      <c r="A3" s="27"/>
      <c r="B3" s="28" t="str">
        <f>'Control Entry'!N40</f>
        <v/>
      </c>
      <c r="C3" s="28" t="str">
        <f>'Control Entry'!O40</f>
        <v/>
      </c>
      <c r="D3" s="29"/>
      <c r="E3" s="30" t="str">
        <f>IF(ISBLANK('Control Entry'!F40),"",'Control Entry'!F40)</f>
        <v/>
      </c>
      <c r="F3" s="96" t="str">
        <f>IF(ISBLANK('Control Entry'!I40),"",'Control Entry'!I40)</f>
        <v/>
      </c>
      <c r="G3" s="97"/>
      <c r="H3" s="26" t="s">
        <v>29</v>
      </c>
      <c r="K3" s="14"/>
      <c r="O3" s="127" t="s">
        <v>73</v>
      </c>
      <c r="P3" s="127"/>
      <c r="Q3" s="127"/>
      <c r="R3" s="127"/>
      <c r="S3" s="84" t="str">
        <f>IF('Control Entry'!D40=0,"","#3")</f>
        <v/>
      </c>
      <c r="T3" s="85"/>
      <c r="U3" s="40"/>
    </row>
    <row r="4" spans="1:22" ht="36" customHeight="1" x14ac:dyDescent="0.2">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29</v>
      </c>
      <c r="K4" s="14"/>
      <c r="M4" s="123" t="str">
        <f>IF(ISBLANK(brevet),"",brevet&amp;" km Randonnée")</f>
        <v>600 km Randonnée</v>
      </c>
      <c r="N4" s="123"/>
      <c r="O4" s="123"/>
      <c r="P4" s="123"/>
      <c r="Q4" s="123"/>
      <c r="R4" s="123"/>
      <c r="S4" s="123"/>
      <c r="T4" s="123"/>
      <c r="U4" s="41"/>
    </row>
    <row r="5" spans="1:22" ht="36" customHeight="1" thickBot="1" x14ac:dyDescent="0.25">
      <c r="A5" s="31"/>
      <c r="B5" s="32" t="str">
        <f>'Control Entry'!N40</f>
        <v/>
      </c>
      <c r="C5" s="32" t="str">
        <f>'Control Entry'!O40</f>
        <v/>
      </c>
      <c r="D5" s="33"/>
      <c r="E5" s="34" t="str">
        <f>IF(ISBLANK('Control Entry'!H27),"",'Control Entry'!H27)</f>
        <v/>
      </c>
      <c r="F5" s="101" t="str">
        <f>IF(ISBLANK('Control Entry'!K40),"",'Control Entry'!K40)</f>
        <v/>
      </c>
      <c r="G5" s="100"/>
      <c r="H5" s="26" t="s">
        <v>29</v>
      </c>
      <c r="K5" s="14"/>
      <c r="M5" s="15"/>
      <c r="N5" s="125" t="s">
        <v>47</v>
      </c>
      <c r="O5" s="125"/>
      <c r="P5" s="55">
        <f>IF(ISBLANK(Brevet_Number),"",Brevet_Number)</f>
        <v>5244</v>
      </c>
      <c r="Q5" s="56"/>
      <c r="R5" s="118">
        <f>IF(ISBLANK('Control Entry'!$B9),"",'Control Entry'!$B9)</f>
        <v>45073</v>
      </c>
      <c r="S5" s="118"/>
      <c r="T5" s="118"/>
      <c r="U5" s="118"/>
      <c r="V5" s="42"/>
    </row>
    <row r="6" spans="1:22" ht="36" customHeight="1" x14ac:dyDescent="0.2">
      <c r="A6" s="27"/>
      <c r="B6" s="28" t="str">
        <f>'Control Entry'!N41</f>
        <v/>
      </c>
      <c r="C6" s="28" t="str">
        <f>'Control Entry'!O41</f>
        <v/>
      </c>
      <c r="D6" s="35"/>
      <c r="E6" s="30" t="str">
        <f>IF(ISBLANK('Control Entry'!F41),"",'Control Entry'!F41)</f>
        <v/>
      </c>
      <c r="F6" s="96" t="str">
        <f>IF(ISBLANK('Control Entry'!I41),"",'Control Entry'!I41)</f>
        <v/>
      </c>
      <c r="G6" s="97"/>
      <c r="H6" s="26" t="s">
        <v>29</v>
      </c>
      <c r="K6" s="14"/>
      <c r="L6" s="130" t="str">
        <f>IF(ISBLANK(Brevet_Description),"",Brevet_Description)</f>
        <v>Whidbey Whanderer</v>
      </c>
      <c r="M6" s="130"/>
      <c r="N6" s="130"/>
      <c r="O6" s="130"/>
      <c r="P6" s="130"/>
      <c r="Q6" s="130"/>
      <c r="R6" s="130"/>
      <c r="S6" s="130"/>
      <c r="T6" s="130"/>
      <c r="U6" s="130"/>
    </row>
    <row r="7" spans="1:22" ht="36" customHeight="1" x14ac:dyDescent="0.2">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29</v>
      </c>
    </row>
    <row r="8" spans="1:22" ht="36" customHeight="1" thickBot="1" x14ac:dyDescent="0.25">
      <c r="A8" s="31"/>
      <c r="B8" s="32" t="str">
        <f>'Control Entry'!N41</f>
        <v/>
      </c>
      <c r="C8" s="32" t="str">
        <f>'Control Entry'!O41</f>
        <v/>
      </c>
      <c r="D8" s="33"/>
      <c r="E8" s="34" t="str">
        <f>IF(ISBLANK('Control Entry'!H41),"",'Control Entry'!H41)</f>
        <v/>
      </c>
      <c r="F8" s="101" t="str">
        <f>IF(ISBLANK('Control Entry'!K41),"",'Control Entry'!K41)</f>
        <v/>
      </c>
      <c r="G8" s="100"/>
      <c r="H8" s="26" t="s">
        <v>29</v>
      </c>
      <c r="J8" s="15" t="s">
        <v>34</v>
      </c>
      <c r="L8" s="120"/>
      <c r="M8" s="120"/>
      <c r="N8" s="120"/>
      <c r="O8" s="120"/>
      <c r="P8" s="120"/>
      <c r="Q8" s="120"/>
      <c r="S8" s="43" t="s">
        <v>46</v>
      </c>
      <c r="T8" s="131"/>
      <c r="U8" s="131"/>
    </row>
    <row r="9" spans="1:22" ht="36" customHeight="1" thickBot="1" x14ac:dyDescent="0.3">
      <c r="A9" s="27"/>
      <c r="B9" s="28" t="str">
        <f>'Control Entry'!N42</f>
        <v/>
      </c>
      <c r="C9" s="28" t="str">
        <f>'Control Entry'!O42</f>
        <v/>
      </c>
      <c r="D9" s="35"/>
      <c r="E9" s="30" t="str">
        <f>IF(ISBLANK('Control Entry'!F42),"",'Control Entry'!F42)</f>
        <v/>
      </c>
      <c r="F9" s="96" t="str">
        <f>IF(ISBLANK('Control Entry'!I42),"",'Control Entry'!I42)</f>
        <v/>
      </c>
      <c r="G9" s="97"/>
      <c r="H9" s="26" t="s">
        <v>29</v>
      </c>
      <c r="J9" s="15" t="s">
        <v>35</v>
      </c>
      <c r="K9" s="15"/>
      <c r="L9" s="114" t="s">
        <v>54</v>
      </c>
      <c r="M9" s="114"/>
      <c r="N9" s="114"/>
      <c r="O9" s="114"/>
      <c r="P9" s="114"/>
      <c r="Q9" s="114"/>
      <c r="R9" s="114"/>
      <c r="S9" s="114"/>
      <c r="T9" s="114"/>
      <c r="U9" s="114"/>
    </row>
    <row r="10" spans="1:22" ht="36" customHeight="1" thickBot="1" x14ac:dyDescent="0.3">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29</v>
      </c>
      <c r="J10" s="15"/>
      <c r="K10" s="15"/>
      <c r="L10" s="115"/>
      <c r="M10" s="115"/>
      <c r="N10" s="115"/>
      <c r="O10" s="115"/>
      <c r="P10" s="115"/>
      <c r="Q10" s="115"/>
      <c r="R10" s="115"/>
      <c r="S10" s="115"/>
      <c r="T10" s="115"/>
      <c r="U10" s="115"/>
    </row>
    <row r="11" spans="1:22" ht="36" customHeight="1" thickBot="1" x14ac:dyDescent="0.3">
      <c r="A11" s="31"/>
      <c r="B11" s="32" t="str">
        <f>'Control Entry'!N42</f>
        <v/>
      </c>
      <c r="C11" s="32" t="str">
        <f>'Control Entry'!O42</f>
        <v/>
      </c>
      <c r="D11" s="33"/>
      <c r="E11" s="34" t="str">
        <f>IF(ISBLANK('Control Entry'!H42),"",'Control Entry'!H42)</f>
        <v/>
      </c>
      <c r="F11" s="101" t="str">
        <f>IF(ISBLANK('Control Entry'!K42),"",'Control Entry'!K42)</f>
        <v/>
      </c>
      <c r="G11" s="100"/>
      <c r="H11" s="26" t="s">
        <v>29</v>
      </c>
      <c r="J11" s="15" t="s">
        <v>36</v>
      </c>
      <c r="K11" s="15"/>
      <c r="L11" s="115"/>
      <c r="M11" s="115"/>
      <c r="N11" s="115"/>
      <c r="O11" s="15"/>
      <c r="P11" s="15" t="s">
        <v>37</v>
      </c>
      <c r="Q11" s="15"/>
      <c r="R11" s="15"/>
      <c r="S11" s="139"/>
      <c r="T11" s="139"/>
      <c r="U11" s="139"/>
    </row>
    <row r="12" spans="1:22" ht="36" customHeight="1" thickBot="1" x14ac:dyDescent="0.3">
      <c r="A12" s="27"/>
      <c r="B12" s="28" t="str">
        <f>'Control Entry'!N43</f>
        <v/>
      </c>
      <c r="C12" s="28" t="str">
        <f>'Control Entry'!O43</f>
        <v/>
      </c>
      <c r="D12" s="35"/>
      <c r="E12" s="30" t="str">
        <f>IF(ISBLANK('Control Entry'!F43),"",'Control Entry'!F43)</f>
        <v/>
      </c>
      <c r="F12" s="96" t="str">
        <f>IF(ISBLANK('Control Entry'!I43),"",'Control Entry'!I43)</f>
        <v/>
      </c>
      <c r="G12" s="97"/>
      <c r="H12" s="26" t="s">
        <v>29</v>
      </c>
      <c r="J12" s="15" t="s">
        <v>38</v>
      </c>
      <c r="K12" s="15"/>
      <c r="L12" s="115"/>
      <c r="M12" s="115"/>
      <c r="N12" s="115"/>
      <c r="O12" s="15"/>
      <c r="P12" s="15" t="s">
        <v>39</v>
      </c>
      <c r="Q12" s="15"/>
      <c r="R12" s="15"/>
      <c r="S12" s="139"/>
      <c r="T12" s="139"/>
      <c r="U12" s="139"/>
    </row>
    <row r="13" spans="1:22" ht="36" customHeight="1" thickBot="1" x14ac:dyDescent="0.3">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29</v>
      </c>
      <c r="J13" s="15" t="s">
        <v>40</v>
      </c>
      <c r="L13" s="138"/>
      <c r="M13" s="138"/>
      <c r="N13" s="138"/>
      <c r="P13" s="15" t="s">
        <v>41</v>
      </c>
      <c r="Q13" s="15"/>
      <c r="R13" s="140"/>
      <c r="S13" s="140"/>
      <c r="T13" s="140"/>
      <c r="U13" s="140"/>
    </row>
    <row r="14" spans="1:22" ht="36" customHeight="1" thickBot="1" x14ac:dyDescent="0.25">
      <c r="A14" s="31"/>
      <c r="B14" s="32" t="str">
        <f>'Control Entry'!N43</f>
        <v/>
      </c>
      <c r="C14" s="32" t="str">
        <f>'Control Entry'!O43</f>
        <v/>
      </c>
      <c r="D14" s="33"/>
      <c r="E14" s="34" t="str">
        <f>IF(ISBLANK('Control Entry'!H43),"",'Control Entry'!H43)</f>
        <v/>
      </c>
      <c r="F14" s="101" t="str">
        <f>IF(ISBLANK('Control Entry'!K43),"",'Control Entry'!K43)</f>
        <v/>
      </c>
      <c r="G14" s="100"/>
      <c r="H14" s="26" t="s">
        <v>29</v>
      </c>
    </row>
    <row r="15" spans="1:22" ht="36" customHeight="1" x14ac:dyDescent="0.2">
      <c r="A15" s="27"/>
      <c r="B15" s="28" t="str">
        <f>'Control Entry'!N44</f>
        <v/>
      </c>
      <c r="C15" s="28" t="str">
        <f>'Control Entry'!O44</f>
        <v/>
      </c>
      <c r="D15" s="35"/>
      <c r="E15" s="30" t="str">
        <f>IF(ISBLANK('Control Entry'!F44),"",'Control Entry'!F44)</f>
        <v/>
      </c>
      <c r="F15" s="96" t="str">
        <f>IF(ISBLANK('Control Entry'!I44),"",'Control Entry'!I44)</f>
        <v/>
      </c>
      <c r="G15" s="97"/>
      <c r="H15" s="26" t="s">
        <v>29</v>
      </c>
      <c r="J15" s="15"/>
      <c r="L15" s="129" t="s">
        <v>58</v>
      </c>
      <c r="M15" s="129"/>
      <c r="N15" s="129"/>
      <c r="O15" s="129"/>
      <c r="P15" s="129"/>
      <c r="Q15" s="129"/>
      <c r="R15" s="129"/>
      <c r="S15" s="129"/>
      <c r="T15" s="129"/>
      <c r="U15" s="129"/>
    </row>
    <row r="16" spans="1:22" ht="36" customHeight="1" thickBot="1" x14ac:dyDescent="0.25">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29</v>
      </c>
      <c r="L16" s="142"/>
      <c r="M16" s="142"/>
      <c r="N16" s="142"/>
      <c r="O16" s="142"/>
      <c r="P16" s="142"/>
      <c r="Q16" s="142"/>
      <c r="R16" s="142"/>
      <c r="S16" s="142"/>
      <c r="T16" s="142"/>
      <c r="U16" s="142"/>
    </row>
    <row r="17" spans="1:22" ht="36" customHeight="1" thickBot="1" x14ac:dyDescent="0.25">
      <c r="A17" s="31"/>
      <c r="B17" s="32" t="str">
        <f>'Control Entry'!N44</f>
        <v/>
      </c>
      <c r="C17" s="32" t="str">
        <f>'Control Entry'!O44</f>
        <v/>
      </c>
      <c r="D17" s="33"/>
      <c r="E17" s="34" t="str">
        <f>IF(ISBLANK('Control Entry'!H44),"",'Control Entry'!H44)</f>
        <v/>
      </c>
      <c r="F17" s="101" t="str">
        <f>IF(ISBLANK('Control Entry'!K44),"",'Control Entry'!K44)</f>
        <v/>
      </c>
      <c r="G17" s="100"/>
      <c r="H17" s="26" t="s">
        <v>29</v>
      </c>
    </row>
    <row r="18" spans="1:22" ht="36" customHeight="1" x14ac:dyDescent="0.2">
      <c r="A18" s="27"/>
      <c r="B18" s="28" t="str">
        <f>'Control Entry'!N45</f>
        <v/>
      </c>
      <c r="C18" s="28" t="str">
        <f>'Control Entry'!O45</f>
        <v/>
      </c>
      <c r="D18" s="35"/>
      <c r="E18" s="30" t="str">
        <f>IF(ISBLANK('Control Entry'!F45),"",'Control Entry'!F45)</f>
        <v/>
      </c>
      <c r="F18" s="96" t="str">
        <f>IF(ISBLANK('Control Entry'!I45),"",'Control Entry'!I45)</f>
        <v/>
      </c>
      <c r="G18" s="97"/>
      <c r="H18" s="26" t="s">
        <v>29</v>
      </c>
    </row>
    <row r="19" spans="1:22" ht="36" customHeight="1" x14ac:dyDescent="0.2">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29</v>
      </c>
    </row>
    <row r="20" spans="1:22" ht="36" customHeight="1" thickBot="1" x14ac:dyDescent="0.25">
      <c r="A20" s="31"/>
      <c r="B20" s="32" t="str">
        <f>'Control Entry'!N45</f>
        <v/>
      </c>
      <c r="C20" s="32" t="str">
        <f>'Control Entry'!O45</f>
        <v/>
      </c>
      <c r="D20" s="33"/>
      <c r="E20" s="34" t="str">
        <f>IF(ISBLANK('Control Entry'!H45),"",'Control Entry'!H45)</f>
        <v/>
      </c>
      <c r="F20" s="101" t="str">
        <f>IF(ISBLANK('Control Entry'!K45),"",'Control Entry'!K45)</f>
        <v/>
      </c>
      <c r="G20" s="100"/>
      <c r="H20" s="26" t="s">
        <v>29</v>
      </c>
      <c r="J20" s="53" t="s">
        <v>44</v>
      </c>
      <c r="K20" s="53"/>
      <c r="L20" s="137">
        <f>IF(ISBLANK('Control Entry'!B11),"",'Control Entry'!B11)</f>
        <v>45073</v>
      </c>
      <c r="M20" s="137"/>
      <c r="N20" s="137"/>
      <c r="P20" s="15" t="s">
        <v>0</v>
      </c>
      <c r="Q20" s="15"/>
      <c r="S20" s="128">
        <f>IF(ISBLANK('Control Entry'!B12),"",'Control Entry'!B12)</f>
        <v>0.25</v>
      </c>
      <c r="T20" s="128"/>
      <c r="U20" s="128"/>
    </row>
    <row r="21" spans="1:22" ht="36" customHeight="1" x14ac:dyDescent="0.2">
      <c r="A21" s="27"/>
      <c r="B21" s="28" t="str">
        <f>'Control Entry'!N46</f>
        <v/>
      </c>
      <c r="C21" s="28" t="str">
        <f>'Control Entry'!O46</f>
        <v/>
      </c>
      <c r="D21" s="35"/>
      <c r="E21" s="30" t="str">
        <f>IF(ISBLANK('Control Entry'!F46),"",'Control Entry'!F46)</f>
        <v/>
      </c>
      <c r="F21" s="96" t="str">
        <f>IF(ISBLANK('Control Entry'!I46),"",'Control Entry'!I46)</f>
        <v/>
      </c>
      <c r="G21" s="97"/>
      <c r="H21" s="26" t="s">
        <v>29</v>
      </c>
      <c r="J21" s="53"/>
      <c r="K21" s="53"/>
      <c r="L21" s="46"/>
      <c r="M21" s="46"/>
      <c r="N21" s="46"/>
      <c r="P21" s="15"/>
      <c r="Q21" s="15"/>
      <c r="S21" s="54"/>
      <c r="T21" s="54"/>
      <c r="U21" s="54"/>
    </row>
    <row r="22" spans="1:22" ht="36" customHeight="1" thickBot="1" x14ac:dyDescent="0.2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29</v>
      </c>
      <c r="J22" s="53" t="s">
        <v>45</v>
      </c>
      <c r="K22" s="53"/>
      <c r="L22" s="102"/>
      <c r="M22" s="102"/>
      <c r="N22" s="102"/>
      <c r="P22" s="15" t="s">
        <v>1</v>
      </c>
      <c r="Q22" s="15"/>
      <c r="S22" s="113"/>
      <c r="T22" s="113"/>
      <c r="U22" s="113"/>
    </row>
    <row r="23" spans="1:22" ht="36" customHeight="1" thickBot="1" x14ac:dyDescent="0.25">
      <c r="A23" s="31"/>
      <c r="B23" s="32" t="str">
        <f>'Control Entry'!N46</f>
        <v/>
      </c>
      <c r="C23" s="32" t="str">
        <f>'Control Entry'!O46</f>
        <v/>
      </c>
      <c r="D23" s="33"/>
      <c r="E23" s="34" t="str">
        <f>IF(ISBLANK('Control Entry'!H46),"",'Control Entry'!H46)</f>
        <v/>
      </c>
      <c r="F23" s="101" t="str">
        <f>IF(ISBLANK('Control Entry'!K46),"",'Control Entry'!K46)</f>
        <v/>
      </c>
      <c r="G23" s="100"/>
      <c r="H23" s="26" t="s">
        <v>29</v>
      </c>
      <c r="J23" s="53"/>
      <c r="K23" s="53"/>
      <c r="L23" s="46"/>
      <c r="M23" s="46"/>
      <c r="N23" s="46"/>
      <c r="P23" s="15"/>
      <c r="Q23" s="15"/>
    </row>
    <row r="24" spans="1:22" ht="36" customHeight="1" thickBot="1" x14ac:dyDescent="0.25">
      <c r="A24" s="27"/>
      <c r="B24" s="28" t="str">
        <f>'Control Entry'!N47</f>
        <v/>
      </c>
      <c r="C24" s="28" t="str">
        <f>'Control Entry'!O47</f>
        <v/>
      </c>
      <c r="D24" s="35"/>
      <c r="E24" s="30" t="str">
        <f>IF(ISBLANK('Control Entry'!F47),"",'Control Entry'!F47)</f>
        <v/>
      </c>
      <c r="F24" s="96" t="str">
        <f>IF(ISBLANK('Control Entry'!I34),"",'Control Entry'!I34)</f>
        <v/>
      </c>
      <c r="G24" s="97"/>
      <c r="H24" s="26" t="s">
        <v>29</v>
      </c>
      <c r="J24" s="113"/>
      <c r="K24" s="113"/>
      <c r="L24" s="113"/>
      <c r="M24" s="113"/>
      <c r="N24" s="113"/>
      <c r="P24" s="15" t="s">
        <v>2</v>
      </c>
      <c r="Q24" s="15"/>
      <c r="S24" s="113"/>
      <c r="T24" s="113"/>
      <c r="U24" s="113"/>
    </row>
    <row r="25" spans="1:22" ht="36" customHeight="1" x14ac:dyDescent="0.2">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29</v>
      </c>
      <c r="J25" s="126" t="s">
        <v>17</v>
      </c>
      <c r="K25" s="126"/>
      <c r="L25" s="126"/>
      <c r="M25" s="126"/>
      <c r="N25" s="126"/>
      <c r="O25" s="48"/>
      <c r="P25" s="124"/>
      <c r="Q25" s="124"/>
      <c r="R25" s="48"/>
      <c r="S25" s="125"/>
      <c r="T25" s="125"/>
      <c r="U25" s="125"/>
      <c r="V25" s="125"/>
    </row>
    <row r="26" spans="1:22" ht="36" customHeight="1" thickBot="1" x14ac:dyDescent="0.25">
      <c r="A26" s="31"/>
      <c r="B26" s="32" t="str">
        <f>'Control Entry'!N47</f>
        <v/>
      </c>
      <c r="C26" s="32" t="str">
        <f>'Control Entry'!O47</f>
        <v/>
      </c>
      <c r="D26" s="33"/>
      <c r="E26" s="34" t="str">
        <f>IF(ISBLANK('Control Entry'!H47),"",'Control Entry'!H47)</f>
        <v/>
      </c>
      <c r="F26" s="101" t="str">
        <f>IF(ISBLANK('Control Entry'!K34),"",'Control Entry'!K34)</f>
        <v/>
      </c>
      <c r="G26" s="100"/>
      <c r="H26" s="26" t="s">
        <v>29</v>
      </c>
    </row>
    <row r="27" spans="1:22" ht="36" customHeight="1" x14ac:dyDescent="0.2">
      <c r="A27" s="27"/>
      <c r="B27" s="28" t="str">
        <f>'Control Entry'!N48</f>
        <v/>
      </c>
      <c r="C27" s="28" t="str">
        <f>'Control Entry'!O48</f>
        <v/>
      </c>
      <c r="D27" s="35"/>
      <c r="E27" s="30" t="str">
        <f>IF(ISBLANK('Control Entry'!F48),"",'Control Entry'!F48)</f>
        <v/>
      </c>
      <c r="F27" s="96" t="str">
        <f>IF(ISBLANK('Control Entry'!I48),"",'Control Entry'!I48)</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29</v>
      </c>
    </row>
    <row r="29" spans="1:22" ht="36" customHeight="1" thickBot="1" x14ac:dyDescent="0.25">
      <c r="A29" s="31"/>
      <c r="B29" s="32" t="str">
        <f>'Control Entry'!N48</f>
        <v/>
      </c>
      <c r="C29" s="32" t="str">
        <f>'Control Entry'!O48</f>
        <v/>
      </c>
      <c r="D29" s="33"/>
      <c r="E29" s="34" t="str">
        <f>IF(ISBLANK('Control Entry'!H48),"",'Control Entry'!H48)</f>
        <v/>
      </c>
      <c r="F29" s="101" t="str">
        <f>IF(ISBLANK('Control Entry'!K48),"",'Control Entry'!K48)</f>
        <v/>
      </c>
      <c r="G29" s="100"/>
      <c r="H29" s="26" t="s">
        <v>29</v>
      </c>
      <c r="M29" s="132" t="s">
        <v>42</v>
      </c>
      <c r="N29" s="132"/>
      <c r="O29" s="132"/>
      <c r="P29" s="132"/>
      <c r="Q29" s="132"/>
      <c r="R29" s="132"/>
      <c r="S29" s="132"/>
      <c r="T29" s="132"/>
      <c r="U29" s="52"/>
    </row>
    <row r="30" spans="1:22" ht="36" customHeight="1" x14ac:dyDescent="0.2">
      <c r="A30" s="27"/>
      <c r="B30" s="28" t="str">
        <f>'Control Entry'!N49</f>
        <v/>
      </c>
      <c r="C30" s="28" t="str">
        <f>'Control Entry'!O49</f>
        <v/>
      </c>
      <c r="D30" s="35"/>
      <c r="E30" s="30" t="str">
        <f>IF(ISBLANK('Control Entry'!F49),"",'Control Entry'!F49)</f>
        <v/>
      </c>
      <c r="F30" s="96" t="str">
        <f>IF(ISBLANK('Control Entry'!I49),"",'Control Entry'!I49)</f>
        <v/>
      </c>
      <c r="G30" s="97"/>
      <c r="H30" s="26" t="s">
        <v>29</v>
      </c>
      <c r="M30" s="16"/>
      <c r="N30" s="19"/>
      <c r="O30" s="19"/>
      <c r="P30" s="20"/>
      <c r="Q30" s="19"/>
      <c r="R30" s="19"/>
      <c r="S30" s="19"/>
      <c r="T30" s="20"/>
    </row>
    <row r="31" spans="1:22" ht="36" customHeight="1" x14ac:dyDescent="0.2">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29</v>
      </c>
      <c r="M31" s="17"/>
      <c r="P31" s="21"/>
      <c r="T31" s="21"/>
    </row>
    <row r="32" spans="1:22" ht="36" customHeight="1" thickBot="1" x14ac:dyDescent="0.25">
      <c r="A32" s="31"/>
      <c r="B32" s="32" t="str">
        <f>'Control Entry'!N49</f>
        <v/>
      </c>
      <c r="C32" s="32" t="str">
        <f>'Control Entry'!O49</f>
        <v/>
      </c>
      <c r="D32" s="33"/>
      <c r="E32" s="34" t="str">
        <f>IF(ISBLANK('Control Entry'!H49),"",'Control Entry'!H49)</f>
        <v/>
      </c>
      <c r="F32" s="101" t="str">
        <f>IF(ISBLANK('Control Entry'!K49),"",'Control Entry'!K49)</f>
        <v/>
      </c>
      <c r="G32" s="100"/>
      <c r="H32" s="26" t="s">
        <v>29</v>
      </c>
      <c r="M32" s="50"/>
      <c r="N32" s="18"/>
      <c r="O32" s="18"/>
      <c r="P32" s="22"/>
      <c r="Q32" s="18"/>
      <c r="R32" s="18"/>
      <c r="S32" s="18"/>
      <c r="T32" s="22"/>
    </row>
    <row r="33" spans="1:22" ht="36" customHeight="1" x14ac:dyDescent="0.2">
      <c r="A33" s="122" t="s">
        <v>43</v>
      </c>
      <c r="B33" s="122"/>
      <c r="C33" s="122"/>
      <c r="D33" s="122"/>
      <c r="E33" s="122"/>
      <c r="F33" s="122"/>
      <c r="G33" s="122"/>
      <c r="H33" s="39"/>
      <c r="I33" s="39"/>
      <c r="M33" s="133" t="s">
        <v>82</v>
      </c>
      <c r="N33" s="134"/>
      <c r="O33" s="134"/>
      <c r="P33" s="134"/>
      <c r="Q33" s="135">
        <f>'Control Entry'!B3</f>
        <v>44674</v>
      </c>
      <c r="R33" s="136"/>
      <c r="S33" s="136"/>
      <c r="T33" s="136"/>
      <c r="U33" s="93"/>
      <c r="V33" s="46"/>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Étienne H</cp:lastModifiedBy>
  <cp:lastPrinted>2023-05-19T20:08:07Z</cp:lastPrinted>
  <dcterms:created xsi:type="dcterms:W3CDTF">1997-11-12T04:43:39Z</dcterms:created>
  <dcterms:modified xsi:type="dcterms:W3CDTF">2023-05-23T07:01:04Z</dcterms:modified>
</cp:coreProperties>
</file>