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autoCompressPictures="0"/>
  <bookViews>
    <workbookView xWindow="0" yWindow="460" windowWidth="25600" windowHeight="15540" tabRatio="509" activeTab="1"/>
  </bookViews>
  <sheets>
    <sheet name="Control Entry" sheetId="1" r:id="rId1"/>
    <sheet name="Control Card #1" sheetId="2" r:id="rId2"/>
    <sheet name="Control Card #2" sheetId="3" r:id="rId3"/>
    <sheet name="Control Card #3" sheetId="4" r:id="rId4"/>
  </sheets>
  <definedNames>
    <definedName name="Address_1" localSheetId="2">#REF!</definedName>
    <definedName name="Address_1" localSheetId="3">#REF!</definedName>
    <definedName name="Address_1">#REF!</definedName>
    <definedName name="Address_2" localSheetId="2">#REF!</definedName>
    <definedName name="Address_2" localSheetId="3">#REF!</definedName>
    <definedName name="Address_2">#REF!</definedName>
    <definedName name="brevet">'Control Entry'!$C$5</definedName>
    <definedName name="Brevet_Description">'Control Entry'!$B$7</definedName>
    <definedName name="Brevet_Length">'Control Entry'!$B$5</definedName>
    <definedName name="Brevet_Number">'Control Entry'!$B$8</definedName>
    <definedName name="City" localSheetId="2">#REF!</definedName>
    <definedName name="City" localSheetId="3">#REF!</definedName>
    <definedName name="City">#REF!</definedName>
    <definedName name="Close">'Control Entry'!$M$14:$M$23</definedName>
    <definedName name="Close_time">'Control Entry'!$O$14:$O$23</definedName>
    <definedName name="Control_1">'Control Entry'!$D$14:$O$14</definedName>
    <definedName name="Control_10">'Control Entry'!$D$23:$O$23</definedName>
    <definedName name="Control_11" localSheetId="2">'Control Entry'!#REF!</definedName>
    <definedName name="Control_11" localSheetId="3">'Control Entry'!#REF!</definedName>
    <definedName name="Control_11">'Control Entry'!#REF!</definedName>
    <definedName name="Control_12" localSheetId="2">'Control Entry'!#REF!</definedName>
    <definedName name="Control_12" localSheetId="3">'Control Entry'!#REF!</definedName>
    <definedName name="Control_12">'Control Entry'!#REF!</definedName>
    <definedName name="Control_13" localSheetId="2">'Control Entry'!#REF!</definedName>
    <definedName name="Control_13" localSheetId="3">'Control Entry'!#REF!</definedName>
    <definedName name="Control_13">'Control Entry'!#REF!</definedName>
    <definedName name="Control_14" localSheetId="2">'Control Entry'!#REF!</definedName>
    <definedName name="Control_14" localSheetId="3">'Control Entry'!#REF!</definedName>
    <definedName name="Control_14">'Control Entry'!#REF!</definedName>
    <definedName name="Control_15" localSheetId="2">'Control Entry'!#REF!</definedName>
    <definedName name="Control_15" localSheetId="3">'Control Entry'!#REF!</definedName>
    <definedName name="Control_15">'Control Entry'!#REF!</definedName>
    <definedName name="Control_16" localSheetId="2">'Control Entry'!#REF!</definedName>
    <definedName name="Control_16" localSheetId="3">'Control Entry'!#REF!</definedName>
    <definedName name="Control_16">'Control Entry'!#REF!</definedName>
    <definedName name="Control_17" localSheetId="2">'Control Entry'!#REF!</definedName>
    <definedName name="Control_17" localSheetId="3">'Control Entry'!#REF!</definedName>
    <definedName name="Control_17">'Control Entry'!#REF!</definedName>
    <definedName name="Control_18" localSheetId="2">'Control Entry'!#REF!</definedName>
    <definedName name="Control_18" localSheetId="3">'Control Entry'!#REF!</definedName>
    <definedName name="Control_18">'Control Entry'!#REF!</definedName>
    <definedName name="Control_19" localSheetId="2">'Control Entry'!#REF!</definedName>
    <definedName name="Control_19" localSheetId="3">'Control Entry'!#REF!</definedName>
    <definedName name="Control_19">'Control Entry'!#REF!</definedName>
    <definedName name="Control_2">'Control Entry'!$D$15:$O$15</definedName>
    <definedName name="Control_20" localSheetId="2">'Control Entry'!#REF!</definedName>
    <definedName name="Control_20" localSheetId="3">'Control Entry'!#REF!</definedName>
    <definedName name="Control_20">'Control Entry'!#REF!</definedName>
    <definedName name="Control_3">'Control Entry'!$D$16:$O$16</definedName>
    <definedName name="Control_4">'Control Entry'!$D$17:$O$17</definedName>
    <definedName name="Control_5">'Control Entry'!$D$18:$O$18</definedName>
    <definedName name="Control_6">'Control Entry'!$D$19:$O$19</definedName>
    <definedName name="Control_7">'Control Entry'!$D$20:$O$20</definedName>
    <definedName name="Control_8">'Control Entry'!$D$21:$O$21</definedName>
    <definedName name="Control_9">'Control Entry'!$D$22:$O$22</definedName>
    <definedName name="Country" localSheetId="2">#REF!</definedName>
    <definedName name="Country" localSheetId="3">#REF!</definedName>
    <definedName name="Country">#REF!</definedName>
    <definedName name="Distance">'Control Entry'!$D$14:$D$23</definedName>
    <definedName name="email" localSheetId="2">#REF!</definedName>
    <definedName name="email" localSheetId="3">#REF!</definedName>
    <definedName name="email">#REF!</definedName>
    <definedName name="Establishment_1">'Control Entry'!$F$14:$F$23</definedName>
    <definedName name="Establishment_2">'Control Entry'!$G$14:$G$23</definedName>
    <definedName name="Establishment_3">'Control Entry'!$H$14:$H$23</definedName>
    <definedName name="Fax" localSheetId="2">#REF!</definedName>
    <definedName name="Fax" localSheetId="3">#REF!</definedName>
    <definedName name="Fax">#REF!</definedName>
    <definedName name="First_Name" localSheetId="2">#REF!</definedName>
    <definedName name="First_Name" localSheetId="3">#REF!</definedName>
    <definedName name="First_Name">#REF!</definedName>
    <definedName name="Home_telephone" localSheetId="2">#REF!</definedName>
    <definedName name="Home_telephone" localSheetId="3">#REF!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 localSheetId="3">#REF!</definedName>
    <definedName name="Initial">#REF!</definedName>
    <definedName name="Locale">'Control Entry'!$E$14:$E$23</definedName>
    <definedName name="Max_time">'Control Entry'!$B$6</definedName>
    <definedName name="Open">'Control Entry'!$L$14:$L$23</definedName>
    <definedName name="Open_time">'Control Entry'!$N$14:$N$23</definedName>
    <definedName name="Postal_Code" localSheetId="2">#REF!</definedName>
    <definedName name="Postal_Code" localSheetId="3">#REF!</definedName>
    <definedName name="Postal_Code">#REF!</definedName>
    <definedName name="_xlnm.Print_Titles" localSheetId="1">'Control Card #1'!$1:$2</definedName>
    <definedName name="_xlnm.Print_Titles" localSheetId="2">'Control Card #2'!$1:$2</definedName>
    <definedName name="_xlnm.Print_Titles" localSheetId="3">'Control Card #3'!$1:$2</definedName>
    <definedName name="Province_State" localSheetId="2">#REF!</definedName>
    <definedName name="Province_State" localSheetId="3">#REF!</definedName>
    <definedName name="Province_State">#REF!</definedName>
    <definedName name="Start_date">'Control Entry'!$B$11</definedName>
    <definedName name="Start_time">'Control Entry'!$B$12</definedName>
    <definedName name="surname" localSheetId="2">#REF!</definedName>
    <definedName name="surname" localSheetId="3">#REF!</definedName>
    <definedName name="surname">#REF!</definedName>
    <definedName name="Work_telephone" localSheetId="2">#REF!</definedName>
    <definedName name="Work_telephone" localSheetId="3">#REF!</definedName>
    <definedName name="Work_telephone">#REF!</definedName>
  </definedNames>
  <calcPr calcId="125725"/>
  <extLst>
    <ext xmlns:mx="http://schemas.microsoft.com/office/mac/excel/2008/main" uri="{7523E5D3-25F3-A5E0-1632-64F254C22452}">
      <mx:ArchID Flags="2"/>
    </ext>
  </extLst>
</workbook>
</file>

<file path=xl/calcChain.xml><?xml version="1.0" encoding="utf-8"?>
<calcChain xmlns="http://schemas.openxmlformats.org/spreadsheetml/2006/main">
  <c r="M41" i="1"/>
  <c r="M42"/>
  <c r="M43"/>
  <c r="M44"/>
  <c r="M45"/>
  <c r="M46"/>
  <c r="M47"/>
  <c r="M48"/>
  <c r="M49"/>
  <c r="M40"/>
  <c r="M28"/>
  <c r="M29"/>
  <c r="M30"/>
  <c r="M31"/>
  <c r="M32"/>
  <c r="M33"/>
  <c r="M34"/>
  <c r="M35"/>
  <c r="M36"/>
  <c r="M27"/>
  <c r="M20"/>
  <c r="M21"/>
  <c r="M22"/>
  <c r="M23"/>
  <c r="M19"/>
  <c r="M18"/>
  <c r="M17"/>
  <c r="M16"/>
  <c r="M15"/>
  <c r="S20" i="4" l="1"/>
  <c r="L20"/>
  <c r="S20" i="3"/>
  <c r="L20"/>
  <c r="S20" i="2"/>
  <c r="L20"/>
  <c r="Q33" i="4"/>
  <c r="Q33" i="3"/>
  <c r="Q33" i="2"/>
  <c r="F32" i="4" l="1"/>
  <c r="F31"/>
  <c r="F30"/>
  <c r="E32"/>
  <c r="E31"/>
  <c r="E30"/>
  <c r="D31"/>
  <c r="A31"/>
  <c r="F29"/>
  <c r="F28"/>
  <c r="F27"/>
  <c r="E29"/>
  <c r="E28"/>
  <c r="E27"/>
  <c r="D28"/>
  <c r="A28"/>
  <c r="E26"/>
  <c r="E25"/>
  <c r="E24"/>
  <c r="D25"/>
  <c r="A25"/>
  <c r="F23"/>
  <c r="F22"/>
  <c r="F21"/>
  <c r="E23"/>
  <c r="E22"/>
  <c r="E21"/>
  <c r="D22"/>
  <c r="A22"/>
  <c r="F20"/>
  <c r="F19"/>
  <c r="F18"/>
  <c r="E20"/>
  <c r="E19"/>
  <c r="E18"/>
  <c r="D19"/>
  <c r="A19"/>
  <c r="F17"/>
  <c r="F16"/>
  <c r="F15"/>
  <c r="E17"/>
  <c r="E16"/>
  <c r="E15"/>
  <c r="D16"/>
  <c r="A16"/>
  <c r="F13"/>
  <c r="F14"/>
  <c r="F12"/>
  <c r="E14"/>
  <c r="E13"/>
  <c r="E12"/>
  <c r="D13"/>
  <c r="A13"/>
  <c r="S3" l="1"/>
  <c r="S3" i="3"/>
  <c r="S3" i="2"/>
  <c r="A7"/>
  <c r="F11" i="4"/>
  <c r="F10"/>
  <c r="F9"/>
  <c r="E11"/>
  <c r="E10"/>
  <c r="E9"/>
  <c r="D10"/>
  <c r="A10"/>
  <c r="F8"/>
  <c r="F7"/>
  <c r="F6"/>
  <c r="E8"/>
  <c r="E7"/>
  <c r="E6"/>
  <c r="D7"/>
  <c r="A7"/>
  <c r="F5"/>
  <c r="F4"/>
  <c r="F3"/>
  <c r="E4"/>
  <c r="E3"/>
  <c r="D4"/>
  <c r="A4"/>
  <c r="O49" i="1" l="1"/>
  <c r="L49"/>
  <c r="N49" s="1"/>
  <c r="L48"/>
  <c r="L47"/>
  <c r="L46"/>
  <c r="L45"/>
  <c r="L44"/>
  <c r="L43"/>
  <c r="L42"/>
  <c r="L41"/>
  <c r="L40"/>
  <c r="F26" i="4"/>
  <c r="F25"/>
  <c r="F24"/>
  <c r="L6"/>
  <c r="R5"/>
  <c r="P5"/>
  <c r="E5"/>
  <c r="B30" l="1"/>
  <c r="B32"/>
  <c r="B31"/>
  <c r="C31"/>
  <c r="C30"/>
  <c r="C32"/>
  <c r="E8" i="3" l="1"/>
  <c r="E7"/>
  <c r="E5"/>
  <c r="F5" i="2" l="1"/>
  <c r="F32"/>
  <c r="F31"/>
  <c r="F30"/>
  <c r="F29"/>
  <c r="F28"/>
  <c r="F27"/>
  <c r="F26"/>
  <c r="F25"/>
  <c r="F24"/>
  <c r="F23"/>
  <c r="F22"/>
  <c r="F21"/>
  <c r="F20"/>
  <c r="F19"/>
  <c r="F18"/>
  <c r="F17"/>
  <c r="F16"/>
  <c r="F15"/>
  <c r="F14"/>
  <c r="F13"/>
  <c r="F12"/>
  <c r="F11"/>
  <c r="F10"/>
  <c r="F9"/>
  <c r="F8"/>
  <c r="F7"/>
  <c r="F6"/>
  <c r="F4"/>
  <c r="F3"/>
  <c r="L14" i="1"/>
  <c r="N14" s="1"/>
  <c r="L36"/>
  <c r="L35"/>
  <c r="L34"/>
  <c r="L33"/>
  <c r="L32"/>
  <c r="L31"/>
  <c r="L30"/>
  <c r="L29"/>
  <c r="L28"/>
  <c r="L27"/>
  <c r="F32" i="3"/>
  <c r="F31"/>
  <c r="F30"/>
  <c r="F29"/>
  <c r="F28"/>
  <c r="F27"/>
  <c r="F26"/>
  <c r="F25"/>
  <c r="F24"/>
  <c r="F23"/>
  <c r="F22"/>
  <c r="F21"/>
  <c r="F20"/>
  <c r="F19"/>
  <c r="F18"/>
  <c r="F17"/>
  <c r="F16"/>
  <c r="F15"/>
  <c r="F14"/>
  <c r="F13"/>
  <c r="F12"/>
  <c r="F11"/>
  <c r="F10"/>
  <c r="F9"/>
  <c r="F7"/>
  <c r="F8"/>
  <c r="F5"/>
  <c r="F6"/>
  <c r="F4"/>
  <c r="F3"/>
  <c r="E32"/>
  <c r="E31"/>
  <c r="E30"/>
  <c r="E29"/>
  <c r="E28"/>
  <c r="E27"/>
  <c r="E26"/>
  <c r="E25"/>
  <c r="E24"/>
  <c r="E23"/>
  <c r="E22"/>
  <c r="E21"/>
  <c r="E20"/>
  <c r="E19"/>
  <c r="E18"/>
  <c r="E17"/>
  <c r="E16"/>
  <c r="E15"/>
  <c r="E14"/>
  <c r="E13"/>
  <c r="E12"/>
  <c r="E11"/>
  <c r="E10"/>
  <c r="E9"/>
  <c r="E6"/>
  <c r="C5" i="1"/>
  <c r="M4" i="3" s="1"/>
  <c r="E4"/>
  <c r="E3"/>
  <c r="D31"/>
  <c r="D28"/>
  <c r="D25"/>
  <c r="D22"/>
  <c r="D19"/>
  <c r="D16"/>
  <c r="D13"/>
  <c r="D10"/>
  <c r="D7"/>
  <c r="D4"/>
  <c r="A31"/>
  <c r="A28"/>
  <c r="A25"/>
  <c r="A22"/>
  <c r="A19"/>
  <c r="A16"/>
  <c r="A13"/>
  <c r="A10"/>
  <c r="A7"/>
  <c r="A4"/>
  <c r="L23" i="1"/>
  <c r="L22"/>
  <c r="L21"/>
  <c r="L20"/>
  <c r="L19"/>
  <c r="L18"/>
  <c r="L17"/>
  <c r="L16"/>
  <c r="L15"/>
  <c r="L6" i="3"/>
  <c r="R5"/>
  <c r="P5"/>
  <c r="L6" i="2"/>
  <c r="R5"/>
  <c r="P5"/>
  <c r="E32"/>
  <c r="E31"/>
  <c r="E30"/>
  <c r="E29"/>
  <c r="E28"/>
  <c r="E27"/>
  <c r="E26"/>
  <c r="E25"/>
  <c r="E24"/>
  <c r="E23"/>
  <c r="E22"/>
  <c r="E21"/>
  <c r="E20"/>
  <c r="E19"/>
  <c r="E18"/>
  <c r="E17"/>
  <c r="E16"/>
  <c r="E15"/>
  <c r="E14"/>
  <c r="E13"/>
  <c r="E12"/>
  <c r="E11"/>
  <c r="E10"/>
  <c r="E9"/>
  <c r="E8"/>
  <c r="E7"/>
  <c r="E6"/>
  <c r="E5"/>
  <c r="E4"/>
  <c r="E3"/>
  <c r="D25"/>
  <c r="D28"/>
  <c r="D31"/>
  <c r="A31"/>
  <c r="A4"/>
  <c r="D19"/>
  <c r="D16"/>
  <c r="D13"/>
  <c r="D10"/>
  <c r="D7"/>
  <c r="D4"/>
  <c r="D22"/>
  <c r="A28"/>
  <c r="A25"/>
  <c r="A22"/>
  <c r="A19"/>
  <c r="A10"/>
  <c r="A16"/>
  <c r="A13"/>
  <c r="B6" i="1"/>
  <c r="O45" l="1"/>
  <c r="O44"/>
  <c r="O42"/>
  <c r="O46"/>
  <c r="O47"/>
  <c r="O48"/>
  <c r="N47"/>
  <c r="N41"/>
  <c r="N46"/>
  <c r="N42"/>
  <c r="N44"/>
  <c r="N48"/>
  <c r="N45"/>
  <c r="N43"/>
  <c r="O41"/>
  <c r="N40"/>
  <c r="O43"/>
  <c r="O40"/>
  <c r="M4" i="4"/>
  <c r="O16" i="1"/>
  <c r="M14"/>
  <c r="O14" s="1"/>
  <c r="C3" i="2" s="1"/>
  <c r="N30" i="1"/>
  <c r="B4" i="2"/>
  <c r="O18" i="1"/>
  <c r="C17" i="2" s="1"/>
  <c r="N17" i="1"/>
  <c r="B14" i="2" s="1"/>
  <c r="O22" i="1"/>
  <c r="C27" i="2" s="1"/>
  <c r="N27" i="1"/>
  <c r="N33"/>
  <c r="O17"/>
  <c r="N21"/>
  <c r="B25" i="2" s="1"/>
  <c r="O33" i="1"/>
  <c r="B3" i="2"/>
  <c r="O19" i="1"/>
  <c r="O21"/>
  <c r="C26" i="2" s="1"/>
  <c r="O32" i="1"/>
  <c r="B5" i="2"/>
  <c r="N16" i="1"/>
  <c r="B11" i="2" s="1"/>
  <c r="N20" i="1"/>
  <c r="B22" i="2" s="1"/>
  <c r="N23" i="1"/>
  <c r="B31" i="2" s="1"/>
  <c r="N34" i="1"/>
  <c r="O36"/>
  <c r="N36"/>
  <c r="O23"/>
  <c r="C31" i="2" s="1"/>
  <c r="N15" i="1"/>
  <c r="B6" i="2" s="1"/>
  <c r="N19" i="1"/>
  <c r="B19" i="2" s="1"/>
  <c r="O20" i="1"/>
  <c r="C23" i="2" s="1"/>
  <c r="N28" i="1"/>
  <c r="N31"/>
  <c r="O15"/>
  <c r="N18"/>
  <c r="B17" i="2" s="1"/>
  <c r="N22" i="1"/>
  <c r="B27" i="2" s="1"/>
  <c r="N29" i="1"/>
  <c r="N32"/>
  <c r="N35"/>
  <c r="O29"/>
  <c r="O28"/>
  <c r="M4" i="2"/>
  <c r="O35" i="1"/>
  <c r="O31"/>
  <c r="O27"/>
  <c r="O34"/>
  <c r="O30"/>
  <c r="B13" i="4" l="1"/>
  <c r="B12"/>
  <c r="B14"/>
  <c r="B29"/>
  <c r="B28"/>
  <c r="B27"/>
  <c r="C15"/>
  <c r="C17"/>
  <c r="C16"/>
  <c r="B23"/>
  <c r="B22"/>
  <c r="B21"/>
  <c r="B17"/>
  <c r="B16"/>
  <c r="B15"/>
  <c r="B25"/>
  <c r="B24"/>
  <c r="B26"/>
  <c r="C29"/>
  <c r="C28"/>
  <c r="C27"/>
  <c r="C21"/>
  <c r="C23"/>
  <c r="C22"/>
  <c r="C4" i="2"/>
  <c r="C14" i="4"/>
  <c r="C13"/>
  <c r="C12"/>
  <c r="B19"/>
  <c r="B18"/>
  <c r="B20"/>
  <c r="C20"/>
  <c r="C19"/>
  <c r="C18"/>
  <c r="C26"/>
  <c r="C25"/>
  <c r="C24"/>
  <c r="C8"/>
  <c r="C7"/>
  <c r="C6"/>
  <c r="C10"/>
  <c r="C9"/>
  <c r="C11"/>
  <c r="B8"/>
  <c r="B7"/>
  <c r="B6"/>
  <c r="B9"/>
  <c r="B11"/>
  <c r="B10"/>
  <c r="B5"/>
  <c r="B4"/>
  <c r="B3"/>
  <c r="C3"/>
  <c r="C5"/>
  <c r="C4"/>
  <c r="C19" i="3"/>
  <c r="B21"/>
  <c r="B29"/>
  <c r="B6"/>
  <c r="B26"/>
  <c r="B5"/>
  <c r="B11"/>
  <c r="C23"/>
  <c r="B32"/>
  <c r="B16"/>
  <c r="C31"/>
  <c r="C5" i="2"/>
  <c r="B19" i="3"/>
  <c r="B14"/>
  <c r="B25"/>
  <c r="C16" i="2"/>
  <c r="B13" i="3"/>
  <c r="B12"/>
  <c r="B21" i="2"/>
  <c r="B26"/>
  <c r="C15"/>
  <c r="C30" i="3"/>
  <c r="B3"/>
  <c r="C25" i="2"/>
  <c r="B8"/>
  <c r="B12"/>
  <c r="B13"/>
  <c r="B22" i="3"/>
  <c r="B30"/>
  <c r="B27"/>
  <c r="B8"/>
  <c r="C29" i="2"/>
  <c r="B18" i="3"/>
  <c r="B29" i="2"/>
  <c r="B15"/>
  <c r="B31" i="3"/>
  <c r="B18" i="2"/>
  <c r="B10" i="3"/>
  <c r="B32" i="2"/>
  <c r="C28"/>
  <c r="C24"/>
  <c r="C30"/>
  <c r="B20"/>
  <c r="C22" i="3"/>
  <c r="B24"/>
  <c r="B28"/>
  <c r="B7"/>
  <c r="B4"/>
  <c r="B16" i="2"/>
  <c r="B7"/>
  <c r="C19"/>
  <c r="C18"/>
  <c r="C20"/>
  <c r="C13"/>
  <c r="C12"/>
  <c r="C14"/>
  <c r="B23" i="3"/>
  <c r="B9" i="2"/>
  <c r="B30"/>
  <c r="C32"/>
  <c r="B10"/>
  <c r="B9" i="3"/>
  <c r="B24" i="2"/>
  <c r="C21" i="3"/>
  <c r="C18"/>
  <c r="B20"/>
  <c r="C9" i="2"/>
  <c r="C10"/>
  <c r="B28"/>
  <c r="B23"/>
  <c r="B17" i="3"/>
  <c r="C8" i="2"/>
  <c r="C7"/>
  <c r="C22"/>
  <c r="C21"/>
  <c r="C11"/>
  <c r="C20" i="3"/>
  <c r="B15"/>
  <c r="C32"/>
  <c r="C6" i="2"/>
  <c r="C6" i="3"/>
  <c r="C7"/>
  <c r="C8"/>
  <c r="C11"/>
  <c r="C9"/>
  <c r="C10"/>
  <c r="C13"/>
  <c r="C14"/>
  <c r="C12"/>
  <c r="C4"/>
  <c r="C5"/>
  <c r="C3"/>
  <c r="C25"/>
  <c r="C26"/>
  <c r="C24"/>
  <c r="C15"/>
  <c r="C16"/>
  <c r="C17"/>
  <c r="C27"/>
  <c r="C28"/>
  <c r="C29"/>
</calcChain>
</file>

<file path=xl/comments1.xml><?xml version="1.0" encoding="utf-8"?>
<comments xmlns="http://schemas.openxmlformats.org/spreadsheetml/2006/main">
  <authors>
    <author>Stephen Hinde</author>
    <author>A satisfied Microsoft Office user</author>
  </authors>
  <commentList>
    <comment ref="B5" authorId="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6" authorId="1">
      <text>
        <r>
          <rPr>
            <sz val="8"/>
            <color rgb="FF000000"/>
            <rFont val="Tahoma"/>
            <family val="2"/>
          </rPr>
          <t>Autocalculated based on ACP specified times</t>
        </r>
      </text>
    </comment>
    <comment ref="B8" authorId="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9" authorId="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1" authorId="0">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2" authorId="0">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List>
</comments>
</file>

<file path=xl/sharedStrings.xml><?xml version="1.0" encoding="utf-8"?>
<sst xmlns="http://schemas.openxmlformats.org/spreadsheetml/2006/main" count="301" uniqueCount="95">
  <si>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</si>
  <si>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</si>
  <si>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</si>
  <si>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</si>
  <si>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</si>
  <si>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</si>
  <si>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</si>
  <si>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</si>
  <si>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</si>
  <si>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</si>
  <si>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</si>
  <si>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</si>
  <si>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</si>
  <si>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</si>
  <si>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</si>
  <si>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</si>
  <si>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</si>
  <si>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</si>
  <si>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</si>
  <si>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</si>
  <si>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</si>
  <si>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</si>
  <si>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</si>
  <si>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</si>
  <si>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</si>
  <si>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</si>
  <si>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</si>
  <si>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</si>
  <si>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</si>
  <si>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</si>
  <si>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</si>
  <si>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</si>
  <si>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</si>
  <si>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</si>
  <si>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</si>
  <si>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</si>
  <si>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</si>
  <si>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</si>
  <si>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</si>
  <si>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</si>
  <si>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</si>
  <si>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</si>
  <si>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</si>
  <si>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</si>
  <si>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</si>
  <si>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</si>
  <si>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</si>
  <si>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</si>
  <si>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</si>
  <si>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</si>
  <si>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</si>
  <si>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</si>
  <si>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</si>
  <si>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</si>
  <si>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</si>
  <si>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</si>
  <si>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</si>
  <si>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</si>
  <si>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</si>
  <si>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</si>
  <si>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</si>
  <si>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</si>
  <si>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</si>
  <si>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</si>
  <si>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</si>
  <si>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</si>
  <si>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</si>
  <si>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</si>
  <si>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</si>
  <si>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Fill in the control distance.  The opening and closing times will be automatically calculated based on the start time and the brevet distance.  If you need more than 10 controls, use card #2, otherwise leave that section blank.</t>
  </si>
  <si>
    <t>When using information controls, you can put your question in the Signature/Answer section eg Sig/Ans.1 Sign on main door  Sig/Ans. 2  This week's special is?  Sig/Ans. 3 ________________</t>
  </si>
  <si>
    <t>Control Card #1 Information Control Question (optional)</t>
  </si>
  <si>
    <t>Control Card #2 Information Control Question (optional)</t>
  </si>
  <si>
    <t xml:space="preserve">Control Card </t>
  </si>
  <si>
    <r>
      <t xml:space="preserve">At each control, please have signed or </t>
    </r>
    <r>
      <rPr>
        <b/>
        <i/>
        <sz val="16"/>
        <rFont val="Arial"/>
        <family val="2"/>
      </rPr>
      <t>answer question</t>
    </r>
    <r>
      <rPr>
        <i/>
        <sz val="16"/>
        <rFont val="Arial"/>
        <family val="2"/>
      </rPr>
      <t xml:space="preserve"> and</t>
    </r>
    <r>
      <rPr>
        <b/>
        <i/>
        <sz val="16"/>
        <rFont val="Arial"/>
        <family val="2"/>
      </rPr>
      <t xml:space="preserve"> note time of day</t>
    </r>
  </si>
  <si>
    <t>Enter the start time.  This will be the official ACP listed start time found on the event page, unless a ride window has been enabled.</t>
  </si>
  <si>
    <t>Enter the start date.  This will be the same as the schedule date, exceot for pre-rides or unless a ride window has been enabled.</t>
  </si>
  <si>
    <t>Control Card #2</t>
  </si>
  <si>
    <t>Control Card #3 Information Control Question (optional)</t>
  </si>
  <si>
    <t>Control Card #3</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</si>
  <si>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</si>
  <si>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</si>
  <si>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</si>
  <si>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DO NOT DELETE OR MOVE ROWS OR COLUMNS (delete contents of cells only)</t>
  </si>
  <si>
    <t>Fill in the Locale (city) for each control.  Establishment 1, 2, and 3 can be used to describe the control itself eg Locale HOPE  Est.1 Dairy Queen Est.2 817 Water Ave Est. 3 (left blank)</t>
  </si>
  <si>
    <t>Scroll right to see further instructions</t>
  </si>
  <si>
    <t>You can create 3 control cards  (upto 30 controls) for one event, or 3 control cards (up to 10 controls) with different start loctions for a single event.  Put a distance greater than zero in the first distance field of card 2 or 3 to have a single event.  Put zero in the same distance field to create a new start location for the event.  Control Card #1 will only show '#1' if a distance, not zero, is entered into the first distance box for Control Card #2.  Similarly for Control Card #3</t>
  </si>
  <si>
    <t>Two Dam Far 600 2023</t>
  </si>
  <si>
    <t>Westbank</t>
  </si>
  <si>
    <t>Walmart</t>
  </si>
  <si>
    <t>Signature / Self Sign</t>
  </si>
  <si>
    <t>Penticton</t>
  </si>
  <si>
    <t>Omak</t>
  </si>
  <si>
    <t>Grand Coulee</t>
  </si>
  <si>
    <t>Brewster</t>
  </si>
</sst>
</file>

<file path=xl/styles.xml><?xml version="1.0" encoding="utf-8"?>
<styleSheet xmlns="http://schemas.openxmlformats.org/spreadsheetml/2006/main">
  <numFmts count="6">
    <numFmt numFmtId="164" formatCode="dd/mmm/yy\ hh:mm\ AM/PM"/>
    <numFmt numFmtId="165" formatCode="d/mmm/yy"/>
    <numFmt numFmtId="166" formatCode="dddd"/>
    <numFmt numFmtId="167" formatCode="0.0"/>
    <numFmt numFmtId="168" formatCode="mmmm\ d\,\ yyyy"/>
    <numFmt numFmtId="169" formatCode="[&lt;=9999999]###\-####;\(###\)\ ###\-####"/>
  </numFmts>
  <fonts count="34">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12"/>
      <name val="Arial Narrow"/>
      <family val="2"/>
    </font>
    <font>
      <b/>
      <sz val="12"/>
      <name val="Arial Narrow"/>
      <family val="2"/>
    </font>
    <font>
      <sz val="20"/>
      <color theme="0" tint="-0.249977111117893"/>
      <name val="Impact"/>
      <family val="2"/>
    </font>
    <font>
      <sz val="16"/>
      <color rgb="FFFF0000"/>
      <name val="Arial"/>
      <family val="2"/>
    </font>
    <font>
      <sz val="9"/>
      <name val="Arial"/>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indexed="64"/>
      </bottom>
      <diagonal/>
    </border>
    <border>
      <left style="thin">
        <color auto="1"/>
      </left>
      <right style="medium">
        <color indexed="64"/>
      </right>
      <top style="medium">
        <color indexed="64"/>
      </top>
      <bottom style="thin">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4"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56">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9" xfId="0" applyBorder="1"/>
    <xf numFmtId="0" fontId="0" fillId="0" borderId="6" xfId="0" applyBorder="1"/>
    <xf numFmtId="0" fontId="10" fillId="0" borderId="0" xfId="0" applyFont="1" applyProtection="1"/>
    <xf numFmtId="0" fontId="0" fillId="0" borderId="0" xfId="0" applyProtection="1"/>
    <xf numFmtId="0" fontId="0" fillId="0" borderId="18" xfId="0" applyBorder="1" applyProtection="1"/>
    <xf numFmtId="0" fontId="0" fillId="0" borderId="20" xfId="0" applyBorder="1" applyProtection="1"/>
    <xf numFmtId="0" fontId="0" fillId="0" borderId="21" xfId="0" applyBorder="1" applyProtection="1"/>
    <xf numFmtId="0" fontId="0" fillId="0" borderId="0" xfId="0" applyBorder="1" applyProtection="1"/>
    <xf numFmtId="0" fontId="0" fillId="0" borderId="17" xfId="0" applyBorder="1" applyProtection="1"/>
    <xf numFmtId="0" fontId="0" fillId="0" borderId="8"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Border="1" applyAlignment="1" applyProtection="1">
      <alignment horizontal="right"/>
    </xf>
    <xf numFmtId="0" fontId="10" fillId="0" borderId="0" xfId="0" applyFont="1" applyBorder="1" applyAlignment="1" applyProtection="1">
      <alignment horizontal="left"/>
    </xf>
    <xf numFmtId="0" fontId="10" fillId="0" borderId="0" xfId="0" applyFont="1" applyAlignment="1" applyProtection="1"/>
    <xf numFmtId="0" fontId="5" fillId="2" borderId="3" xfId="0" applyFont="1" applyFill="1" applyBorder="1" applyAlignment="1">
      <alignment horizontal="right"/>
    </xf>
    <xf numFmtId="168" fontId="10" fillId="0" borderId="0" xfId="0" applyNumberFormat="1" applyFont="1" applyBorder="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4" xfId="0" applyNumberFormat="1" applyBorder="1" applyProtection="1">
      <protection locked="0"/>
    </xf>
    <xf numFmtId="0" fontId="10" fillId="0" borderId="22" xfId="0" applyFont="1" applyBorder="1"/>
    <xf numFmtId="0" fontId="14" fillId="0" borderId="16" xfId="0" applyFont="1" applyBorder="1" applyAlignment="1">
      <alignment horizontal="center" vertical="top" wrapText="1"/>
    </xf>
    <xf numFmtId="0" fontId="6" fillId="0" borderId="0" xfId="0" applyFont="1" applyBorder="1" applyAlignment="1" applyProtection="1">
      <alignment wrapText="1"/>
    </xf>
    <xf numFmtId="0" fontId="10" fillId="0" borderId="0" xfId="0" applyFont="1" applyBorder="1"/>
    <xf numFmtId="0" fontId="10" fillId="0" borderId="0" xfId="0" applyFont="1" applyBorder="1" applyProtection="1"/>
    <xf numFmtId="168" fontId="10" fillId="0" borderId="0" xfId="0" applyNumberFormat="1" applyFont="1" applyBorder="1" applyAlignment="1">
      <alignment horizontal="center"/>
    </xf>
    <xf numFmtId="0" fontId="10" fillId="0" borderId="0" xfId="0" applyFont="1" applyAlignment="1">
      <alignment horizontal="center"/>
    </xf>
    <xf numFmtId="0" fontId="10" fillId="0" borderId="0" xfId="0" applyFont="1" applyBorder="1" applyAlignment="1">
      <alignment horizontal="center"/>
    </xf>
    <xf numFmtId="18" fontId="23" fillId="0" borderId="0" xfId="0" applyNumberFormat="1" applyFont="1" applyBorder="1" applyAlignment="1">
      <alignment horizontal="center" wrapText="1"/>
    </xf>
    <xf numFmtId="0" fontId="10" fillId="0" borderId="0" xfId="0" applyNumberFormat="1" applyFont="1" applyBorder="1" applyAlignment="1" applyProtection="1">
      <alignment horizontal="left" vertical="center"/>
    </xf>
    <xf numFmtId="169" fontId="10" fillId="0" borderId="0" xfId="0" applyNumberFormat="1" applyFont="1" applyBorder="1" applyAlignment="1" applyProtection="1">
      <alignment horizontal="left" vertical="center"/>
    </xf>
    <xf numFmtId="0" fontId="27" fillId="2" borderId="12" xfId="0" applyFont="1" applyFill="1" applyBorder="1"/>
    <xf numFmtId="0" fontId="27"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1" fontId="13" fillId="0" borderId="4" xfId="0" applyNumberFormat="1" applyFont="1" applyBorder="1" applyProtection="1">
      <protection locked="0"/>
    </xf>
    <xf numFmtId="15" fontId="13" fillId="0" borderId="4" xfId="0" applyNumberFormat="1" applyFont="1" applyBorder="1" applyProtection="1">
      <protection locked="0"/>
    </xf>
    <xf numFmtId="20" fontId="13" fillId="0" borderId="8" xfId="0" applyNumberFormat="1" applyFont="1" applyBorder="1" applyProtection="1">
      <protection locked="0"/>
    </xf>
    <xf numFmtId="0" fontId="28"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5" xfId="0" applyFont="1" applyBorder="1" applyProtection="1">
      <protection locked="0"/>
    </xf>
    <xf numFmtId="49" fontId="5" fillId="0" borderId="25"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49" fontId="29" fillId="0" borderId="14" xfId="0" applyNumberFormat="1" applyFont="1" applyBorder="1" applyAlignment="1" applyProtection="1">
      <alignment horizontal="center"/>
      <protection locked="0"/>
    </xf>
    <xf numFmtId="49" fontId="30" fillId="0" borderId="4" xfId="0" applyNumberFormat="1" applyFont="1" applyBorder="1" applyAlignment="1" applyProtection="1">
      <alignment horizontal="center"/>
      <protection locked="0"/>
    </xf>
    <xf numFmtId="49" fontId="29" fillId="0" borderId="4" xfId="0" applyNumberFormat="1" applyFont="1" applyBorder="1" applyAlignment="1" applyProtection="1">
      <alignment horizontal="center"/>
      <protection locked="0"/>
    </xf>
    <xf numFmtId="49" fontId="29" fillId="0" borderId="25" xfId="0" applyNumberFormat="1" applyFont="1" applyBorder="1" applyAlignment="1" applyProtection="1">
      <alignment horizontal="center"/>
      <protection locked="0"/>
    </xf>
    <xf numFmtId="49" fontId="29" fillId="0" borderId="23" xfId="0" applyNumberFormat="1" applyFont="1" applyBorder="1" applyAlignment="1" applyProtection="1">
      <alignment horizontal="center"/>
      <protection locked="0"/>
    </xf>
    <xf numFmtId="0" fontId="0" fillId="0" borderId="14" xfId="0" applyFont="1" applyBorder="1" applyProtection="1">
      <protection locked="0"/>
    </xf>
    <xf numFmtId="0" fontId="10" fillId="0" borderId="0" xfId="0" applyFont="1" applyAlignment="1">
      <alignment horizontal="center"/>
    </xf>
    <xf numFmtId="167" fontId="0" fillId="0" borderId="0" xfId="0" applyNumberFormat="1"/>
    <xf numFmtId="0" fontId="14" fillId="0" borderId="7" xfId="0" applyFont="1" applyBorder="1" applyAlignment="1">
      <alignment horizontal="center" vertical="top" wrapText="1"/>
    </xf>
    <xf numFmtId="2" fontId="0" fillId="0" borderId="0" xfId="0" applyNumberFormat="1"/>
    <xf numFmtId="0" fontId="9" fillId="0" borderId="0" xfId="0" applyNumberFormat="1" applyFont="1" applyBorder="1" applyAlignment="1">
      <alignment horizontal="center" wrapText="1"/>
    </xf>
    <xf numFmtId="0" fontId="9" fillId="0" borderId="0" xfId="0" applyFont="1" applyAlignment="1"/>
    <xf numFmtId="0" fontId="5" fillId="0" borderId="0" xfId="0" applyFont="1"/>
    <xf numFmtId="0" fontId="27" fillId="2" borderId="26" xfId="0" applyFont="1" applyFill="1" applyBorder="1"/>
    <xf numFmtId="49" fontId="5" fillId="0" borderId="27" xfId="0" applyNumberFormat="1" applyFont="1" applyBorder="1" applyAlignment="1" applyProtection="1">
      <alignment horizontal="center"/>
      <protection locked="0"/>
    </xf>
    <xf numFmtId="0" fontId="0" fillId="2" borderId="29" xfId="0" applyFill="1" applyBorder="1" applyAlignment="1">
      <alignment horizontal="right"/>
    </xf>
    <xf numFmtId="15" fontId="13" fillId="0" borderId="28" xfId="0" applyNumberFormat="1" applyFont="1" applyBorder="1" applyProtection="1">
      <protection locked="0"/>
    </xf>
    <xf numFmtId="15" fontId="0" fillId="2" borderId="2" xfId="0" applyNumberFormat="1" applyFill="1" applyBorder="1" applyAlignment="1">
      <alignment horizontal="left"/>
    </xf>
    <xf numFmtId="0" fontId="5" fillId="2" borderId="30" xfId="0" applyFont="1" applyFill="1" applyBorder="1" applyAlignment="1">
      <alignment horizontal="right"/>
    </xf>
    <xf numFmtId="0" fontId="6" fillId="0" borderId="0" xfId="0" applyFont="1" applyBorder="1" applyAlignment="1" applyProtection="1">
      <alignment vertical="top" wrapText="1"/>
    </xf>
    <xf numFmtId="0" fontId="0" fillId="0" borderId="0" xfId="0" applyAlignment="1"/>
    <xf numFmtId="0" fontId="5" fillId="0" borderId="0" xfId="0" applyFont="1" applyAlignment="1"/>
    <xf numFmtId="0" fontId="5" fillId="0" borderId="0" xfId="0" applyFont="1" applyAlignment="1">
      <alignment wrapText="1"/>
    </xf>
    <xf numFmtId="0" fontId="0" fillId="0" borderId="0" xfId="0" applyProtection="1">
      <protection locked="0"/>
    </xf>
    <xf numFmtId="0" fontId="14" fillId="0" borderId="16" xfId="0" applyFont="1" applyBorder="1" applyAlignment="1" applyProtection="1">
      <alignment horizontal="center" vertical="center" wrapText="1"/>
      <protection locked="0"/>
    </xf>
    <xf numFmtId="0" fontId="7" fillId="0" borderId="16" xfId="0" applyFont="1" applyBorder="1" applyAlignment="1" applyProtection="1">
      <alignment horizontal="center" wrapText="1"/>
      <protection locked="0"/>
    </xf>
    <xf numFmtId="0" fontId="14" fillId="0" borderId="16" xfId="0" applyFont="1" applyBorder="1" applyAlignment="1" applyProtection="1">
      <alignment horizontal="center" vertical="top" wrapText="1"/>
      <protection locked="0"/>
    </xf>
    <xf numFmtId="0" fontId="14" fillId="0" borderId="7" xfId="0" applyFont="1" applyBorder="1" applyAlignment="1" applyProtection="1">
      <alignment horizontal="center" wrapText="1"/>
      <protection locked="0"/>
    </xf>
    <xf numFmtId="0" fontId="7" fillId="0" borderId="7" xfId="0" applyFont="1" applyBorder="1" applyProtection="1">
      <protection locked="0"/>
    </xf>
    <xf numFmtId="0" fontId="14" fillId="0" borderId="7" xfId="0" applyFont="1" applyBorder="1" applyAlignment="1" applyProtection="1">
      <alignment horizontal="center" vertical="center" wrapText="1"/>
      <protection locked="0"/>
    </xf>
    <xf numFmtId="168" fontId="10" fillId="0" borderId="18" xfId="0" applyNumberFormat="1" applyFont="1" applyBorder="1" applyAlignment="1" applyProtection="1">
      <alignment horizontal="center"/>
      <protection locked="0"/>
    </xf>
    <xf numFmtId="0" fontId="33" fillId="0" borderId="0" xfId="0" applyFont="1" applyAlignment="1">
      <alignment horizontal="left" vertical="top" wrapText="1"/>
    </xf>
    <xf numFmtId="0" fontId="32" fillId="0" borderId="0" xfId="0" applyFont="1" applyAlignment="1">
      <alignment horizontal="left"/>
    </xf>
    <xf numFmtId="0" fontId="13" fillId="0" borderId="9" xfId="0" applyFont="1" applyBorder="1" applyAlignment="1" applyProtection="1">
      <alignment horizontal="left"/>
      <protection locked="0"/>
    </xf>
    <xf numFmtId="0" fontId="13" fillId="0" borderId="5" xfId="0" applyFont="1" applyBorder="1" applyAlignment="1" applyProtection="1">
      <alignment horizontal="left"/>
      <protection locked="0"/>
    </xf>
    <xf numFmtId="0" fontId="13" fillId="0" borderId="10" xfId="0" applyFont="1" applyBorder="1" applyAlignment="1" applyProtection="1">
      <alignment horizontal="left"/>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28" fillId="0" borderId="0" xfId="0" applyFont="1" applyAlignment="1">
      <alignment horizontal="right"/>
    </xf>
    <xf numFmtId="0" fontId="0" fillId="2" borderId="9" xfId="0" applyFill="1" applyBorder="1" applyAlignment="1">
      <alignment horizontal="center"/>
    </xf>
    <xf numFmtId="0" fontId="0" fillId="0" borderId="18" xfId="0" applyBorder="1" applyAlignment="1" applyProtection="1">
      <alignment horizontal="left"/>
      <protection locked="0"/>
    </xf>
    <xf numFmtId="0" fontId="31" fillId="0" borderId="18" xfId="0" applyFont="1" applyBorder="1" applyAlignment="1" applyProtection="1">
      <alignment horizontal="left"/>
      <protection locked="0"/>
    </xf>
    <xf numFmtId="0" fontId="8" fillId="0" borderId="5" xfId="0" applyFont="1" applyBorder="1" applyAlignment="1" applyProtection="1">
      <alignment horizontal="left"/>
      <protection locked="0"/>
    </xf>
    <xf numFmtId="0" fontId="7" fillId="0" borderId="18" xfId="0" applyFont="1" applyFill="1" applyBorder="1" applyAlignment="1" applyProtection="1">
      <alignment horizontal="center" wrapText="1"/>
      <protection locked="0"/>
    </xf>
    <xf numFmtId="168" fontId="10" fillId="0" borderId="18" xfId="0" applyNumberFormat="1" applyFont="1" applyBorder="1" applyAlignment="1" applyProtection="1">
      <alignment horizontal="left"/>
      <protection locked="0"/>
    </xf>
    <xf numFmtId="168" fontId="10" fillId="0" borderId="0" xfId="0" applyNumberFormat="1" applyFont="1" applyBorder="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protection locked="0"/>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pplyProtection="1">
      <alignment horizontal="right"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10" fillId="0" borderId="18" xfId="0" applyFont="1" applyBorder="1" applyProtection="1">
      <protection locked="0"/>
    </xf>
    <xf numFmtId="0" fontId="6" fillId="0" borderId="0" xfId="0" applyFont="1" applyBorder="1" applyAlignment="1" applyProtection="1">
      <alignment horizontal="center" wrapText="1"/>
    </xf>
    <xf numFmtId="0" fontId="5" fillId="0" borderId="20" xfId="0" applyFont="1" applyBorder="1" applyAlignment="1">
      <alignment horizontal="right" vertical="top"/>
    </xf>
    <xf numFmtId="0" fontId="0" fillId="0" borderId="20" xfId="0" applyBorder="1" applyAlignment="1">
      <alignment horizontal="right" vertical="top"/>
    </xf>
    <xf numFmtId="15" fontId="0" fillId="0" borderId="20" xfId="0" applyNumberFormat="1" applyBorder="1" applyAlignment="1">
      <alignment horizontal="left" vertical="top"/>
    </xf>
    <xf numFmtId="0" fontId="0" fillId="0" borderId="20" xfId="0" applyBorder="1" applyAlignment="1">
      <alignment horizontal="left" vertical="top"/>
    </xf>
    <xf numFmtId="168" fontId="10" fillId="0" borderId="18" xfId="0" applyNumberFormat="1" applyFont="1" applyBorder="1" applyAlignment="1" applyProtection="1">
      <alignment horizontal="center"/>
      <protection locked="0"/>
    </xf>
    <xf numFmtId="169" fontId="12" fillId="0" borderId="5" xfId="0" applyNumberFormat="1" applyFont="1" applyBorder="1" applyAlignment="1" applyProtection="1">
      <alignment horizontal="left"/>
      <protection locked="0"/>
    </xf>
    <xf numFmtId="0" fontId="10" fillId="0" borderId="5" xfId="0" applyFont="1" applyBorder="1" applyAlignment="1" applyProtection="1">
      <alignment horizontal="left"/>
      <protection locked="0"/>
    </xf>
    <xf numFmtId="0" fontId="12" fillId="0" borderId="18" xfId="0" applyFont="1" applyBorder="1" applyAlignment="1" applyProtection="1">
      <alignment horizontal="left"/>
      <protection locked="0"/>
    </xf>
    <xf numFmtId="168" fontId="10" fillId="0" borderId="18" xfId="0" applyNumberFormat="1" applyFont="1" applyBorder="1" applyAlignment="1">
      <alignment horizontal="center"/>
    </xf>
    <xf numFmtId="0" fontId="7" fillId="0" borderId="18" xfId="0" applyFont="1" applyFill="1" applyBorder="1" applyAlignment="1" applyProtection="1">
      <alignment horizontal="left" wrapText="1"/>
      <protection locked="0"/>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cellStyle name="Normal 3" xfId="283"/>
    <cellStyle name="Normal 3 2" xfId="285"/>
    <cellStyle name="Normal 3 2 2" xfId="286"/>
    <cellStyle name="Normal 3 2 3" xfId="287"/>
    <cellStyle name="Normal 4" xfId="284"/>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xmlns="" id="{7243A14B-4D96-E346-B75C-AEE5C2592045}"/>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dimension ref="A1:Z49"/>
  <sheetViews>
    <sheetView showGridLines="0" zoomScale="135" zoomScaleNormal="135" zoomScalePageLayoutView="135" workbookViewId="0">
      <selection activeCell="G20" sqref="G20"/>
    </sheetView>
  </sheetViews>
  <sheetFormatPr defaultColWidth="8.81640625" defaultRowHeight="12.5"/>
  <cols>
    <col min="1" max="1" width="16.453125" style="2" customWidth="1"/>
    <col min="2" max="2" width="10.453125" bestFit="1" customWidth="1"/>
    <col min="3" max="3" width="8.81640625" style="3" hidden="1" customWidth="1"/>
    <col min="4" max="4" width="8.36328125" customWidth="1"/>
    <col min="5" max="5" width="17" bestFit="1" customWidth="1"/>
    <col min="6" max="6" width="18" bestFit="1" customWidth="1"/>
    <col min="7" max="7" width="23.453125" customWidth="1"/>
    <col min="8" max="8" width="25.1796875" bestFit="1" customWidth="1"/>
    <col min="9" max="11" width="31.1796875" customWidth="1"/>
    <col min="12" max="15" width="17.81640625" hidden="1" customWidth="1"/>
  </cols>
  <sheetData>
    <row r="1" spans="1:26" ht="20" customHeight="1">
      <c r="A1" s="116" t="s">
        <v>83</v>
      </c>
      <c r="B1" s="116"/>
      <c r="C1" s="116"/>
      <c r="D1" s="116"/>
      <c r="E1" s="116"/>
      <c r="F1" s="116"/>
      <c r="G1" s="116"/>
      <c r="H1" s="116"/>
      <c r="I1" s="105" t="s">
        <v>85</v>
      </c>
      <c r="Q1" s="115" t="s">
        <v>86</v>
      </c>
      <c r="R1" s="115"/>
      <c r="S1" s="115"/>
      <c r="T1" s="115"/>
      <c r="U1" s="115"/>
      <c r="V1" s="115"/>
      <c r="W1" s="115"/>
      <c r="X1" s="115"/>
      <c r="Y1" s="115"/>
      <c r="Z1" s="115"/>
    </row>
    <row r="2" spans="1:26" ht="13" customHeight="1" thickBot="1">
      <c r="H2" s="106"/>
      <c r="I2" s="106"/>
      <c r="Q2" s="115"/>
      <c r="R2" s="115"/>
      <c r="S2" s="115"/>
      <c r="T2" s="115"/>
      <c r="U2" s="115"/>
      <c r="V2" s="115"/>
      <c r="W2" s="115"/>
      <c r="X2" s="115"/>
      <c r="Y2" s="115"/>
      <c r="Z2" s="115"/>
    </row>
    <row r="3" spans="1:26" ht="13" customHeight="1">
      <c r="A3" s="102" t="s">
        <v>82</v>
      </c>
      <c r="B3" s="101">
        <v>44674</v>
      </c>
      <c r="C3" s="104"/>
      <c r="D3" s="104"/>
      <c r="G3" s="104"/>
      <c r="H3" s="106"/>
      <c r="I3" s="106"/>
      <c r="Q3" s="115"/>
      <c r="R3" s="115"/>
      <c r="S3" s="115"/>
      <c r="T3" s="115"/>
      <c r="U3" s="115"/>
      <c r="V3" s="115"/>
      <c r="W3" s="115"/>
      <c r="X3" s="115"/>
      <c r="Y3" s="115"/>
      <c r="Z3" s="115"/>
    </row>
    <row r="4" spans="1:26" ht="13" thickBot="1">
      <c r="H4" s="106"/>
      <c r="I4" s="106"/>
      <c r="Q4" s="115"/>
      <c r="R4" s="115"/>
      <c r="S4" s="115"/>
      <c r="T4" s="115"/>
      <c r="U4" s="115"/>
      <c r="V4" s="115"/>
      <c r="W4" s="115"/>
      <c r="X4" s="115"/>
      <c r="Y4" s="115"/>
      <c r="Z4" s="115"/>
    </row>
    <row r="5" spans="1:26" ht="18">
      <c r="A5" s="11" t="s">
        <v>18</v>
      </c>
      <c r="B5" s="72">
        <v>600</v>
      </c>
      <c r="C5">
        <f>IF(Brevet_Length&gt;=1200,Brevet_Length,IF(Brevet_Length&gt;=1000,1000,IF(Brevet_Length&gt;=600,600,IF(Brevet_Length&gt;=400,400,IF(Brevet_Length&gt;=300,300,IF(Brevet_Length&gt;=200,200,100))))))</f>
        <v>600</v>
      </c>
      <c r="J5" s="123" t="s">
        <v>63</v>
      </c>
      <c r="K5" s="123"/>
      <c r="Q5" s="76" t="s">
        <v>64</v>
      </c>
      <c r="R5" s="76"/>
      <c r="S5" s="76"/>
      <c r="T5" s="76"/>
      <c r="U5" s="76"/>
      <c r="V5" s="76"/>
      <c r="W5" s="76"/>
    </row>
    <row r="6" spans="1:26" ht="13" thickBot="1">
      <c r="A6" s="12" t="s">
        <v>19</v>
      </c>
      <c r="B6" s="13">
        <f>IF(brevet=1200,90,IF(brevet=1000,75,IF(brevet=600,40,IF(brevet=400,27,IF(brevet=300,20,IF(brevet=200,13.5,IF(brevet=100,7,0)))))))</f>
        <v>40</v>
      </c>
      <c r="Q6" t="s">
        <v>65</v>
      </c>
    </row>
    <row r="7" spans="1:26" ht="18.5" thickBot="1">
      <c r="A7" s="12" t="s">
        <v>20</v>
      </c>
      <c r="B7" s="117" t="s">
        <v>87</v>
      </c>
      <c r="C7" s="118"/>
      <c r="D7" s="118"/>
      <c r="E7" s="118"/>
      <c r="F7" s="118"/>
      <c r="G7" s="118"/>
      <c r="H7" s="119"/>
      <c r="I7" s="29"/>
      <c r="J7" s="29"/>
      <c r="K7" s="29"/>
      <c r="O7" s="30"/>
      <c r="P7" s="30"/>
      <c r="Q7" s="76" t="s">
        <v>66</v>
      </c>
    </row>
    <row r="8" spans="1:26" ht="18">
      <c r="A8" s="12" t="s">
        <v>21</v>
      </c>
      <c r="B8" s="73">
        <v>5261</v>
      </c>
      <c r="C8" s="26"/>
      <c r="F8" s="27"/>
      <c r="G8" s="27"/>
      <c r="H8" s="27"/>
      <c r="I8" s="27"/>
      <c r="J8" s="27"/>
      <c r="K8" s="27"/>
      <c r="Q8" s="76" t="s">
        <v>67</v>
      </c>
    </row>
    <row r="9" spans="1:26" ht="18">
      <c r="A9" s="50" t="s">
        <v>48</v>
      </c>
      <c r="B9" s="74">
        <v>45080</v>
      </c>
      <c r="Q9" s="76" t="s">
        <v>68</v>
      </c>
    </row>
    <row r="10" spans="1:26" ht="6" customHeight="1">
      <c r="B10" s="107"/>
    </row>
    <row r="11" spans="1:26" ht="18" customHeight="1" thickBot="1">
      <c r="A11" s="99" t="s">
        <v>22</v>
      </c>
      <c r="B11" s="100">
        <v>45080</v>
      </c>
      <c r="Q11" s="76" t="s">
        <v>76</v>
      </c>
    </row>
    <row r="12" spans="1:26" ht="18.5" thickBot="1">
      <c r="A12" s="10" t="s">
        <v>23</v>
      </c>
      <c r="B12" s="75">
        <v>0.20833333333333334</v>
      </c>
      <c r="D12" s="120" t="s">
        <v>81</v>
      </c>
      <c r="E12" s="121"/>
      <c r="F12" s="121"/>
      <c r="G12" s="121"/>
      <c r="H12" s="121"/>
      <c r="I12" s="124" t="s">
        <v>71</v>
      </c>
      <c r="J12" s="121"/>
      <c r="K12" s="122"/>
      <c r="Q12" s="76" t="s">
        <v>75</v>
      </c>
    </row>
    <row r="13" spans="1:26" ht="13.5" thickBot="1">
      <c r="D13" s="6" t="s">
        <v>24</v>
      </c>
      <c r="E13" s="7" t="s">
        <v>25</v>
      </c>
      <c r="F13" s="66" t="s">
        <v>26</v>
      </c>
      <c r="G13" s="66" t="s">
        <v>27</v>
      </c>
      <c r="H13" s="67" t="s">
        <v>28</v>
      </c>
      <c r="I13" s="7" t="s">
        <v>60</v>
      </c>
      <c r="J13" s="7" t="s">
        <v>61</v>
      </c>
      <c r="K13" s="8" t="s">
        <v>62</v>
      </c>
      <c r="L13" t="s">
        <v>3</v>
      </c>
      <c r="M13" t="s">
        <v>4</v>
      </c>
      <c r="N13" t="s">
        <v>5</v>
      </c>
      <c r="O13" t="s">
        <v>6</v>
      </c>
      <c r="Q13" s="76" t="s">
        <v>69</v>
      </c>
    </row>
    <row r="14" spans="1:26" ht="17" customHeight="1">
      <c r="C14" s="3" t="s">
        <v>7</v>
      </c>
      <c r="D14" s="28">
        <v>0</v>
      </c>
      <c r="E14" s="78" t="s">
        <v>88</v>
      </c>
      <c r="F14" s="79" t="s">
        <v>89</v>
      </c>
      <c r="G14" s="79" t="s">
        <v>90</v>
      </c>
      <c r="H14" s="80"/>
      <c r="I14" s="84"/>
      <c r="J14" s="84"/>
      <c r="K14" s="85"/>
      <c r="L14" s="4">
        <f>Start_date+Start_time</f>
        <v>45080.208333333336</v>
      </c>
      <c r="M14" s="4">
        <f>L14+"1:00"</f>
        <v>45080.25</v>
      </c>
      <c r="N14" s="5">
        <f>IF(ISBLANK(Distance),"",Open Control_1)</f>
        <v>45080.208333333336</v>
      </c>
      <c r="O14" s="5">
        <f>IF(ISBLANK(Distance),"",Close Control_1)</f>
        <v>45080.25</v>
      </c>
      <c r="Q14" s="76" t="s">
        <v>84</v>
      </c>
    </row>
    <row r="15" spans="1:26" ht="17" customHeight="1">
      <c r="B15" s="91"/>
      <c r="C15" s="3" t="s">
        <v>8</v>
      </c>
      <c r="D15" s="28">
        <v>55</v>
      </c>
      <c r="E15" s="78" t="s">
        <v>91</v>
      </c>
      <c r="F15" s="79"/>
      <c r="G15" s="79" t="s">
        <v>90</v>
      </c>
      <c r="H15" s="80"/>
      <c r="I15" s="84"/>
      <c r="J15" s="84"/>
      <c r="K15" s="85"/>
      <c r="L15">
        <f>IF(ISBLANK(Distance),"",IF(Distance&gt;1000,(Distance-1000)/26+33.0847,(IF(Distance&gt;600,(Distance-600)/28+18.799,(IF(Distance&gt;400,(Distance-400)/30+12.1324,(IF(Distance&gt;200,(Distance-200)/32+5.8824,Distance/34))))))))</f>
        <v>1.6176470588235294</v>
      </c>
      <c r="M15">
        <f t="shared" ref="M15:M23" si="0">IF(ISBLANK(Distance),"",IF(Distance&gt;=brevet,IF(brevet&gt;1200,(brevet-1200)*75/1000+90,Max_time),IF(Distance&gt;1200,(Distance-1200)*75/1000+90,IF(Distance&gt;1000,(Distance-1000)/(1000/75)+75,IF(Distance&gt;600,(Distance-600)/(400/35)+40,IF(Distance&lt;=60,(Distance/20+1),Distance/15))))))</f>
        <v>3.75</v>
      </c>
      <c r="N15" s="5">
        <f>IF(ISBLANK(Distance),"",Open_time Control_1+(INT(Open)&amp;":"&amp;IF(ROUND(((Open-INT(Open))*60),0)&lt;10,0,"")&amp;ROUND(((Open-INT(Open))*60),0)))</f>
        <v>45080.275694444448</v>
      </c>
      <c r="O15" s="5">
        <f>IF(ISBLANK(Distance),"",Open_time Control_1+(INT(Close)&amp;":"&amp;IF(ROUND(((Close-INT(Close))*60),0)&lt;10,0,"")&amp;ROUND(((Close-INT(Close))*60),0)))</f>
        <v>45080.364583333336</v>
      </c>
      <c r="Q15" s="76" t="s">
        <v>70</v>
      </c>
    </row>
    <row r="16" spans="1:26" ht="17" customHeight="1">
      <c r="B16" s="91"/>
      <c r="C16" s="3" t="s">
        <v>9</v>
      </c>
      <c r="D16" s="28">
        <v>188.9</v>
      </c>
      <c r="E16" s="78" t="s">
        <v>92</v>
      </c>
      <c r="F16" s="79"/>
      <c r="G16" s="79" t="s">
        <v>90</v>
      </c>
      <c r="H16" s="80"/>
      <c r="I16" s="84"/>
      <c r="J16" s="84"/>
      <c r="K16" s="85"/>
      <c r="L16">
        <f>IF(ISBLANK(Distance),"",IF(Distance&gt;1000,(Distance-1000)/26+33.0847,(IF(Distance&gt;600,(Distance-600)/28+18.799,(IF(Distance&gt;400,(Distance-400)/30+12.1324,(IF(Distance&gt;200,(Distance-200)/32+5.8824,Distance/34))))))))</f>
        <v>5.5558823529411763</v>
      </c>
      <c r="M16">
        <f t="shared" si="0"/>
        <v>12.593333333333334</v>
      </c>
      <c r="N16" s="5">
        <f>IF(ISBLANK(Distance),"",Open_time Control_1+(INT(Open)&amp;":"&amp;IF(ROUND(((Open-INT(Open))*60),0)&lt;10,0,"")&amp;ROUND(((Open-INT(Open))*60),0)))</f>
        <v>45080.439583333333</v>
      </c>
      <c r="O16" s="5">
        <f>IF(ISBLANK(Distance),"",Open_time Control_1+(INT(Close)&amp;":"&amp;IF(ROUND(((Close-INT(Close))*60),0)&lt;10,0,"")&amp;ROUND(((Close-INT(Close))*60),0)))</f>
        <v>45080.733333333337</v>
      </c>
    </row>
    <row r="17" spans="2:17" ht="17" customHeight="1">
      <c r="B17" s="91"/>
      <c r="C17" s="3" t="s">
        <v>10</v>
      </c>
      <c r="D17" s="28">
        <v>282.60000000000002</v>
      </c>
      <c r="E17" s="78" t="s">
        <v>93</v>
      </c>
      <c r="F17" s="79"/>
      <c r="G17" s="79" t="s">
        <v>90</v>
      </c>
      <c r="H17" s="80"/>
      <c r="I17" s="84"/>
      <c r="J17" s="84"/>
      <c r="K17" s="85"/>
      <c r="L17">
        <f t="shared" ref="L17:L23" si="1">IF(ISBLANK(Distance),"",IF(Distance&gt;1000,(Distance-1000)/26+33.0847,(IF(Distance&gt;600,(Distance-600)/28+18.799,(IF(Distance&gt;400,(Distance-400)/30+12.1324,(IF(Distance&gt;200,(Distance-200)/32+5.8824,Distance/34))))))))</f>
        <v>8.4636500000000012</v>
      </c>
      <c r="M17">
        <f t="shared" si="0"/>
        <v>18.84</v>
      </c>
      <c r="N17" s="5">
        <f>IF(ISBLANK(Distance),"",Open_time Control_1+(INT(Open)&amp;":"&amp;IF(ROUND(((Open-INT(Open))*60),0)&lt;10,0,"")&amp;ROUND(((Open-INT(Open))*60),0)))</f>
        <v>45080.561111111114</v>
      </c>
      <c r="O17" s="5">
        <f>IF(ISBLANK(Distance),"",Open_time Control_1+(INT(Close)&amp;":"&amp;IF(ROUND(((Close-INT(Close))*60),0)&lt;10,0,"")&amp;ROUND(((Close-INT(Close))*60),0)))</f>
        <v>45080.993055555555</v>
      </c>
    </row>
    <row r="18" spans="2:17" ht="17" customHeight="1">
      <c r="B18" s="91"/>
      <c r="C18" s="3" t="s">
        <v>11</v>
      </c>
      <c r="D18" s="28">
        <v>363.5</v>
      </c>
      <c r="E18" s="78" t="s">
        <v>94</v>
      </c>
      <c r="F18" s="79"/>
      <c r="G18" s="79" t="s">
        <v>90</v>
      </c>
      <c r="H18" s="80"/>
      <c r="I18" s="84"/>
      <c r="J18" s="84"/>
      <c r="K18" s="86"/>
      <c r="L18">
        <f t="shared" si="1"/>
        <v>10.991775000000001</v>
      </c>
      <c r="M18">
        <f t="shared" si="0"/>
        <v>24.233333333333334</v>
      </c>
      <c r="N18" s="5">
        <f>IF(ISBLANK(Distance),"",Open_time Control_1+(INT(Open)&amp;":"&amp;IF(ROUND(((Open-INT(Open))*60),0)&lt;10,0,"")&amp;ROUND(((Open-INT(Open))*60),0)))</f>
        <v>45080.666666666672</v>
      </c>
      <c r="O18" s="5">
        <f>IF(ISBLANK(Distance),"",Open_time Control_1+(INT(Close)&amp;":"&amp;IF(ROUND(((Close-INT(Close))*60),0)&lt;10,0,"")&amp;ROUND(((Close-INT(Close))*60),0)))</f>
        <v>45081.218055555561</v>
      </c>
      <c r="Q18" s="96"/>
    </row>
    <row r="19" spans="2:17" ht="17" customHeight="1">
      <c r="B19" s="91"/>
      <c r="C19" s="3" t="s">
        <v>12</v>
      </c>
      <c r="D19" s="28">
        <v>544.4</v>
      </c>
      <c r="E19" s="78" t="s">
        <v>91</v>
      </c>
      <c r="F19" s="79"/>
      <c r="G19" s="79" t="s">
        <v>90</v>
      </c>
      <c r="H19" s="80"/>
      <c r="I19" s="84"/>
      <c r="J19" s="84"/>
      <c r="K19" s="85"/>
      <c r="L19">
        <f t="shared" si="1"/>
        <v>16.945733333333333</v>
      </c>
      <c r="M19">
        <f t="shared" si="0"/>
        <v>36.293333333333329</v>
      </c>
      <c r="N19" s="5">
        <f>IF(ISBLANK(Distance),"",Open_time Control_1+(INT(Open)&amp;":"&amp;IF(ROUND(((Open-INT(Open))*60),0)&lt;10,0,"")&amp;ROUND(((Open-INT(Open))*60),0)))</f>
        <v>45080.914583333339</v>
      </c>
      <c r="O19" s="5">
        <f>IF(ISBLANK(Distance),"",Open_time Control_1+(INT(Close)&amp;":"&amp;IF(ROUND(((Close-INT(Close))*60),0)&lt;10,0,"")&amp;ROUND(((Close-INT(Close))*60),0)))</f>
        <v>45081.720833333333</v>
      </c>
    </row>
    <row r="20" spans="2:17" ht="17" customHeight="1">
      <c r="B20" s="91"/>
      <c r="C20" s="3" t="s">
        <v>13</v>
      </c>
      <c r="D20" s="28">
        <v>600</v>
      </c>
      <c r="E20" s="78" t="s">
        <v>88</v>
      </c>
      <c r="F20" s="79" t="s">
        <v>89</v>
      </c>
      <c r="G20" s="79" t="s">
        <v>90</v>
      </c>
      <c r="H20" s="80"/>
      <c r="I20" s="84"/>
      <c r="J20" s="84"/>
      <c r="K20" s="85"/>
      <c r="L20">
        <f t="shared" si="1"/>
        <v>18.799066666666668</v>
      </c>
      <c r="M20">
        <f t="shared" si="0"/>
        <v>40</v>
      </c>
      <c r="N20" s="5">
        <f>IF(ISBLANK(Distance),"",Open_time Control_1+(INT(Open)&amp;":"&amp;IF(ROUND(((Open-INT(Open))*60),0)&lt;10,0,"")&amp;ROUND(((Open-INT(Open))*60),0)))</f>
        <v>45080.991666666669</v>
      </c>
      <c r="O20" s="5">
        <f>IF(ISBLANK(Distance),"",Open_time Control_1+(INT(Close)&amp;":"&amp;IF(ROUND(((Close-INT(Close))*60),0)&lt;10,0,"")&amp;ROUND(((Close-INT(Close))*60),0)))</f>
        <v>45081.875</v>
      </c>
    </row>
    <row r="21" spans="2:17" ht="17" customHeight="1">
      <c r="B21" s="91"/>
      <c r="C21" s="3" t="s">
        <v>14</v>
      </c>
      <c r="D21" s="28"/>
      <c r="E21" s="78"/>
      <c r="F21" s="79"/>
      <c r="G21" s="79"/>
      <c r="H21" s="80"/>
      <c r="I21" s="84"/>
      <c r="J21" s="84"/>
      <c r="K21" s="85"/>
      <c r="L21" t="str">
        <f t="shared" si="1"/>
        <v/>
      </c>
      <c r="M21" t="str">
        <f t="shared" si="0"/>
        <v/>
      </c>
      <c r="N21" s="5" t="str">
        <f>IF(ISBLANK(Distance),"",Open_time Control_1+(INT(Open)&amp;":"&amp;IF(ROUND(((Open-INT(Open))*60),0)&lt;10,0,"")&amp;ROUND(((Open-INT(Open))*60),0)))</f>
        <v/>
      </c>
      <c r="O21" s="5" t="str">
        <f>IF(ISBLANK(Distance),"",Open_time Control_1+(INT(Close)&amp;":"&amp;IF(ROUND(((Close-INT(Close))*60),0)&lt;10,0,"")&amp;ROUND(((Close-INT(Close))*60),0)))</f>
        <v/>
      </c>
    </row>
    <row r="22" spans="2:17" ht="17" customHeight="1">
      <c r="B22" s="91"/>
      <c r="C22" s="3" t="s">
        <v>15</v>
      </c>
      <c r="D22" s="28"/>
      <c r="E22" s="78"/>
      <c r="F22" s="79"/>
      <c r="G22" s="79"/>
      <c r="H22" s="80"/>
      <c r="I22" s="84"/>
      <c r="J22" s="84"/>
      <c r="K22" s="86"/>
      <c r="L22" t="str">
        <f t="shared" si="1"/>
        <v/>
      </c>
      <c r="M22" t="str">
        <f t="shared" si="0"/>
        <v/>
      </c>
      <c r="N22" s="5" t="str">
        <f>IF(ISBLANK(Distance),"",Open_time Control_1+(INT(Open)&amp;":"&amp;IF(ROUND(((Open-INT(Open))*60),0)&lt;10,0,"")&amp;ROUND(((Open-INT(Open))*60),0)))</f>
        <v/>
      </c>
      <c r="O22" s="5" t="str">
        <f>IF(ISBLANK(Distance),"",Open_time Control_1+(INT(Close)&amp;":"&amp;IF(ROUND(((Close-INT(Close))*60),0)&lt;10,0,"")&amp;ROUND(((Close-INT(Close))*60),0)))</f>
        <v/>
      </c>
    </row>
    <row r="23" spans="2:17" ht="17" customHeight="1" thickBot="1">
      <c r="B23" s="91"/>
      <c r="C23" s="3" t="s">
        <v>16</v>
      </c>
      <c r="D23" s="54"/>
      <c r="E23" s="81"/>
      <c r="F23" s="82"/>
      <c r="G23" s="82"/>
      <c r="H23" s="83"/>
      <c r="I23" s="87"/>
      <c r="J23" s="87"/>
      <c r="K23" s="88"/>
      <c r="L23" t="str">
        <f t="shared" si="1"/>
        <v/>
      </c>
      <c r="M23" t="str">
        <f t="shared" si="0"/>
        <v/>
      </c>
      <c r="N23" s="5" t="str">
        <f>IF(ISBLANK(Distance),"",Open_time Control_1+(INT(Open)&amp;":"&amp;IF(ROUND(((Open-INT(Open))*60),0)&lt;10,0,"")&amp;ROUND(((Open-INT(Open))*60),0)))</f>
        <v/>
      </c>
      <c r="O23" s="5" t="str">
        <f>IF(ISBLANK(Distance),"",Open_time Control_1+(INT(Close)&amp;":"&amp;IF(ROUND(((Close-INT(Close))*60),0)&lt;10,0,"")&amp;ROUND(((Close-INT(Close))*60),0)))</f>
        <v/>
      </c>
    </row>
    <row r="24" spans="2:17" ht="7" customHeight="1" thickBot="1">
      <c r="D24" s="68"/>
      <c r="E24" s="69"/>
      <c r="F24" s="70"/>
      <c r="G24" s="70"/>
      <c r="H24" s="70"/>
      <c r="I24" s="70"/>
      <c r="J24" s="70"/>
      <c r="K24" s="71"/>
      <c r="N24" s="5"/>
      <c r="O24" s="5"/>
    </row>
    <row r="25" spans="2:17" ht="13" thickBot="1">
      <c r="D25" s="120" t="s">
        <v>77</v>
      </c>
      <c r="E25" s="121"/>
      <c r="F25" s="121"/>
      <c r="G25" s="121"/>
      <c r="H25" s="121"/>
      <c r="I25" s="124" t="s">
        <v>72</v>
      </c>
      <c r="J25" s="121"/>
      <c r="K25" s="122"/>
    </row>
    <row r="26" spans="2:17" ht="13.5" thickBot="1">
      <c r="D26" s="6" t="s">
        <v>24</v>
      </c>
      <c r="E26" s="7" t="s">
        <v>25</v>
      </c>
      <c r="F26" s="66" t="s">
        <v>26</v>
      </c>
      <c r="G26" s="66" t="s">
        <v>27</v>
      </c>
      <c r="H26" s="67" t="s">
        <v>28</v>
      </c>
      <c r="I26" s="7" t="s">
        <v>60</v>
      </c>
      <c r="J26" s="7" t="s">
        <v>61</v>
      </c>
      <c r="K26" s="8" t="s">
        <v>62</v>
      </c>
      <c r="L26" t="s">
        <v>3</v>
      </c>
      <c r="M26" t="s">
        <v>4</v>
      </c>
      <c r="N26" t="s">
        <v>5</v>
      </c>
      <c r="O26" t="s">
        <v>6</v>
      </c>
    </row>
    <row r="27" spans="2:17" ht="15.5">
      <c r="D27" s="28"/>
      <c r="E27" s="78"/>
      <c r="F27" s="79"/>
      <c r="G27" s="79"/>
      <c r="H27" s="80"/>
      <c r="I27" s="84"/>
      <c r="J27" s="84"/>
      <c r="K27" s="85"/>
      <c r="L27" t="str">
        <f>IF(ISBLANK(D27),"",IF(D27&gt;1000,(D27-1000)/26+33.0847,(IF(D27&gt;600,(D27-600)/28+18.799,(IF(D27&gt;400,(D27-400)/30+12.1324,(IF(D27&gt;200,(D27-200)/32+5.8824,D27/34))))))))</f>
        <v/>
      </c>
      <c r="M27" t="str">
        <f t="shared" ref="M27:M36" si="2">IF(ISBLANK(D27),"",IF((D27=0),1,IF(D27&gt;=brevet,IF(brevet&gt;1200,(brevet-1200)*75/1000+90,Max_time),IF(D27&gt;1200,(D27-1200)*75/1000+90,IF(D27&gt;1000,(D27-1000)/(1000/75)+75,IF(D27&gt;600,(D27-600)/(400/35)+40,IF(D27&lt;=60,D27/20+1,D27/15)))))))</f>
        <v/>
      </c>
      <c r="N27" s="5" t="str">
        <f>IF(ISBLANK(D27),"",Open_time Control_1+(INT(L27)&amp;":"&amp;IF(ROUND(((L27-INT(L27))*60),0)&lt;10,0,"")&amp;ROUND(((L27-INT(L27))*60),0)))</f>
        <v/>
      </c>
      <c r="O27" s="5" t="str">
        <f>IF(ISBLANK(D27),"",Open_time Control_1+(INT(M27)&amp;":"&amp;IF(ROUND(((M27-INT(M27))*60),0)&lt;10,0,"")&amp;ROUND(((M27-INT(M27))*60),0)))</f>
        <v/>
      </c>
    </row>
    <row r="28" spans="2:17" ht="17" customHeight="1">
      <c r="D28" s="28"/>
      <c r="E28" s="78"/>
      <c r="F28" s="79"/>
      <c r="G28" s="79"/>
      <c r="H28" s="80"/>
      <c r="I28" s="84"/>
      <c r="J28" s="84"/>
      <c r="K28" s="86"/>
      <c r="L28" t="str">
        <f t="shared" ref="L28:L36" si="3">IF(ISBLANK(D28),"",IF(D28&gt;1000,(D28-1000)/26+33.0847,(IF(D28&gt;600,(D28-600)/28+18.799,(IF(D28&gt;400,(D28-400)/30+12.1324,(IF(D28&gt;200,(D28-200)/32+5.8824,D28/34))))))))</f>
        <v/>
      </c>
      <c r="M28" t="str">
        <f t="shared" si="2"/>
        <v/>
      </c>
      <c r="N28" s="5" t="str">
        <f>IF(ISBLANK(D28),"",Open_time Control_1+(INT(L28)&amp;":"&amp;IF(ROUND(((L28-INT(L28))*60),0)&lt;10,0,"")&amp;ROUND(((L28-INT(L28))*60),0)))</f>
        <v/>
      </c>
      <c r="O28" s="5" t="str">
        <f>IF(ISBLANK(D28),"",Open_time Control_1+(INT(M28)&amp;":"&amp;IF(ROUND(((M28-INT(M28))*60),0)&lt;10,0,"")&amp;ROUND(((M28-INT(M28))*60),0)))</f>
        <v/>
      </c>
    </row>
    <row r="29" spans="2:17" ht="17" customHeight="1">
      <c r="D29" s="28"/>
      <c r="E29" s="78"/>
      <c r="F29" s="79"/>
      <c r="G29" s="79"/>
      <c r="H29" s="80"/>
      <c r="I29" s="84"/>
      <c r="J29" s="84"/>
      <c r="K29" s="86"/>
      <c r="L29" t="str">
        <f t="shared" si="3"/>
        <v/>
      </c>
      <c r="M29" t="str">
        <f t="shared" si="2"/>
        <v/>
      </c>
      <c r="N29" s="5" t="str">
        <f>IF(ISBLANK(D29),"",Open_time Control_1+(INT(L29)&amp;":"&amp;IF(ROUND(((L29-INT(L29))*60),0)&lt;10,0,"")&amp;ROUND(((L29-INT(L29))*60),0)))</f>
        <v/>
      </c>
      <c r="O29" s="5" t="str">
        <f>IF(ISBLANK(D29),"",Open_time Control_1+(INT(M29)&amp;":"&amp;IF(ROUND(((M29-INT(M29))*60),0)&lt;10,0,"")&amp;ROUND(((M29-INT(M29))*60),0)))</f>
        <v/>
      </c>
    </row>
    <row r="30" spans="2:17" ht="17" customHeight="1">
      <c r="D30" s="28"/>
      <c r="E30" s="78"/>
      <c r="F30" s="79"/>
      <c r="G30" s="79"/>
      <c r="H30" s="80"/>
      <c r="I30" s="84"/>
      <c r="J30" s="84"/>
      <c r="K30" s="85"/>
      <c r="L30" t="str">
        <f t="shared" si="3"/>
        <v/>
      </c>
      <c r="M30" t="str">
        <f t="shared" si="2"/>
        <v/>
      </c>
      <c r="N30" s="5" t="str">
        <f>IF(ISBLANK(D30),"",Open_time Control_1+(INT(L30)&amp;":"&amp;IF(ROUND(((L30-INT(L30))*60),0)&lt;10,0,"")&amp;ROUND(((L30-INT(L30))*60),0)))</f>
        <v/>
      </c>
      <c r="O30" s="5" t="str">
        <f>IF(ISBLANK(D30),"",Open_time Control_1+(INT(M30)&amp;":"&amp;IF(ROUND(((M30-INT(M30))*60),0)&lt;10,0,"")&amp;ROUND(((M30-INT(M30))*60),0)))</f>
        <v/>
      </c>
    </row>
    <row r="31" spans="2:17" ht="17" customHeight="1">
      <c r="D31" s="28"/>
      <c r="E31" s="78"/>
      <c r="F31" s="79"/>
      <c r="G31" s="79"/>
      <c r="H31" s="80"/>
      <c r="I31" s="84"/>
      <c r="J31" s="84"/>
      <c r="K31" s="85"/>
      <c r="L31" t="str">
        <f t="shared" si="3"/>
        <v/>
      </c>
      <c r="M31" t="str">
        <f t="shared" si="2"/>
        <v/>
      </c>
      <c r="N31" s="5" t="str">
        <f>IF(ISBLANK(D31),"",Open_time Control_1+(INT(L31)&amp;":"&amp;IF(ROUND(((L31-INT(L31))*60),0)&lt;10,0,"")&amp;ROUND(((L31-INT(L31))*60),0)))</f>
        <v/>
      </c>
      <c r="O31" s="5" t="str">
        <f>IF(ISBLANK(D31),"",Open_time Control_1+(INT(M31)&amp;":"&amp;IF(ROUND(((M31-INT(M31))*60),0)&lt;10,0,"")&amp;ROUND(((M31-INT(M31))*60),0)))</f>
        <v/>
      </c>
    </row>
    <row r="32" spans="2:17" ht="17" customHeight="1">
      <c r="D32" s="28"/>
      <c r="E32" s="78"/>
      <c r="F32" s="79"/>
      <c r="G32" s="79"/>
      <c r="H32" s="80"/>
      <c r="I32" s="84"/>
      <c r="J32" s="84"/>
      <c r="K32" s="85"/>
      <c r="L32" t="str">
        <f t="shared" si="3"/>
        <v/>
      </c>
      <c r="M32" t="str">
        <f t="shared" si="2"/>
        <v/>
      </c>
      <c r="N32" s="5" t="str">
        <f>IF(ISBLANK(D32),"",Open_time Control_1+(INT(L32)&amp;":"&amp;IF(ROUND(((L32-INT(L32))*60),0)&lt;10,0,"")&amp;ROUND(((L32-INT(L32))*60),0)))</f>
        <v/>
      </c>
      <c r="O32" s="5" t="str">
        <f>IF(ISBLANK(D32),"",Open_time Control_1+(INT(M32)&amp;":"&amp;IF(ROUND(((M32-INT(M32))*60),0)&lt;10,0,"")&amp;ROUND(((M32-INT(M32))*60),0)))</f>
        <v/>
      </c>
    </row>
    <row r="33" spans="4:15" ht="17" customHeight="1">
      <c r="D33" s="28"/>
      <c r="E33" s="78"/>
      <c r="F33" s="79"/>
      <c r="G33" s="79"/>
      <c r="H33" s="80"/>
      <c r="I33" s="84"/>
      <c r="J33" s="84"/>
      <c r="K33" s="86"/>
      <c r="L33" t="str">
        <f t="shared" si="3"/>
        <v/>
      </c>
      <c r="M33" t="str">
        <f t="shared" si="2"/>
        <v/>
      </c>
      <c r="N33" s="5" t="str">
        <f>IF(ISBLANK(D33),"",Open_time Control_1+(INT(L33)&amp;":"&amp;IF(ROUND(((L33-INT(L33))*60),0)&lt;10,0,"")&amp;ROUND(((L33-INT(L33))*60),0)))</f>
        <v/>
      </c>
      <c r="O33" s="5" t="str">
        <f>IF(ISBLANK(D33),"",Open_time Control_1+(INT(M33)&amp;":"&amp;IF(ROUND(((M33-INT(M33))*60),0)&lt;10,0,"")&amp;ROUND(((M33-INT(M33))*60),0)))</f>
        <v/>
      </c>
    </row>
    <row r="34" spans="4:15" ht="17" customHeight="1">
      <c r="D34" s="28"/>
      <c r="E34" s="78"/>
      <c r="F34" s="79"/>
      <c r="G34" s="79"/>
      <c r="H34" s="80"/>
      <c r="I34" s="84"/>
      <c r="J34" s="84"/>
      <c r="K34" s="85"/>
      <c r="L34" t="str">
        <f t="shared" si="3"/>
        <v/>
      </c>
      <c r="M34" t="str">
        <f t="shared" si="2"/>
        <v/>
      </c>
      <c r="N34" s="5" t="str">
        <f>IF(ISBLANK(D34),"",Open_time Control_1+(INT(L34)&amp;":"&amp;IF(ROUND(((L34-INT(L34))*60),0)&lt;10,0,"")&amp;ROUND(((L34-INT(L34))*60),0)))</f>
        <v/>
      </c>
      <c r="O34" s="5" t="str">
        <f>IF(ISBLANK(D34),"",Open_time Control_1+(INT(M34)&amp;":"&amp;IF(ROUND(((M34-INT(M34))*60),0)&lt;10,0,"")&amp;ROUND(((M34-INT(M34))*60),0)))</f>
        <v/>
      </c>
    </row>
    <row r="35" spans="4:15" ht="17" customHeight="1">
      <c r="D35" s="28"/>
      <c r="E35" s="78"/>
      <c r="F35" s="79"/>
      <c r="G35" s="79"/>
      <c r="H35" s="80"/>
      <c r="I35" s="84"/>
      <c r="J35" s="84"/>
      <c r="K35" s="85"/>
      <c r="L35" t="str">
        <f t="shared" si="3"/>
        <v/>
      </c>
      <c r="M35" t="str">
        <f t="shared" si="2"/>
        <v/>
      </c>
      <c r="N35" s="5" t="str">
        <f>IF(ISBLANK(D35),"",Open_time Control_1+(INT(L35)&amp;":"&amp;IF(ROUND(((L35-INT(L35))*60),0)&lt;10,0,"")&amp;ROUND(((L35-INT(L35))*60),0)))</f>
        <v/>
      </c>
      <c r="O35" s="5" t="str">
        <f>IF(ISBLANK(D35),"",Open_time Control_1+(INT(M35)&amp;":"&amp;IF(ROUND(((M35-INT(M35))*60),0)&lt;10,0,"")&amp;ROUND(((M35-INT(M35))*60),0)))</f>
        <v/>
      </c>
    </row>
    <row r="36" spans="4:15" ht="17" customHeight="1" thickBot="1">
      <c r="D36" s="54"/>
      <c r="E36" s="81"/>
      <c r="F36" s="82"/>
      <c r="G36" s="82"/>
      <c r="H36" s="83"/>
      <c r="I36" s="87"/>
      <c r="J36" s="87"/>
      <c r="K36" s="88"/>
      <c r="L36" t="str">
        <f t="shared" si="3"/>
        <v/>
      </c>
      <c r="M36" t="str">
        <f t="shared" si="2"/>
        <v/>
      </c>
      <c r="N36" s="5" t="str">
        <f>IF(ISBLANK(D36),"",Open_time Control_1+(INT(L36)&amp;":"&amp;IF(ROUND(((L36-INT(L36))*60),0)&lt;10,0,"")&amp;ROUND(((L36-INT(L36))*60),0)))</f>
        <v/>
      </c>
      <c r="O36" s="5" t="str">
        <f>IF(ISBLANK(D36),"",Open_time Control_1+(INT(M36)&amp;":"&amp;IF(ROUND(((M36-INT(M36))*60),0)&lt;10,0,"")&amp;ROUND(((M36-INT(M36))*60),0)))</f>
        <v/>
      </c>
    </row>
    <row r="37" spans="4:15" ht="7" customHeight="1" thickBot="1">
      <c r="D37" s="68"/>
      <c r="E37" s="69"/>
      <c r="F37" s="70"/>
      <c r="G37" s="70"/>
      <c r="H37" s="70"/>
      <c r="I37" s="70"/>
      <c r="J37" s="70"/>
      <c r="K37" s="71"/>
      <c r="N37" s="5"/>
      <c r="O37" s="5"/>
    </row>
    <row r="38" spans="4:15" ht="13" thickBot="1">
      <c r="D38" s="120" t="s">
        <v>79</v>
      </c>
      <c r="E38" s="121"/>
      <c r="F38" s="121"/>
      <c r="G38" s="121"/>
      <c r="H38" s="121"/>
      <c r="I38" s="120" t="s">
        <v>78</v>
      </c>
      <c r="J38" s="121"/>
      <c r="K38" s="122"/>
    </row>
    <row r="39" spans="4:15" ht="13.5" thickBot="1">
      <c r="D39" s="6" t="s">
        <v>24</v>
      </c>
      <c r="E39" s="7" t="s">
        <v>25</v>
      </c>
      <c r="F39" s="66" t="s">
        <v>26</v>
      </c>
      <c r="G39" s="66" t="s">
        <v>27</v>
      </c>
      <c r="H39" s="97" t="s">
        <v>28</v>
      </c>
      <c r="I39" s="7" t="s">
        <v>60</v>
      </c>
      <c r="J39" s="7" t="s">
        <v>61</v>
      </c>
      <c r="K39" s="8" t="s">
        <v>62</v>
      </c>
      <c r="L39" t="s">
        <v>3</v>
      </c>
      <c r="M39" t="s">
        <v>4</v>
      </c>
      <c r="N39" t="s">
        <v>5</v>
      </c>
      <c r="O39" t="s">
        <v>6</v>
      </c>
    </row>
    <row r="40" spans="4:15" ht="15.5">
      <c r="D40" s="28"/>
      <c r="E40" s="78"/>
      <c r="F40" s="79"/>
      <c r="G40" s="79"/>
      <c r="H40" s="98"/>
      <c r="I40" s="84"/>
      <c r="J40" s="84"/>
      <c r="K40" s="85"/>
      <c r="L40" t="str">
        <f>IF(ISBLANK(D40),"",IF(D40&gt;1000,(D40-1000)/26+33.0847,(IF(D40&gt;600,(D40-600)/28+18.799,(IF(D40&gt;400,(D40-400)/30+12.1324,(IF(D40&gt;200,(D40-200)/32+5.8824,D40/34))))))))</f>
        <v/>
      </c>
      <c r="M40" t="str">
        <f t="shared" ref="M40:M49" si="4">IF(ISBLANK(D40),"",IF((D40=0),1,IF(D40&gt;=brevet,IF(brevet&gt;1200,(brevet-1200)*75/1000+90,Max_time),IF(D40&gt;1200,(D40-1200)*75/1000+90,IF(D40&gt;1000,(D40-1000)/(1000/75)+75,IF(D40&gt;600,(D40-600)/(400/35)+40,IF(D40&lt;=60,D40/20+1,D40/15)))))))</f>
        <v/>
      </c>
      <c r="N40" s="5" t="str">
        <f>IF(ISBLANK(D40),"",Open_time Control_1+(INT(L40)&amp;":"&amp;IF(ROUND(((L40-INT(L40))*60),0)&lt;10,0,"")&amp;ROUND(((L40-INT(L40))*60),0)))</f>
        <v/>
      </c>
      <c r="O40" s="5" t="str">
        <f>IF(ISBLANK(D40),"",Open_time Control_1+(INT(M40)&amp;":"&amp;IF(ROUND(((M40-INT(M40))*60),0)&lt;10,0,"")&amp;ROUND(((M40-INT(M40))*60),0)))</f>
        <v/>
      </c>
    </row>
    <row r="41" spans="4:15" ht="15.5">
      <c r="D41" s="28"/>
      <c r="E41" s="78"/>
      <c r="F41" s="79"/>
      <c r="G41" s="79"/>
      <c r="H41" s="80"/>
      <c r="I41" s="84"/>
      <c r="J41" s="84"/>
      <c r="K41" s="86"/>
      <c r="L41" t="str">
        <f t="shared" ref="L41:L49" si="5">IF(ISBLANK(D41),"",IF(D41&gt;1000,(D41-1000)/26+33.0847,(IF(D41&gt;600,(D41-600)/28+18.799,(IF(D41&gt;400,(D41-400)/30+12.1324,(IF(D41&gt;200,(D41-200)/32+5.8824,D41/34))))))))</f>
        <v/>
      </c>
      <c r="M41" t="str">
        <f t="shared" si="4"/>
        <v/>
      </c>
      <c r="N41" s="5" t="str">
        <f>IF(ISBLANK(D41),"",Open_time Control_1+(INT(L41)&amp;":"&amp;IF(ROUND(((L41-INT(L41))*60),0)&lt;10,0,"")&amp;ROUND(((L41-INT(L41))*60),0)))</f>
        <v/>
      </c>
      <c r="O41" s="5" t="str">
        <f>IF(ISBLANK(D41),"",Open_time Control_1+(INT(M41)&amp;":"&amp;IF(ROUND(((M41-INT(M41))*60),0)&lt;10,0,"")&amp;ROUND(((M41-INT(M41))*60),0)))</f>
        <v/>
      </c>
    </row>
    <row r="42" spans="4:15" ht="15.5">
      <c r="D42" s="28"/>
      <c r="E42" s="89"/>
      <c r="F42" s="79"/>
      <c r="G42" s="79"/>
      <c r="H42" s="80"/>
      <c r="I42" s="84"/>
      <c r="J42" s="84"/>
      <c r="K42" s="86"/>
      <c r="L42" t="str">
        <f t="shared" si="5"/>
        <v/>
      </c>
      <c r="M42" t="str">
        <f t="shared" si="4"/>
        <v/>
      </c>
      <c r="N42" s="5" t="str">
        <f>IF(ISBLANK(D42),"",Open_time Control_1+(INT(L42)&amp;":"&amp;IF(ROUND(((L42-INT(L42))*60),0)&lt;10,0,"")&amp;ROUND(((L42-INT(L42))*60),0)))</f>
        <v/>
      </c>
      <c r="O42" s="5" t="str">
        <f>IF(ISBLANK(D42),"",Open_time Control_1+(INT(M42)&amp;":"&amp;IF(ROUND(((M42-INT(M42))*60),0)&lt;10,0,"")&amp;ROUND(((M42-INT(M42))*60),0)))</f>
        <v/>
      </c>
    </row>
    <row r="43" spans="4:15" ht="15.5">
      <c r="D43" s="28"/>
      <c r="E43" s="78"/>
      <c r="F43" s="79"/>
      <c r="G43" s="79"/>
      <c r="H43" s="80"/>
      <c r="I43" s="84"/>
      <c r="J43" s="84"/>
      <c r="K43" s="85"/>
      <c r="L43" t="str">
        <f t="shared" si="5"/>
        <v/>
      </c>
      <c r="M43" t="str">
        <f t="shared" si="4"/>
        <v/>
      </c>
      <c r="N43" s="5" t="str">
        <f>IF(ISBLANK(D43),"",Open_time Control_1+(INT(L43)&amp;":"&amp;IF(ROUND(((L43-INT(L43))*60),0)&lt;10,0,"")&amp;ROUND(((L43-INT(L43))*60),0)))</f>
        <v/>
      </c>
      <c r="O43" s="5" t="str">
        <f>IF(ISBLANK(D43),"",Open_time Control_1+(INT(M43)&amp;":"&amp;IF(ROUND(((M43-INT(M43))*60),0)&lt;10,0,"")&amp;ROUND(((M43-INT(M43))*60),0)))</f>
        <v/>
      </c>
    </row>
    <row r="44" spans="4:15" ht="15.5">
      <c r="D44" s="28"/>
      <c r="E44" s="78"/>
      <c r="F44" s="79"/>
      <c r="G44" s="79"/>
      <c r="H44" s="80"/>
      <c r="I44" s="84"/>
      <c r="J44" s="84"/>
      <c r="K44" s="85"/>
      <c r="L44" t="str">
        <f t="shared" si="5"/>
        <v/>
      </c>
      <c r="M44" t="str">
        <f t="shared" si="4"/>
        <v/>
      </c>
      <c r="N44" s="5" t="str">
        <f>IF(ISBLANK(D44),"",Open_time Control_1+(INT(L44)&amp;":"&amp;IF(ROUND(((L44-INT(L44))*60),0)&lt;10,0,"")&amp;ROUND(((L44-INT(L44))*60),0)))</f>
        <v/>
      </c>
      <c r="O44" s="5" t="str">
        <f>IF(ISBLANK(D44),"",Open_time Control_1+(INT(M44)&amp;":"&amp;IF(ROUND(((M44-INT(M44))*60),0)&lt;10,0,"")&amp;ROUND(((M44-INT(M44))*60),0)))</f>
        <v/>
      </c>
    </row>
    <row r="45" spans="4:15" ht="15.5">
      <c r="D45" s="28"/>
      <c r="E45" s="78"/>
      <c r="F45" s="79"/>
      <c r="G45" s="79"/>
      <c r="H45" s="80"/>
      <c r="I45" s="84"/>
      <c r="J45" s="84"/>
      <c r="K45" s="85"/>
      <c r="L45" t="str">
        <f t="shared" si="5"/>
        <v/>
      </c>
      <c r="M45" t="str">
        <f t="shared" si="4"/>
        <v/>
      </c>
      <c r="N45" s="5" t="str">
        <f>IF(ISBLANK(D45),"",Open_time Control_1+(INT(L45)&amp;":"&amp;IF(ROUND(((L45-INT(L45))*60),0)&lt;10,0,"")&amp;ROUND(((L45-INT(L45))*60),0)))</f>
        <v/>
      </c>
      <c r="O45" s="5" t="str">
        <f>IF(ISBLANK(D45),"",Open_time Control_1+(INT(M45)&amp;":"&amp;IF(ROUND(((M45-INT(M45))*60),0)&lt;10,0,"")&amp;ROUND(((M45-INT(M45))*60),0)))</f>
        <v/>
      </c>
    </row>
    <row r="46" spans="4:15" ht="15.5">
      <c r="D46" s="28"/>
      <c r="E46" s="78"/>
      <c r="F46" s="79"/>
      <c r="G46" s="79"/>
      <c r="H46" s="80"/>
      <c r="I46" s="84"/>
      <c r="J46" s="84"/>
      <c r="K46" s="86"/>
      <c r="L46" t="str">
        <f t="shared" si="5"/>
        <v/>
      </c>
      <c r="M46" t="str">
        <f t="shared" si="4"/>
        <v/>
      </c>
      <c r="N46" s="5" t="str">
        <f>IF(ISBLANK(D46),"",Open_time Control_1+(INT(L46)&amp;":"&amp;IF(ROUND(((L46-INT(L46))*60),0)&lt;10,0,"")&amp;ROUND(((L46-INT(L46))*60),0)))</f>
        <v/>
      </c>
      <c r="O46" s="5" t="str">
        <f>IF(ISBLANK(D46),"",Open_time Control_1+(INT(M46)&amp;":"&amp;IF(ROUND(((M46-INT(M46))*60),0)&lt;10,0,"")&amp;ROUND(((M46-INT(M46))*60),0)))</f>
        <v/>
      </c>
    </row>
    <row r="47" spans="4:15" ht="15.5">
      <c r="D47" s="28"/>
      <c r="E47" s="78"/>
      <c r="F47" s="79"/>
      <c r="G47" s="79"/>
      <c r="H47" s="80"/>
      <c r="I47" s="84"/>
      <c r="J47" s="84"/>
      <c r="K47" s="85"/>
      <c r="L47" t="str">
        <f t="shared" si="5"/>
        <v/>
      </c>
      <c r="M47" t="str">
        <f t="shared" si="4"/>
        <v/>
      </c>
      <c r="N47" s="5" t="str">
        <f>IF(ISBLANK(D47),"",Open_time Control_1+(INT(L47)&amp;":"&amp;IF(ROUND(((L47-INT(L47))*60),0)&lt;10,0,"")&amp;ROUND(((L47-INT(L47))*60),0)))</f>
        <v/>
      </c>
      <c r="O47" s="5" t="str">
        <f>IF(ISBLANK(D47),"",Open_time Control_1+(INT(M47)&amp;":"&amp;IF(ROUND(((M47-INT(M47))*60),0)&lt;10,0,"")&amp;ROUND(((M47-INT(M47))*60),0)))</f>
        <v/>
      </c>
    </row>
    <row r="48" spans="4:15" ht="15.5">
      <c r="D48" s="28"/>
      <c r="E48" s="78"/>
      <c r="F48" s="79"/>
      <c r="G48" s="79"/>
      <c r="H48" s="80"/>
      <c r="I48" s="84"/>
      <c r="J48" s="84"/>
      <c r="K48" s="85"/>
      <c r="L48" t="str">
        <f t="shared" si="5"/>
        <v/>
      </c>
      <c r="M48" t="str">
        <f t="shared" si="4"/>
        <v/>
      </c>
      <c r="N48" s="5" t="str">
        <f>IF(ISBLANK(D48),"",Open_time Control_1+(INT(L48)&amp;":"&amp;IF(ROUND(((L48-INT(L48))*60),0)&lt;10,0,"")&amp;ROUND(((L48-INT(L48))*60),0)))</f>
        <v/>
      </c>
      <c r="O48" s="5" t="str">
        <f>IF(ISBLANK(D48),"",Open_time Control_1+(INT(M48)&amp;":"&amp;IF(ROUND(((M48-INT(M48))*60),0)&lt;10,0,"")&amp;ROUND(((M48-INT(M48))*60),0)))</f>
        <v/>
      </c>
    </row>
    <row r="49" spans="4:15" ht="16" thickBot="1">
      <c r="D49" s="54"/>
      <c r="E49" s="81"/>
      <c r="F49" s="82"/>
      <c r="G49" s="82"/>
      <c r="H49" s="83"/>
      <c r="I49" s="87"/>
      <c r="J49" s="87"/>
      <c r="K49" s="88"/>
      <c r="L49" t="str">
        <f t="shared" si="5"/>
        <v/>
      </c>
      <c r="M49" t="str">
        <f t="shared" si="4"/>
        <v/>
      </c>
      <c r="N49" s="5" t="str">
        <f>IF(ISBLANK(D49),"",Open_time Control_1+(INT(L49)&amp;":"&amp;IF(ROUND(((L49-INT(L49))*60),0)&lt;10,0,"")&amp;ROUND(((L49-INT(L49))*60),0)))</f>
        <v/>
      </c>
      <c r="O49" s="5" t="str">
        <f>IF(ISBLANK(D49),"",Open_time Control_1+(INT(M49)&amp;":"&amp;IF(ROUND(((M49-INT(M49))*60),0)&lt;10,0,"")&amp;ROUND(((M49-INT(M49))*60),0)))</f>
        <v/>
      </c>
    </row>
  </sheetData>
  <sheetProtection algorithmName="SHA-512" hashValue="8ATjRc/L1tkX0X9n8vWAujSih7VjQgR4Gm1AUMiMNmIEM0Ks0LMyy6Zny+wLDDf98ZixB0hvBn2H0qG5vGQOjQ==" saltValue="5u/p/vbWEv2+CxFHQHaMLg==" spinCount="100000" sheet="1" objects="1" scenarios="1" selectLockedCells="1"/>
  <mergeCells count="10">
    <mergeCell ref="Q1:Z4"/>
    <mergeCell ref="A1:H1"/>
    <mergeCell ref="B7:H7"/>
    <mergeCell ref="D38:H38"/>
    <mergeCell ref="I38:K38"/>
    <mergeCell ref="J5:K5"/>
    <mergeCell ref="D12:H12"/>
    <mergeCell ref="D25:H25"/>
    <mergeCell ref="I12:K12"/>
    <mergeCell ref="I25:K25"/>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V40"/>
  <sheetViews>
    <sheetView showGridLines="0" tabSelected="1" topLeftCell="A4" zoomScale="92" zoomScaleNormal="92" zoomScalePageLayoutView="92" workbookViewId="0">
      <selection activeCell="L8" sqref="L8:Q8"/>
    </sheetView>
  </sheetViews>
  <sheetFormatPr defaultColWidth="8.81640625" defaultRowHeight="12.5"/>
  <cols>
    <col min="1" max="1" width="8.453125" style="1" customWidth="1"/>
    <col min="2" max="2" width="11.453125" customWidth="1"/>
    <col min="3" max="3" width="11.6328125" customWidth="1"/>
    <col min="4" max="4" width="18" customWidth="1"/>
    <col min="5" max="5" width="23.81640625" customWidth="1"/>
    <col min="6" max="6" width="42" customWidth="1"/>
    <col min="7" max="7" width="13.453125" customWidth="1"/>
    <col min="8" max="8" width="8" style="30" customWidth="1"/>
    <col min="9" max="9" width="12" customWidth="1"/>
    <col min="18" max="19" width="8.81640625" customWidth="1"/>
  </cols>
  <sheetData>
    <row r="1" spans="1:22" ht="21" thickBot="1">
      <c r="A1" s="133" t="s">
        <v>80</v>
      </c>
      <c r="B1" s="133"/>
      <c r="C1" s="133"/>
      <c r="D1" s="133"/>
      <c r="E1" s="133"/>
      <c r="F1" s="133"/>
      <c r="G1" s="133"/>
      <c r="H1" s="29" t="s">
        <v>29</v>
      </c>
    </row>
    <row r="2" spans="1:22" ht="33.75" customHeight="1" thickBot="1">
      <c r="A2" s="77" t="s">
        <v>30</v>
      </c>
      <c r="B2" s="9" t="s">
        <v>3</v>
      </c>
      <c r="C2" s="9" t="s">
        <v>4</v>
      </c>
      <c r="D2" s="9" t="s">
        <v>25</v>
      </c>
      <c r="E2" s="9" t="s">
        <v>31</v>
      </c>
      <c r="F2" s="9" t="s">
        <v>59</v>
      </c>
      <c r="G2" s="77" t="s">
        <v>32</v>
      </c>
      <c r="H2" s="29" t="s">
        <v>29</v>
      </c>
      <c r="K2" s="131" t="s">
        <v>55</v>
      </c>
      <c r="L2" s="131"/>
      <c r="M2" s="131"/>
      <c r="N2" s="131"/>
      <c r="O2" s="131"/>
      <c r="P2" s="131"/>
      <c r="Q2" s="131"/>
      <c r="R2" s="131"/>
      <c r="S2" s="131"/>
      <c r="T2" s="131"/>
      <c r="U2" s="131"/>
    </row>
    <row r="3" spans="1:22" ht="36" customHeight="1">
      <c r="A3" s="31"/>
      <c r="B3" s="32">
        <f>Control_1 Open_time</f>
        <v>45080.208333333336</v>
      </c>
      <c r="C3" s="32">
        <f>Control_1 Close_time</f>
        <v>45080.25</v>
      </c>
      <c r="D3" s="33"/>
      <c r="E3" s="34" t="str">
        <f>IF(ISBLANK(Control_1 Establishment_1),"",Control_1 Establishment_1)</f>
        <v>Walmart</v>
      </c>
      <c r="F3" s="108" t="str">
        <f>IF(ISBLANK('Control Entry'!I14),"",'Control Entry'!I14)</f>
        <v/>
      </c>
      <c r="G3" s="109"/>
      <c r="H3" s="29" t="s">
        <v>29</v>
      </c>
      <c r="K3" s="14"/>
      <c r="O3" s="140" t="s">
        <v>33</v>
      </c>
      <c r="P3" s="140"/>
      <c r="Q3" s="140"/>
      <c r="R3" s="140"/>
      <c r="S3" s="94" t="str">
        <f>IF('Control Entry'!D27=0,"","#1")</f>
        <v/>
      </c>
      <c r="U3" s="44"/>
    </row>
    <row r="4" spans="1:22" ht="36" customHeight="1">
      <c r="A4" s="40">
        <f>IF(ISBLANK(Distance Control_1),"",Control_1 Distance)</f>
        <v>0</v>
      </c>
      <c r="B4" s="41">
        <f>Control_1 Open_time</f>
        <v>45080.208333333336</v>
      </c>
      <c r="C4" s="41">
        <f>Control_1 Close_time</f>
        <v>45080.25</v>
      </c>
      <c r="D4" s="42" t="str">
        <f>IF(ISBLANK(Locale Control_1),"",Locale Control_1)</f>
        <v>Westbank</v>
      </c>
      <c r="E4" s="34" t="str">
        <f>IF(ISBLANK(Control_1 Establishment_2),"",Control_1 Establishment_2)</f>
        <v>Signature / Self Sign</v>
      </c>
      <c r="F4" s="110" t="str">
        <f>IF(ISBLANK('Control Entry'!J14),"",'Control Entry'!J14)</f>
        <v/>
      </c>
      <c r="G4" s="109"/>
      <c r="H4" s="29" t="s">
        <v>29</v>
      </c>
      <c r="K4" s="14"/>
      <c r="M4" s="135" t="str">
        <f>IF(ISBLANK(brevet),"",brevet&amp;" km Randonnée")</f>
        <v>600 km Randonnée</v>
      </c>
      <c r="N4" s="135"/>
      <c r="O4" s="135"/>
      <c r="P4" s="135"/>
      <c r="Q4" s="135"/>
      <c r="R4" s="135"/>
      <c r="S4" s="135"/>
      <c r="T4" s="135"/>
      <c r="U4" s="45"/>
    </row>
    <row r="5" spans="1:22" ht="36" customHeight="1" thickBot="1">
      <c r="A5" s="35"/>
      <c r="B5" s="36">
        <f>Control_1 Open_time</f>
        <v>45080.208333333336</v>
      </c>
      <c r="C5" s="36">
        <f>Control_1 Close_time</f>
        <v>45080.25</v>
      </c>
      <c r="D5" s="37"/>
      <c r="E5" s="38" t="str">
        <f>IF(ISBLANK(Control_1 Establishment_3),"",Control_1 Establishment_3)</f>
        <v/>
      </c>
      <c r="F5" s="111" t="str">
        <f>IF(ISBLANK('Control Entry'!K14),"",'Control Entry'!K14)</f>
        <v/>
      </c>
      <c r="G5" s="112"/>
      <c r="H5" s="29" t="s">
        <v>29</v>
      </c>
      <c r="K5" s="14"/>
      <c r="M5" s="15"/>
      <c r="N5" s="138" t="s">
        <v>47</v>
      </c>
      <c r="O5" s="138"/>
      <c r="P5" s="64">
        <f>IF(ISBLANK(Brevet_Number),"",Brevet_Number)</f>
        <v>5261</v>
      </c>
      <c r="Q5" s="65"/>
      <c r="R5" s="130">
        <f>IF(ISBLANK('Control Entry'!$B9),"",'Control Entry'!$B9)</f>
        <v>45080</v>
      </c>
      <c r="S5" s="130"/>
      <c r="T5" s="130"/>
      <c r="U5" s="130"/>
      <c r="V5" s="46"/>
    </row>
    <row r="6" spans="1:22" ht="36" customHeight="1">
      <c r="A6" s="31"/>
      <c r="B6" s="32">
        <f>Control_2 Open_time</f>
        <v>45080.275694444448</v>
      </c>
      <c r="C6" s="32">
        <f>Control_2 Close_time</f>
        <v>45080.364583333336</v>
      </c>
      <c r="D6" s="39"/>
      <c r="E6" s="34" t="str">
        <f>IF(ISBLANK(Control_2 Establishment_1),"",Control_2 Establishment_1)</f>
        <v/>
      </c>
      <c r="F6" s="108" t="str">
        <f>IF(ISBLANK('Control Entry'!I15),"",'Control Entry'!I15)</f>
        <v/>
      </c>
      <c r="G6" s="109"/>
      <c r="H6" s="29" t="s">
        <v>29</v>
      </c>
      <c r="K6" s="14"/>
      <c r="L6" s="143" t="str">
        <f>IF(ISBLANK(Brevet_Description),"",Brevet_Description)</f>
        <v>Two Dam Far 600 2023</v>
      </c>
      <c r="M6" s="143"/>
      <c r="N6" s="143"/>
      <c r="O6" s="143"/>
      <c r="P6" s="143"/>
      <c r="Q6" s="143"/>
      <c r="R6" s="143"/>
      <c r="S6" s="143"/>
      <c r="T6" s="143"/>
      <c r="U6" s="143"/>
    </row>
    <row r="7" spans="1:22" ht="36" customHeight="1">
      <c r="A7" s="40">
        <f>IF(ISBLANK(Distance Control_2),"",Control_2 Distance)</f>
        <v>55</v>
      </c>
      <c r="B7" s="41">
        <f>Control_2 Open_time</f>
        <v>45080.275694444448</v>
      </c>
      <c r="C7" s="41">
        <f>Control_2 Close_time</f>
        <v>45080.364583333336</v>
      </c>
      <c r="D7" s="42" t="str">
        <f>IF(ISBLANK(Locale Control_2),"",Locale Control_2)</f>
        <v>Penticton</v>
      </c>
      <c r="E7" s="56" t="str">
        <f>IF(ISBLANK(Control_2 Establishment_2),"",Control_2 Establishment_2)</f>
        <v>Signature / Self Sign</v>
      </c>
      <c r="F7" s="110" t="str">
        <f>IF(ISBLANK('Control Entry'!J15),"",'Control Entry'!J15)</f>
        <v/>
      </c>
      <c r="G7" s="109"/>
      <c r="H7" s="29" t="s">
        <v>29</v>
      </c>
      <c r="J7" s="93"/>
      <c r="L7" s="93"/>
    </row>
    <row r="8" spans="1:22" ht="36" customHeight="1" thickBot="1">
      <c r="A8" s="35"/>
      <c r="B8" s="36">
        <f>Control_2 Open_time</f>
        <v>45080.275694444448</v>
      </c>
      <c r="C8" s="36">
        <f>Control_2 Close_time</f>
        <v>45080.364583333336</v>
      </c>
      <c r="D8" s="37"/>
      <c r="E8" s="92" t="str">
        <f>IF(ISBLANK(Control_2 Establishment_3),"",Control_2 Establishment_3)</f>
        <v/>
      </c>
      <c r="F8" s="111" t="str">
        <f>IF(ISBLANK('Control Entry'!K15),"",'Control Entry'!K15)</f>
        <v/>
      </c>
      <c r="G8" s="112"/>
      <c r="H8" s="29" t="s">
        <v>29</v>
      </c>
      <c r="J8" s="15" t="s">
        <v>34</v>
      </c>
      <c r="L8" s="132"/>
      <c r="M8" s="132"/>
      <c r="N8" s="132"/>
      <c r="O8" s="132"/>
      <c r="P8" s="132"/>
      <c r="Q8" s="132"/>
      <c r="R8" s="30"/>
      <c r="S8" s="47" t="s">
        <v>46</v>
      </c>
      <c r="T8" s="144"/>
      <c r="U8" s="144"/>
    </row>
    <row r="9" spans="1:22" ht="36" customHeight="1" thickBot="1">
      <c r="A9" s="31"/>
      <c r="B9" s="32">
        <f>Control_3 Open_time</f>
        <v>45080.439583333333</v>
      </c>
      <c r="C9" s="32">
        <f>Control_3 Close_time</f>
        <v>45080.733333333337</v>
      </c>
      <c r="D9" s="39"/>
      <c r="E9" s="34" t="str">
        <f>IF(ISBLANK(Control_3 Establishment_1),"",Control_3 Establishment_1)</f>
        <v/>
      </c>
      <c r="F9" s="108" t="str">
        <f>IF(ISBLANK('Control Entry'!I16),"",'Control Entry'!I16)</f>
        <v/>
      </c>
      <c r="G9" s="109"/>
      <c r="H9" s="29" t="s">
        <v>29</v>
      </c>
      <c r="J9" s="15" t="s">
        <v>35</v>
      </c>
      <c r="K9" s="15"/>
      <c r="L9" s="126" t="s">
        <v>54</v>
      </c>
      <c r="M9" s="126"/>
      <c r="N9" s="126"/>
      <c r="O9" s="126"/>
      <c r="P9" s="126"/>
      <c r="Q9" s="126"/>
      <c r="R9" s="126"/>
      <c r="S9" s="126"/>
      <c r="T9" s="126"/>
      <c r="U9" s="126"/>
    </row>
    <row r="10" spans="1:22" ht="36" customHeight="1" thickBot="1">
      <c r="A10" s="40">
        <f>IF(ISBLANK(Distance Control_3),"",Control_3 Distance)</f>
        <v>188.9</v>
      </c>
      <c r="B10" s="41">
        <f>Control_3 Open_time</f>
        <v>45080.439583333333</v>
      </c>
      <c r="C10" s="41">
        <f>Control_3 Close_time</f>
        <v>45080.733333333337</v>
      </c>
      <c r="D10" s="42" t="str">
        <f>IF(ISBLANK(Locale Control_3),"",Locale Control_3)</f>
        <v>Omak</v>
      </c>
      <c r="E10" s="56" t="str">
        <f>IF(ISBLANK(Control_3 Establishment_2),"",Control_3 Establishment_2)</f>
        <v>Signature / Self Sign</v>
      </c>
      <c r="F10" s="110" t="str">
        <f>IF(ISBLANK('Control Entry'!J16),"",'Control Entry'!J16)</f>
        <v/>
      </c>
      <c r="G10" s="109"/>
      <c r="H10" s="29" t="s">
        <v>29</v>
      </c>
      <c r="J10" s="15"/>
      <c r="K10" s="15"/>
      <c r="L10" s="127"/>
      <c r="M10" s="127"/>
      <c r="N10" s="127"/>
      <c r="O10" s="127"/>
      <c r="P10" s="127"/>
      <c r="Q10" s="127"/>
      <c r="R10" s="127"/>
      <c r="S10" s="127"/>
      <c r="T10" s="127"/>
      <c r="U10" s="127"/>
    </row>
    <row r="11" spans="1:22" ht="36" customHeight="1" thickBot="1">
      <c r="A11" s="35"/>
      <c r="B11" s="36">
        <f>Control_3 Open_time</f>
        <v>45080.439583333333</v>
      </c>
      <c r="C11" s="36">
        <f>Control_3 Close_time</f>
        <v>45080.733333333337</v>
      </c>
      <c r="D11" s="37"/>
      <c r="E11" s="38" t="str">
        <f>IF(ISBLANK(Control_3 Establishment_3),"",Control_3 Establishment_3)</f>
        <v/>
      </c>
      <c r="F11" s="111" t="str">
        <f>IF(ISBLANK('Control Entry'!K16),"",'Control Entry'!K16)</f>
        <v/>
      </c>
      <c r="G11" s="112"/>
      <c r="H11" s="29" t="s">
        <v>29</v>
      </c>
      <c r="J11" s="15" t="s">
        <v>36</v>
      </c>
      <c r="K11" s="15"/>
      <c r="L11" s="127"/>
      <c r="M11" s="127"/>
      <c r="N11" s="127"/>
      <c r="O11" s="18"/>
      <c r="P11" s="18" t="s">
        <v>37</v>
      </c>
      <c r="Q11" s="18"/>
      <c r="R11" s="18"/>
      <c r="S11" s="152"/>
      <c r="T11" s="152"/>
      <c r="U11" s="152"/>
    </row>
    <row r="12" spans="1:22" ht="36" customHeight="1" thickBot="1">
      <c r="A12" s="31"/>
      <c r="B12" s="32">
        <f>Control_4 Open_time</f>
        <v>45080.561111111114</v>
      </c>
      <c r="C12" s="32">
        <f>Control_4 Close_time</f>
        <v>45080.993055555555</v>
      </c>
      <c r="D12" s="39"/>
      <c r="E12" s="34" t="str">
        <f>IF(ISBLANK(Control_4 Establishment_1),"",Control_4 Establishment_1)</f>
        <v/>
      </c>
      <c r="F12" s="108" t="str">
        <f>IF(ISBLANK('Control Entry'!I17),"",'Control Entry'!I17)</f>
        <v/>
      </c>
      <c r="G12" s="109"/>
      <c r="H12" s="29" t="s">
        <v>29</v>
      </c>
      <c r="J12" s="15" t="s">
        <v>38</v>
      </c>
      <c r="K12" s="15"/>
      <c r="L12" s="127"/>
      <c r="M12" s="127"/>
      <c r="N12" s="127"/>
      <c r="O12" s="18"/>
      <c r="P12" s="18" t="s">
        <v>39</v>
      </c>
      <c r="Q12" s="18"/>
      <c r="R12" s="18"/>
      <c r="S12" s="152"/>
      <c r="T12" s="152"/>
      <c r="U12" s="152"/>
    </row>
    <row r="13" spans="1:22" ht="36" customHeight="1" thickBot="1">
      <c r="A13" s="40">
        <f>IF(ISBLANK(Distance Control_4),"",Control_4 Distance)</f>
        <v>282.60000000000002</v>
      </c>
      <c r="B13" s="41">
        <f>Control_4 Open_time</f>
        <v>45080.561111111114</v>
      </c>
      <c r="C13" s="41">
        <f>Control_4 Close_time</f>
        <v>45080.993055555555</v>
      </c>
      <c r="D13" s="42" t="str">
        <f>IF(ISBLANK(Locale Control_4),"",Locale Control_4)</f>
        <v>Grand Coulee</v>
      </c>
      <c r="E13" s="34" t="str">
        <f>IF(ISBLANK(Control_4 Establishment_2),"",Control_4 Establishment_2)</f>
        <v>Signature / Self Sign</v>
      </c>
      <c r="F13" s="108" t="str">
        <f>IF(ISBLANK('Control Entry'!J17),"",'Control Entry'!J17)</f>
        <v/>
      </c>
      <c r="G13" s="109"/>
      <c r="H13" s="29" t="s">
        <v>29</v>
      </c>
      <c r="J13" s="15" t="s">
        <v>40</v>
      </c>
      <c r="L13" s="151"/>
      <c r="M13" s="151"/>
      <c r="N13" s="151"/>
      <c r="O13" s="19"/>
      <c r="P13" s="18" t="s">
        <v>41</v>
      </c>
      <c r="Q13" s="18"/>
      <c r="R13" s="153"/>
      <c r="S13" s="153"/>
      <c r="T13" s="153"/>
      <c r="U13" s="153"/>
    </row>
    <row r="14" spans="1:22" ht="36" customHeight="1" thickBot="1">
      <c r="A14" s="35"/>
      <c r="B14" s="36">
        <f>Control_4 Open_time</f>
        <v>45080.561111111114</v>
      </c>
      <c r="C14" s="36">
        <f>Control_4 Close_time</f>
        <v>45080.993055555555</v>
      </c>
      <c r="D14" s="37"/>
      <c r="E14" s="38" t="str">
        <f>IF(ISBLANK(Control_4 Establishment_3),"",Control_4 Establishment_3)</f>
        <v/>
      </c>
      <c r="F14" s="111" t="str">
        <f>IF(ISBLANK('Control Entry'!K17),"",'Control Entry'!K17)</f>
        <v/>
      </c>
      <c r="G14" s="112"/>
      <c r="H14" s="29" t="s">
        <v>29</v>
      </c>
    </row>
    <row r="15" spans="1:22" ht="36" customHeight="1">
      <c r="A15" s="31"/>
      <c r="B15" s="32">
        <f>Control_5 Open_time</f>
        <v>45080.666666666672</v>
      </c>
      <c r="C15" s="32">
        <f>Control_5 Close_time</f>
        <v>45081.218055555561</v>
      </c>
      <c r="D15" s="39"/>
      <c r="E15" s="34" t="str">
        <f>IF(ISBLANK(Control_5 Establishment_1),"",Control_5 Establishment_1)</f>
        <v/>
      </c>
      <c r="F15" s="108" t="str">
        <f>IF(ISBLANK('Control Entry'!I18),"",'Control Entry'!I18)</f>
        <v/>
      </c>
      <c r="G15" s="109"/>
      <c r="H15" s="29" t="s">
        <v>29</v>
      </c>
      <c r="J15" s="15"/>
      <c r="L15" s="142" t="s">
        <v>58</v>
      </c>
      <c r="M15" s="142"/>
      <c r="N15" s="142"/>
      <c r="O15" s="142"/>
      <c r="P15" s="142"/>
      <c r="Q15" s="142"/>
      <c r="R15" s="142"/>
      <c r="S15" s="142"/>
      <c r="T15" s="142"/>
      <c r="U15" s="142"/>
    </row>
    <row r="16" spans="1:22" ht="36" customHeight="1" thickBot="1">
      <c r="A16" s="40">
        <f>IF(ISBLANK(Distance Control_5),"",Control_5 Distance)</f>
        <v>363.5</v>
      </c>
      <c r="B16" s="41">
        <f>Control_5 Open_time</f>
        <v>45080.666666666672</v>
      </c>
      <c r="C16" s="41">
        <f>Control_5 Close_time</f>
        <v>45081.218055555561</v>
      </c>
      <c r="D16" s="42" t="str">
        <f>IF(ISBLANK(Locale Control_5),"",Locale Control_5)</f>
        <v>Brewster</v>
      </c>
      <c r="E16" s="34" t="str">
        <f>IF(ISBLANK(Control_5 Establishment_2),"",Control_5 Establishment_2)</f>
        <v>Signature / Self Sign</v>
      </c>
      <c r="F16" s="108" t="str">
        <f>IF(ISBLANK('Control Entry'!J18),"",'Control Entry'!J18)</f>
        <v/>
      </c>
      <c r="G16" s="109"/>
      <c r="H16" s="29" t="s">
        <v>29</v>
      </c>
      <c r="L16" s="128"/>
      <c r="M16" s="128"/>
      <c r="N16" s="128"/>
      <c r="O16" s="128"/>
      <c r="P16" s="128"/>
      <c r="Q16" s="128"/>
      <c r="R16" s="128"/>
      <c r="S16" s="128"/>
      <c r="T16" s="128"/>
      <c r="U16" s="128"/>
    </row>
    <row r="17" spans="1:22" ht="36" customHeight="1" thickBot="1">
      <c r="A17" s="35"/>
      <c r="B17" s="36">
        <f>Control_5 Open_time</f>
        <v>45080.666666666672</v>
      </c>
      <c r="C17" s="36">
        <f>Control_5 Close_time</f>
        <v>45081.218055555561</v>
      </c>
      <c r="D17" s="37"/>
      <c r="E17" s="38" t="str">
        <f>IF(ISBLANK(Control_5 Establishment_3),"",Control_5 Establishment_3)</f>
        <v/>
      </c>
      <c r="F17" s="113" t="str">
        <f>IF(ISBLANK('Control Entry'!K18),"",'Control Entry'!K18)</f>
        <v/>
      </c>
      <c r="G17" s="112"/>
      <c r="H17" s="29" t="s">
        <v>29</v>
      </c>
    </row>
    <row r="18" spans="1:22" ht="36" customHeight="1">
      <c r="A18" s="31"/>
      <c r="B18" s="32">
        <f>Control_6 Open_time</f>
        <v>45080.914583333339</v>
      </c>
      <c r="C18" s="32">
        <f>Control_6 Close_time</f>
        <v>45081.720833333333</v>
      </c>
      <c r="D18" s="39"/>
      <c r="E18" s="34" t="str">
        <f>IF(ISBLANK(Control_6 Establishment_1),"",Control_6 Establishment_1)</f>
        <v/>
      </c>
      <c r="F18" s="108" t="str">
        <f>IF(ISBLANK('Control Entry'!I19),"",'Control Entry'!I19)</f>
        <v/>
      </c>
      <c r="G18" s="109"/>
      <c r="H18" s="29" t="s">
        <v>29</v>
      </c>
    </row>
    <row r="19" spans="1:22" ht="36" customHeight="1">
      <c r="A19" s="40">
        <f>IF(ISBLANK(Distance Control_6),"",Control_6 Distance)</f>
        <v>544.4</v>
      </c>
      <c r="B19" s="41">
        <f>Control_6 Open_time</f>
        <v>45080.914583333339</v>
      </c>
      <c r="C19" s="41">
        <f>Control_6 Close_time</f>
        <v>45081.720833333333</v>
      </c>
      <c r="D19" s="42" t="str">
        <f>IF(ISBLANK(Locale Control_6),"",Locale Control_6)</f>
        <v>Penticton</v>
      </c>
      <c r="E19" s="34" t="str">
        <f>IF(ISBLANK(Control_6 Establishment_2),"",Control_6 Establishment_2)</f>
        <v>Signature / Self Sign</v>
      </c>
      <c r="F19" s="108" t="str">
        <f>IF(ISBLANK('Control Entry'!J19),"",'Control Entry'!J19)</f>
        <v/>
      </c>
      <c r="G19" s="109"/>
      <c r="H19" s="29" t="s">
        <v>29</v>
      </c>
    </row>
    <row r="20" spans="1:22" ht="36" customHeight="1" thickBot="1">
      <c r="A20" s="35"/>
      <c r="B20" s="36">
        <f>Control_6 Open_time</f>
        <v>45080.914583333339</v>
      </c>
      <c r="C20" s="36">
        <f>Control_6 Close_time</f>
        <v>45081.720833333333</v>
      </c>
      <c r="D20" s="37"/>
      <c r="E20" s="38" t="str">
        <f>IF(ISBLANK(Control_6 Establishment_3),"",Control_6 Establishment_3)</f>
        <v/>
      </c>
      <c r="F20" s="113" t="str">
        <f>IF(ISBLANK('Control Entry'!K19),"",'Control Entry'!K19)</f>
        <v/>
      </c>
      <c r="G20" s="112"/>
      <c r="H20" s="29" t="s">
        <v>29</v>
      </c>
      <c r="J20" s="62" t="s">
        <v>44</v>
      </c>
      <c r="K20" s="62"/>
      <c r="L20" s="150">
        <f>IF(ISBLANK('Control Entry'!B11),"",'Control Entry'!B11)</f>
        <v>45080</v>
      </c>
      <c r="M20" s="150"/>
      <c r="N20" s="150"/>
      <c r="P20" s="18" t="s">
        <v>0</v>
      </c>
      <c r="Q20" s="18"/>
      <c r="S20" s="141">
        <f>IF(ISBLANK('Control Entry'!B12),"",'Control Entry'!B12)</f>
        <v>0.20833333333333334</v>
      </c>
      <c r="T20" s="141"/>
      <c r="U20" s="141"/>
    </row>
    <row r="21" spans="1:22" ht="36" customHeight="1">
      <c r="A21" s="31"/>
      <c r="B21" s="32">
        <f>Control_7 Open_time</f>
        <v>45080.991666666669</v>
      </c>
      <c r="C21" s="32">
        <f>Control_7 Close_time</f>
        <v>45081.875</v>
      </c>
      <c r="D21" s="39"/>
      <c r="E21" s="34" t="str">
        <f>IF(ISBLANK(Control_7 Establishment_1),"",Control_7 Establishment_1)</f>
        <v>Walmart</v>
      </c>
      <c r="F21" s="108" t="str">
        <f>IF(ISBLANK('Control Entry'!I20),"",'Control Entry'!I20)</f>
        <v/>
      </c>
      <c r="G21" s="109"/>
      <c r="H21" s="29" t="s">
        <v>29</v>
      </c>
      <c r="J21" s="62"/>
      <c r="K21" s="62"/>
      <c r="L21" s="60"/>
      <c r="M21" s="60"/>
      <c r="N21" s="60"/>
      <c r="P21" s="18"/>
      <c r="Q21" s="18"/>
      <c r="R21" s="23"/>
      <c r="S21" s="63"/>
      <c r="T21" s="63"/>
      <c r="U21" s="63"/>
      <c r="V21" s="30"/>
    </row>
    <row r="22" spans="1:22" ht="36" customHeight="1" thickBot="1">
      <c r="A22" s="40">
        <f>IF(ISBLANK(Distance Control_7),"",Control_7 Distance)</f>
        <v>600</v>
      </c>
      <c r="B22" s="41">
        <f>Control_7 Open_time</f>
        <v>45080.991666666669</v>
      </c>
      <c r="C22" s="41">
        <f>Control_7 Close_time</f>
        <v>45081.875</v>
      </c>
      <c r="D22" s="42" t="str">
        <f>IF(ISBLANK(Locale Control_7),"",Locale Control_7)</f>
        <v>Westbank</v>
      </c>
      <c r="E22" s="34" t="str">
        <f>IF(ISBLANK(Control_7 Establishment_2),"",Control_7 Establishment_2)</f>
        <v>Signature / Self Sign</v>
      </c>
      <c r="F22" s="108" t="str">
        <f>IF(ISBLANK('Control Entry'!J20),"",'Control Entry'!J20)</f>
        <v/>
      </c>
      <c r="G22" s="109"/>
      <c r="H22" s="29" t="s">
        <v>29</v>
      </c>
      <c r="J22" s="61" t="s">
        <v>45</v>
      </c>
      <c r="K22" s="61"/>
      <c r="L22" s="129"/>
      <c r="M22" s="129"/>
      <c r="N22" s="129"/>
      <c r="O22" s="19"/>
      <c r="P22" s="18" t="s">
        <v>1</v>
      </c>
      <c r="Q22" s="18"/>
      <c r="R22" s="19"/>
      <c r="S22" s="125"/>
      <c r="T22" s="125"/>
      <c r="U22" s="125"/>
    </row>
    <row r="23" spans="1:22" ht="36" customHeight="1" thickBot="1">
      <c r="A23" s="35"/>
      <c r="B23" s="36">
        <f>Control_7 Open_time</f>
        <v>45080.991666666669</v>
      </c>
      <c r="C23" s="36">
        <f>Control_7 Close_time</f>
        <v>45081.875</v>
      </c>
      <c r="D23" s="37"/>
      <c r="E23" s="38" t="str">
        <f>IF(ISBLANK(Control_7 Establishment_3),"",Control_7 Establishment_3)</f>
        <v/>
      </c>
      <c r="F23" s="113" t="str">
        <f>IF(ISBLANK('Control Entry'!K20),"",'Control Entry'!K20)</f>
        <v/>
      </c>
      <c r="G23" s="112"/>
      <c r="H23" s="29" t="s">
        <v>29</v>
      </c>
      <c r="J23" s="61"/>
      <c r="K23" s="61"/>
      <c r="L23" s="60"/>
      <c r="M23" s="60"/>
      <c r="N23" s="60"/>
      <c r="O23" s="23"/>
      <c r="P23" s="59"/>
      <c r="Q23" s="59"/>
      <c r="R23" s="23"/>
      <c r="S23" s="23"/>
      <c r="T23" s="23"/>
      <c r="U23" s="23"/>
      <c r="V23" s="30"/>
    </row>
    <row r="24" spans="1:22" ht="36" customHeight="1" thickBot="1">
      <c r="A24" s="31"/>
      <c r="B24" s="32" t="str">
        <f>Control_8 Open_time</f>
        <v/>
      </c>
      <c r="C24" s="32" t="str">
        <f>Control_8 Close_time</f>
        <v/>
      </c>
      <c r="D24" s="39"/>
      <c r="E24" s="34" t="str">
        <f>IF(ISBLANK(Control_8 Establishment_1),"",Control_8 Establishment_1)</f>
        <v/>
      </c>
      <c r="F24" s="108" t="str">
        <f>IF(ISBLANK('Control Entry'!I21),"",'Control Entry'!I21)</f>
        <v/>
      </c>
      <c r="G24" s="109"/>
      <c r="H24" s="29" t="s">
        <v>29</v>
      </c>
      <c r="J24" s="125"/>
      <c r="K24" s="125"/>
      <c r="L24" s="125"/>
      <c r="M24" s="125"/>
      <c r="N24" s="125"/>
      <c r="O24" s="19"/>
      <c r="P24" s="18" t="s">
        <v>2</v>
      </c>
      <c r="Q24" s="18"/>
      <c r="R24" s="19"/>
      <c r="S24" s="125"/>
      <c r="T24" s="125"/>
      <c r="U24" s="125"/>
    </row>
    <row r="25" spans="1:22" ht="36" customHeight="1">
      <c r="A25" s="40" t="str">
        <f>IF(ISBLANK(Distance Control_8),"",Control_8 Distance)</f>
        <v/>
      </c>
      <c r="B25" s="41" t="str">
        <f>Control_8 Open_time</f>
        <v/>
      </c>
      <c r="C25" s="41" t="str">
        <f>Control_8 Close_time</f>
        <v/>
      </c>
      <c r="D25" s="42" t="str">
        <f>IF(ISBLANK(Locale Control_8),"",Locale Control_8)</f>
        <v/>
      </c>
      <c r="E25" s="56" t="str">
        <f>IF(ISBLANK(Control_8 Establishment_2),"",Control_8 Establishment_2)</f>
        <v/>
      </c>
      <c r="F25" s="108" t="str">
        <f>IF(ISBLANK('Control Entry'!J21),"",'Control Entry'!J21)</f>
        <v/>
      </c>
      <c r="G25" s="109"/>
      <c r="H25" s="29" t="s">
        <v>29</v>
      </c>
      <c r="J25" s="139" t="s">
        <v>17</v>
      </c>
      <c r="K25" s="139"/>
      <c r="L25" s="139"/>
      <c r="M25" s="139"/>
      <c r="N25" s="139"/>
      <c r="O25" s="53"/>
      <c r="P25" s="136"/>
      <c r="Q25" s="136"/>
      <c r="R25" s="53"/>
      <c r="S25" s="137"/>
      <c r="T25" s="137"/>
      <c r="U25" s="137"/>
      <c r="V25" s="137"/>
    </row>
    <row r="26" spans="1:22" ht="36" customHeight="1" thickBot="1">
      <c r="A26" s="35"/>
      <c r="B26" s="36" t="str">
        <f>Control_8 Open_time</f>
        <v/>
      </c>
      <c r="C26" s="36" t="str">
        <f>Control_8 Close_time</f>
        <v/>
      </c>
      <c r="D26" s="37"/>
      <c r="E26" s="38" t="str">
        <f>IF(ISBLANK(Control_8 Establishment_3),"",Control_8 Establishment_3)</f>
        <v/>
      </c>
      <c r="F26" s="113" t="str">
        <f>IF(ISBLANK('Control Entry'!K21),"",'Control Entry'!K21)</f>
        <v/>
      </c>
      <c r="G26" s="112"/>
      <c r="H26" s="29" t="s">
        <v>29</v>
      </c>
    </row>
    <row r="27" spans="1:22" ht="36" customHeight="1">
      <c r="A27" s="31"/>
      <c r="B27" s="32" t="str">
        <f>Control_9 Open_time</f>
        <v/>
      </c>
      <c r="C27" s="32" t="str">
        <f>Control_9 Close_time</f>
        <v/>
      </c>
      <c r="D27" s="39"/>
      <c r="E27" s="34" t="str">
        <f>IF(ISBLANK(Control_9 Establishment_1),"",Control_9 Establishment_1)</f>
        <v/>
      </c>
      <c r="F27" s="108" t="str">
        <f>IF(ISBLANK('Control Entry'!I22),"",'Control Entry'!I22)</f>
        <v/>
      </c>
      <c r="G27" s="109"/>
      <c r="H27" s="29" t="s">
        <v>29</v>
      </c>
      <c r="K27" s="135" t="s">
        <v>56</v>
      </c>
      <c r="L27" s="136"/>
      <c r="M27" s="52" t="s">
        <v>57</v>
      </c>
      <c r="N27" s="136" t="s">
        <v>49</v>
      </c>
      <c r="O27" s="136"/>
      <c r="P27" s="136" t="s">
        <v>50</v>
      </c>
      <c r="Q27" s="136"/>
      <c r="R27" s="53" t="s">
        <v>51</v>
      </c>
      <c r="S27" s="137" t="s">
        <v>52</v>
      </c>
      <c r="T27" s="137"/>
      <c r="U27" s="137" t="s">
        <v>53</v>
      </c>
      <c r="V27" s="137"/>
    </row>
    <row r="28" spans="1:22" ht="36" customHeight="1">
      <c r="A28" s="40" t="str">
        <f>IF(ISBLANK(Distance Control_9),"",Control_9 Distance)</f>
        <v/>
      </c>
      <c r="B28" s="41" t="str">
        <f>Control_9 Open_time</f>
        <v/>
      </c>
      <c r="C28" s="41" t="str">
        <f>Control_9 Close_time</f>
        <v/>
      </c>
      <c r="D28" s="42" t="str">
        <f>IF(ISBLANK(Locale Control_9),"",Locale Control_9)</f>
        <v/>
      </c>
      <c r="E28" s="34" t="str">
        <f>IF(ISBLANK(Control_9 Establishment_2),"",Control_9 Establishment_2)</f>
        <v/>
      </c>
      <c r="F28" s="108" t="str">
        <f>IF(ISBLANK('Control Entry'!J22),"",'Control Entry'!J22)</f>
        <v/>
      </c>
      <c r="G28" s="109"/>
      <c r="H28" s="29" t="s">
        <v>29</v>
      </c>
    </row>
    <row r="29" spans="1:22" ht="36" customHeight="1" thickBot="1">
      <c r="A29" s="35"/>
      <c r="B29" s="36" t="str">
        <f>Control_9 Open_time</f>
        <v/>
      </c>
      <c r="C29" s="36" t="str">
        <f>Control_9 Close_time</f>
        <v/>
      </c>
      <c r="D29" s="37"/>
      <c r="E29" s="38" t="str">
        <f>IF(ISBLANK(Control_9 Establishment_3),"",Control_9 Establishment_3)</f>
        <v/>
      </c>
      <c r="F29" s="113" t="str">
        <f>IF(ISBLANK('Control Entry'!K22),"",'Control Entry'!K22)</f>
        <v/>
      </c>
      <c r="G29" s="112"/>
      <c r="H29" s="29" t="s">
        <v>29</v>
      </c>
      <c r="M29" s="145" t="s">
        <v>42</v>
      </c>
      <c r="N29" s="145"/>
      <c r="O29" s="145"/>
      <c r="P29" s="145"/>
      <c r="Q29" s="145"/>
      <c r="R29" s="145"/>
      <c r="S29" s="145"/>
      <c r="T29" s="145"/>
      <c r="U29" s="57"/>
    </row>
    <row r="30" spans="1:22" ht="36" customHeight="1">
      <c r="A30" s="31"/>
      <c r="B30" s="32" t="str">
        <f>Control_10 Open_time</f>
        <v/>
      </c>
      <c r="C30" s="32" t="str">
        <f>Control_10 Close_time</f>
        <v/>
      </c>
      <c r="D30" s="39"/>
      <c r="E30" s="34" t="str">
        <f>IF(ISBLANK(Control_10 Establishment_1),"",Control_10 Establishment_1)</f>
        <v/>
      </c>
      <c r="F30" s="108" t="str">
        <f>IF(ISBLANK('Control Entry'!I23),"",'Control Entry'!I23)</f>
        <v/>
      </c>
      <c r="G30" s="109"/>
      <c r="H30" s="29" t="s">
        <v>29</v>
      </c>
      <c r="M30" s="16"/>
      <c r="N30" s="21"/>
      <c r="O30" s="21"/>
      <c r="P30" s="22"/>
      <c r="Q30" s="21"/>
      <c r="R30" s="21"/>
      <c r="S30" s="21"/>
      <c r="T30" s="22"/>
      <c r="U30" s="23"/>
    </row>
    <row r="31" spans="1:22" ht="36" customHeight="1">
      <c r="A31" s="40" t="str">
        <f>IF(ISBLANK(Distance Control_10),"",Control_10 Distance)</f>
        <v/>
      </c>
      <c r="B31" s="41" t="str">
        <f>Control_10 Open_time</f>
        <v/>
      </c>
      <c r="C31" s="41" t="str">
        <f>Control_10 Close_time</f>
        <v/>
      </c>
      <c r="D31" s="42" t="str">
        <f>IF(ISBLANK(Locale Control_10),"",Locale Control_10)</f>
        <v/>
      </c>
      <c r="E31" s="34" t="str">
        <f>IF(ISBLANK(Control_10 Establishment_2),"",Control_10 Establishment_2)</f>
        <v/>
      </c>
      <c r="F31" s="108" t="str">
        <f>IF(ISBLANK('Control Entry'!J23),"",'Control Entry'!J23)</f>
        <v/>
      </c>
      <c r="G31" s="109"/>
      <c r="H31" s="29" t="s">
        <v>29</v>
      </c>
      <c r="M31" s="17"/>
      <c r="N31" s="23"/>
      <c r="O31" s="23"/>
      <c r="P31" s="24"/>
      <c r="Q31" s="23"/>
      <c r="R31" s="23"/>
      <c r="S31" s="23"/>
      <c r="T31" s="24"/>
      <c r="U31" s="23"/>
    </row>
    <row r="32" spans="1:22" ht="36" customHeight="1" thickBot="1">
      <c r="A32" s="35"/>
      <c r="B32" s="36" t="str">
        <f>Control_10 Open_time</f>
        <v/>
      </c>
      <c r="C32" s="36" t="str">
        <f>Control_10 Close_time</f>
        <v/>
      </c>
      <c r="D32" s="37"/>
      <c r="E32" s="38" t="str">
        <f>IF(ISBLANK(Control_10 Establishment_3),"",Control_10 Establishment_3)</f>
        <v/>
      </c>
      <c r="F32" s="113" t="str">
        <f>IF(ISBLANK('Control Entry'!K23),"",'Control Entry'!K23)</f>
        <v/>
      </c>
      <c r="G32" s="112"/>
      <c r="H32" s="29" t="s">
        <v>29</v>
      </c>
      <c r="M32" s="55"/>
      <c r="N32" s="20"/>
      <c r="O32" s="20"/>
      <c r="P32" s="25"/>
      <c r="Q32" s="20"/>
      <c r="R32" s="20"/>
      <c r="S32" s="20"/>
      <c r="T32" s="25"/>
      <c r="U32" s="23"/>
    </row>
    <row r="33" spans="1:22" ht="36" customHeight="1">
      <c r="A33" s="134" t="s">
        <v>43</v>
      </c>
      <c r="B33" s="134"/>
      <c r="C33" s="134"/>
      <c r="D33" s="134"/>
      <c r="E33" s="134"/>
      <c r="F33" s="134"/>
      <c r="G33" s="134"/>
      <c r="H33" s="43"/>
      <c r="I33" s="43"/>
      <c r="M33" s="146" t="s">
        <v>82</v>
      </c>
      <c r="N33" s="147"/>
      <c r="O33" s="147"/>
      <c r="P33" s="147"/>
      <c r="Q33" s="148">
        <f>'Control Entry'!B3</f>
        <v>44674</v>
      </c>
      <c r="R33" s="149"/>
      <c r="S33" s="149"/>
      <c r="T33" s="149"/>
      <c r="U33" s="104"/>
      <c r="V33" s="51"/>
    </row>
    <row r="34" spans="1:22" ht="36" customHeight="1">
      <c r="A34"/>
      <c r="O34" s="49"/>
      <c r="P34" s="49"/>
      <c r="Q34" s="49"/>
      <c r="R34" s="48"/>
    </row>
    <row r="35" spans="1:22" ht="36" customHeight="1">
      <c r="A35"/>
      <c r="N35" s="145"/>
      <c r="O35" s="145"/>
      <c r="P35" s="145"/>
      <c r="Q35" s="145"/>
      <c r="R35" s="145"/>
      <c r="S35" s="145"/>
      <c r="T35" s="145"/>
      <c r="U35" s="145"/>
    </row>
    <row r="36" spans="1:22" ht="36" customHeight="1">
      <c r="A36"/>
      <c r="N36" s="30"/>
      <c r="O36" s="23"/>
      <c r="P36" s="23"/>
      <c r="Q36" s="23"/>
      <c r="R36" s="23"/>
      <c r="S36" s="23"/>
      <c r="T36" s="23"/>
      <c r="U36" s="23"/>
    </row>
    <row r="37" spans="1:22" ht="36" customHeight="1">
      <c r="A37"/>
      <c r="N37" s="30"/>
      <c r="O37" s="23"/>
      <c r="P37" s="23"/>
      <c r="Q37" s="23"/>
      <c r="R37" s="23"/>
      <c r="S37" s="23"/>
      <c r="T37" s="23"/>
      <c r="U37" s="23"/>
    </row>
    <row r="38" spans="1:22" ht="36" customHeight="1">
      <c r="A38"/>
      <c r="N38" s="58"/>
      <c r="O38" s="23"/>
      <c r="P38" s="23"/>
      <c r="Q38" s="23"/>
      <c r="R38" s="23"/>
      <c r="S38" s="23"/>
      <c r="T38" s="23"/>
      <c r="U38" s="23"/>
    </row>
    <row r="39" spans="1:22" ht="36" customHeight="1">
      <c r="A39"/>
    </row>
    <row r="40" spans="1:22" ht="36" customHeight="1">
      <c r="A40"/>
    </row>
  </sheetData>
  <sheetProtection algorithmName="SHA-512" hashValue="cyiPUn9gvNvxckgXWRPfVDWzPxCMEp2UDRSFFIYX0OV0fvNOZdDVJLjSMuldy6NulBwidOTuy5Kiv09QpdcNYA==" saltValue="30UNioQkOknK/Ui2DTsNHg==" spinCount="100000" sheet="1" objects="1" scenarios="1" formatCells="0" selectLockedCells="1"/>
  <mergeCells count="39">
    <mergeCell ref="T8:U8"/>
    <mergeCell ref="N35:U35"/>
    <mergeCell ref="M29:T29"/>
    <mergeCell ref="N27:O27"/>
    <mergeCell ref="P27:Q27"/>
    <mergeCell ref="S27:T27"/>
    <mergeCell ref="U27:V27"/>
    <mergeCell ref="M33:P33"/>
    <mergeCell ref="Q33:T33"/>
    <mergeCell ref="L20:N20"/>
    <mergeCell ref="L11:N11"/>
    <mergeCell ref="L12:N12"/>
    <mergeCell ref="L13:N13"/>
    <mergeCell ref="S11:U11"/>
    <mergeCell ref="S12:U12"/>
    <mergeCell ref="R13:U13"/>
    <mergeCell ref="R5:U5"/>
    <mergeCell ref="K2:U2"/>
    <mergeCell ref="L8:Q8"/>
    <mergeCell ref="A1:G1"/>
    <mergeCell ref="A33:G33"/>
    <mergeCell ref="M4:T4"/>
    <mergeCell ref="P25:Q25"/>
    <mergeCell ref="S25:T25"/>
    <mergeCell ref="U25:V25"/>
    <mergeCell ref="N5:O5"/>
    <mergeCell ref="K27:L27"/>
    <mergeCell ref="J25:N25"/>
    <mergeCell ref="O3:R3"/>
    <mergeCell ref="S20:U20"/>
    <mergeCell ref="L15:U15"/>
    <mergeCell ref="L6:U6"/>
    <mergeCell ref="S24:U24"/>
    <mergeCell ref="J24:N24"/>
    <mergeCell ref="L9:U9"/>
    <mergeCell ref="L10:U10"/>
    <mergeCell ref="L16:U16"/>
    <mergeCell ref="L22:N22"/>
    <mergeCell ref="S22:U22"/>
  </mergeCells>
  <phoneticPr fontId="16" type="noConversion"/>
  <pageMargins left="0.2" right="0.2" top="0.2" bottom="0.2" header="0.51" footer="0.51"/>
  <pageSetup scale="45" orientation="landscape" horizontalDpi="4294967292" verticalDpi="4294967292"/>
  <ignoredErrors>
    <ignoredError sqref="L20" unlockedFormula="1"/>
  </ignoredErrors>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sheetPr>
    <pageSetUpPr fitToPage="1"/>
  </sheetPr>
  <dimension ref="A1:V40"/>
  <sheetViews>
    <sheetView showGridLines="0" zoomScale="92" zoomScaleNormal="92" zoomScalePageLayoutView="92" workbookViewId="0">
      <selection activeCell="L8" sqref="L8:Q8"/>
    </sheetView>
  </sheetViews>
  <sheetFormatPr defaultColWidth="8.81640625" defaultRowHeight="12.5"/>
  <cols>
    <col min="1" max="1" width="8.453125" style="1" customWidth="1"/>
    <col min="2" max="2" width="11.453125" customWidth="1"/>
    <col min="3" max="3" width="11.6328125" customWidth="1"/>
    <col min="4" max="4" width="18" customWidth="1"/>
    <col min="5" max="5" width="23.81640625" customWidth="1"/>
    <col min="6" max="6" width="42" customWidth="1"/>
    <col min="7" max="7" width="13.453125" customWidth="1"/>
    <col min="8" max="8" width="8" style="30" customWidth="1"/>
    <col min="9" max="9" width="12" customWidth="1"/>
    <col min="18" max="19" width="8.81640625" customWidth="1"/>
  </cols>
  <sheetData>
    <row r="1" spans="1:22" ht="21" thickBot="1">
      <c r="A1" s="133" t="s">
        <v>74</v>
      </c>
      <c r="B1" s="133"/>
      <c r="C1" s="133"/>
      <c r="D1" s="133"/>
      <c r="E1" s="133"/>
      <c r="F1" s="133"/>
      <c r="G1" s="133"/>
      <c r="H1" s="29" t="s">
        <v>29</v>
      </c>
    </row>
    <row r="2" spans="1:22" ht="33.75" customHeight="1" thickBot="1">
      <c r="A2" s="77" t="s">
        <v>30</v>
      </c>
      <c r="B2" s="9" t="s">
        <v>3</v>
      </c>
      <c r="C2" s="9" t="s">
        <v>4</v>
      </c>
      <c r="D2" s="9" t="s">
        <v>25</v>
      </c>
      <c r="E2" s="9" t="s">
        <v>31</v>
      </c>
      <c r="F2" s="9" t="s">
        <v>59</v>
      </c>
      <c r="G2" s="77" t="s">
        <v>32</v>
      </c>
      <c r="H2" s="29" t="s">
        <v>29</v>
      </c>
      <c r="K2" s="131" t="s">
        <v>55</v>
      </c>
      <c r="L2" s="131"/>
      <c r="M2" s="131"/>
      <c r="N2" s="131"/>
      <c r="O2" s="131"/>
      <c r="P2" s="131"/>
      <c r="Q2" s="131"/>
      <c r="R2" s="131"/>
      <c r="S2" s="131"/>
      <c r="T2" s="131"/>
      <c r="U2" s="131"/>
    </row>
    <row r="3" spans="1:22" ht="36" customHeight="1">
      <c r="A3" s="31"/>
      <c r="B3" s="32" t="str">
        <f>'Control Entry'!N27</f>
        <v/>
      </c>
      <c r="C3" s="32" t="str">
        <f>'Control Entry'!O27</f>
        <v/>
      </c>
      <c r="D3" s="33"/>
      <c r="E3" s="34" t="str">
        <f>IF(ISBLANK('Control Entry'!F27),"",'Control Entry'!F27)</f>
        <v/>
      </c>
      <c r="F3" s="108" t="str">
        <f>IF(ISBLANK('Control Entry'!I27),"",'Control Entry'!I27)</f>
        <v/>
      </c>
      <c r="G3" s="109"/>
      <c r="H3" s="29" t="s">
        <v>29</v>
      </c>
      <c r="K3" s="14"/>
      <c r="O3" s="140" t="s">
        <v>73</v>
      </c>
      <c r="P3" s="140"/>
      <c r="Q3" s="140"/>
      <c r="R3" s="140"/>
      <c r="S3" s="94" t="str">
        <f>IF('Control Entry'!D27=0,"","#2")</f>
        <v/>
      </c>
      <c r="U3" s="44"/>
    </row>
    <row r="4" spans="1:22" ht="36" customHeight="1">
      <c r="A4" s="40" t="str">
        <f>IF(ISBLANK('Control Entry'!D27),"",'Control Entry'!D27)</f>
        <v/>
      </c>
      <c r="B4" s="41" t="str">
        <f>'Control Entry'!N27</f>
        <v/>
      </c>
      <c r="C4" s="41" t="str">
        <f>'Control Entry'!O27</f>
        <v/>
      </c>
      <c r="D4" s="42" t="str">
        <f>IF(ISBLANK('Control Entry'!E27),"",'Control Entry'!E27)</f>
        <v/>
      </c>
      <c r="E4" s="34" t="str">
        <f>IF(ISBLANK('Control Entry'!G27),"",'Control Entry'!G27)</f>
        <v/>
      </c>
      <c r="F4" s="108" t="str">
        <f>IF(ISBLANK('Control Entry'!J27),"",'Control Entry'!J27)</f>
        <v/>
      </c>
      <c r="G4" s="109"/>
      <c r="H4" s="29" t="s">
        <v>29</v>
      </c>
      <c r="K4" s="14"/>
      <c r="M4" s="135" t="str">
        <f>IF(ISBLANK(brevet),"",brevet&amp;" km Randonnée")</f>
        <v>600 km Randonnée</v>
      </c>
      <c r="N4" s="135"/>
      <c r="O4" s="135"/>
      <c r="P4" s="135"/>
      <c r="Q4" s="135"/>
      <c r="R4" s="135"/>
      <c r="S4" s="135"/>
      <c r="T4" s="135"/>
      <c r="U4" s="45"/>
    </row>
    <row r="5" spans="1:22" ht="36" customHeight="1" thickBot="1">
      <c r="A5" s="35"/>
      <c r="B5" s="36" t="str">
        <f>'Control Entry'!N27</f>
        <v/>
      </c>
      <c r="C5" s="36" t="str">
        <f>'Control Entry'!O27</f>
        <v/>
      </c>
      <c r="D5" s="37"/>
      <c r="E5" s="38" t="str">
        <f>IF(ISBLANK('Control Entry'!H27),"",'Control Entry'!H27)</f>
        <v/>
      </c>
      <c r="F5" s="113" t="str">
        <f>IF(ISBLANK('Control Entry'!K27),"",'Control Entry'!K27)</f>
        <v/>
      </c>
      <c r="G5" s="112"/>
      <c r="H5" s="29" t="s">
        <v>29</v>
      </c>
      <c r="K5" s="14"/>
      <c r="M5" s="15"/>
      <c r="N5" s="138" t="s">
        <v>47</v>
      </c>
      <c r="O5" s="138"/>
      <c r="P5" s="64">
        <f>IF(ISBLANK(Brevet_Number),"",Brevet_Number)</f>
        <v>5261</v>
      </c>
      <c r="Q5" s="65"/>
      <c r="R5" s="130">
        <f>IF(ISBLANK('Control Entry'!$B9),"",'Control Entry'!$B9)</f>
        <v>45080</v>
      </c>
      <c r="S5" s="130"/>
      <c r="T5" s="130"/>
      <c r="U5" s="130"/>
      <c r="V5" s="46"/>
    </row>
    <row r="6" spans="1:22" ht="36" customHeight="1">
      <c r="A6" s="31"/>
      <c r="B6" s="32" t="str">
        <f>'Control Entry'!N28</f>
        <v/>
      </c>
      <c r="C6" s="32" t="str">
        <f>'Control Entry'!O28</f>
        <v/>
      </c>
      <c r="D6" s="39"/>
      <c r="E6" s="34" t="str">
        <f>IF(ISBLANK('Control Entry'!F28),"",'Control Entry'!F28)</f>
        <v/>
      </c>
      <c r="F6" s="108" t="str">
        <f>IF(ISBLANK('Control Entry'!I28),"",'Control Entry'!I28)</f>
        <v/>
      </c>
      <c r="G6" s="109"/>
      <c r="H6" s="29" t="s">
        <v>29</v>
      </c>
      <c r="K6" s="14"/>
      <c r="L6" s="143" t="str">
        <f>IF(ISBLANK(Brevet_Description),"",Brevet_Description)</f>
        <v>Two Dam Far 600 2023</v>
      </c>
      <c r="M6" s="143"/>
      <c r="N6" s="143"/>
      <c r="O6" s="143"/>
      <c r="P6" s="143"/>
      <c r="Q6" s="143"/>
      <c r="R6" s="143"/>
      <c r="S6" s="143"/>
      <c r="T6" s="143"/>
      <c r="U6" s="143"/>
    </row>
    <row r="7" spans="1:22" ht="36" customHeight="1">
      <c r="A7" s="40" t="str">
        <f>IF(ISBLANK('Control Entry'!D28),"",'Control Entry'!D28)</f>
        <v/>
      </c>
      <c r="B7" s="41" t="str">
        <f>'Control Entry'!N28</f>
        <v/>
      </c>
      <c r="C7" s="41" t="str">
        <f>'Control Entry'!O28</f>
        <v/>
      </c>
      <c r="D7" s="42" t="str">
        <f>IF(ISBLANK('Control Entry'!E28),"",'Control Entry'!E28)</f>
        <v/>
      </c>
      <c r="E7" s="34" t="str">
        <f>IF(ISBLANK('Control Entry'!G28),"",'Control Entry'!G28)</f>
        <v/>
      </c>
      <c r="F7" s="108" t="str">
        <f>IF(ISBLANK('Control Entry'!J28),"",'Control Entry'!J28)</f>
        <v/>
      </c>
      <c r="G7" s="109"/>
      <c r="H7" s="29" t="s">
        <v>29</v>
      </c>
    </row>
    <row r="8" spans="1:22" ht="36" customHeight="1" thickBot="1">
      <c r="A8" s="35"/>
      <c r="B8" s="36" t="str">
        <f>'Control Entry'!N28</f>
        <v/>
      </c>
      <c r="C8" s="36" t="str">
        <f>'Control Entry'!O28</f>
        <v/>
      </c>
      <c r="D8" s="37"/>
      <c r="E8" s="38" t="str">
        <f>IF(ISBLANK('Control Entry'!H28),"",'Control Entry'!H28)</f>
        <v/>
      </c>
      <c r="F8" s="113" t="str">
        <f>IF(ISBLANK('Control Entry'!K28),"",'Control Entry'!K28)</f>
        <v/>
      </c>
      <c r="G8" s="112"/>
      <c r="H8" s="29" t="s">
        <v>29</v>
      </c>
      <c r="J8" s="15" t="s">
        <v>34</v>
      </c>
      <c r="L8" s="132"/>
      <c r="M8" s="132"/>
      <c r="N8" s="132"/>
      <c r="O8" s="132"/>
      <c r="P8" s="132"/>
      <c r="Q8" s="132"/>
      <c r="R8" s="30"/>
      <c r="S8" s="47" t="s">
        <v>46</v>
      </c>
      <c r="T8" s="144"/>
      <c r="U8" s="144"/>
    </row>
    <row r="9" spans="1:22" ht="36" customHeight="1" thickBot="1">
      <c r="A9" s="31"/>
      <c r="B9" s="32" t="str">
        <f>'Control Entry'!N29</f>
        <v/>
      </c>
      <c r="C9" s="32" t="str">
        <f>'Control Entry'!O29</f>
        <v/>
      </c>
      <c r="D9" s="39"/>
      <c r="E9" s="34" t="str">
        <f>IF(ISBLANK('Control Entry'!F29),"",'Control Entry'!F29)</f>
        <v/>
      </c>
      <c r="F9" s="108" t="str">
        <f>IF(ISBLANK('Control Entry'!I29),"",'Control Entry'!I29)</f>
        <v/>
      </c>
      <c r="G9" s="109"/>
      <c r="H9" s="29" t="s">
        <v>29</v>
      </c>
      <c r="J9" s="15" t="s">
        <v>35</v>
      </c>
      <c r="K9" s="15"/>
      <c r="L9" s="126" t="s">
        <v>54</v>
      </c>
      <c r="M9" s="126"/>
      <c r="N9" s="126"/>
      <c r="O9" s="126"/>
      <c r="P9" s="126"/>
      <c r="Q9" s="126"/>
      <c r="R9" s="126"/>
      <c r="S9" s="126"/>
      <c r="T9" s="126"/>
      <c r="U9" s="126"/>
    </row>
    <row r="10" spans="1:22" ht="36" customHeight="1" thickBot="1">
      <c r="A10" s="40" t="str">
        <f>IF(ISBLANK('Control Entry'!D29),"",'Control Entry'!D29)</f>
        <v/>
      </c>
      <c r="B10" s="41" t="str">
        <f>'Control Entry'!N29</f>
        <v/>
      </c>
      <c r="C10" s="41" t="str">
        <f>'Control Entry'!O29</f>
        <v/>
      </c>
      <c r="D10" s="42" t="str">
        <f>IF(ISBLANK('Control Entry'!E29),"",'Control Entry'!E29)</f>
        <v/>
      </c>
      <c r="E10" s="34" t="str">
        <f>IF(ISBLANK('Control Entry'!G29),"",'Control Entry'!G29)</f>
        <v/>
      </c>
      <c r="F10" s="108" t="str">
        <f>IF(ISBLANK('Control Entry'!J29),"",'Control Entry'!J29)</f>
        <v/>
      </c>
      <c r="G10" s="109"/>
      <c r="H10" s="29" t="s">
        <v>29</v>
      </c>
      <c r="J10" s="15"/>
      <c r="K10" s="15"/>
      <c r="L10" s="127"/>
      <c r="M10" s="127"/>
      <c r="N10" s="127"/>
      <c r="O10" s="127"/>
      <c r="P10" s="127"/>
      <c r="Q10" s="127"/>
      <c r="R10" s="127"/>
      <c r="S10" s="127"/>
      <c r="T10" s="127"/>
      <c r="U10" s="127"/>
    </row>
    <row r="11" spans="1:22" ht="36" customHeight="1" thickBot="1">
      <c r="A11" s="35"/>
      <c r="B11" s="36" t="str">
        <f>'Control Entry'!N29</f>
        <v/>
      </c>
      <c r="C11" s="36" t="str">
        <f>'Control Entry'!O29</f>
        <v/>
      </c>
      <c r="D11" s="37"/>
      <c r="E11" s="38" t="str">
        <f>IF(ISBLANK('Control Entry'!H29),"",'Control Entry'!H29)</f>
        <v/>
      </c>
      <c r="F11" s="113" t="str">
        <f>IF(ISBLANK('Control Entry'!K29),"",'Control Entry'!K29)</f>
        <v/>
      </c>
      <c r="G11" s="112"/>
      <c r="H11" s="29" t="s">
        <v>29</v>
      </c>
      <c r="J11" s="15" t="s">
        <v>36</v>
      </c>
      <c r="K11" s="15"/>
      <c r="L11" s="127"/>
      <c r="M11" s="127"/>
      <c r="N11" s="127"/>
      <c r="O11" s="18"/>
      <c r="P11" s="18" t="s">
        <v>37</v>
      </c>
      <c r="Q11" s="18"/>
      <c r="R11" s="18"/>
      <c r="S11" s="152"/>
      <c r="T11" s="152"/>
      <c r="U11" s="152"/>
    </row>
    <row r="12" spans="1:22" ht="36" customHeight="1" thickBot="1">
      <c r="A12" s="31"/>
      <c r="B12" s="32" t="str">
        <f>'Control Entry'!N30</f>
        <v/>
      </c>
      <c r="C12" s="32" t="str">
        <f>'Control Entry'!O30</f>
        <v/>
      </c>
      <c r="D12" s="39"/>
      <c r="E12" s="34" t="str">
        <f>IF(ISBLANK('Control Entry'!F30),"",'Control Entry'!F30)</f>
        <v/>
      </c>
      <c r="F12" s="108" t="str">
        <f>IF(ISBLANK('Control Entry'!I30),"",'Control Entry'!I30)</f>
        <v/>
      </c>
      <c r="G12" s="109"/>
      <c r="H12" s="29" t="s">
        <v>29</v>
      </c>
      <c r="J12" s="15" t="s">
        <v>38</v>
      </c>
      <c r="K12" s="15"/>
      <c r="L12" s="127"/>
      <c r="M12" s="127"/>
      <c r="N12" s="127"/>
      <c r="O12" s="18"/>
      <c r="P12" s="18" t="s">
        <v>39</v>
      </c>
      <c r="Q12" s="18"/>
      <c r="R12" s="18"/>
      <c r="S12" s="152"/>
      <c r="T12" s="152"/>
      <c r="U12" s="152"/>
    </row>
    <row r="13" spans="1:22" ht="36" customHeight="1" thickBot="1">
      <c r="A13" s="40" t="str">
        <f>IF(ISBLANK('Control Entry'!D30),"",'Control Entry'!D30)</f>
        <v/>
      </c>
      <c r="B13" s="41" t="str">
        <f>'Control Entry'!N30</f>
        <v/>
      </c>
      <c r="C13" s="41" t="str">
        <f>'Control Entry'!O30</f>
        <v/>
      </c>
      <c r="D13" s="42" t="str">
        <f>IF(ISBLANK('Control Entry'!E30),"",'Control Entry'!E30)</f>
        <v/>
      </c>
      <c r="E13" s="34" t="str">
        <f>IF(ISBLANK('Control Entry'!G30),"",'Control Entry'!G30)</f>
        <v/>
      </c>
      <c r="F13" s="108" t="str">
        <f>IF(ISBLANK('Control Entry'!J30),"",'Control Entry'!J30)</f>
        <v/>
      </c>
      <c r="G13" s="109"/>
      <c r="H13" s="29" t="s">
        <v>29</v>
      </c>
      <c r="J13" s="15" t="s">
        <v>40</v>
      </c>
      <c r="L13" s="151"/>
      <c r="M13" s="151"/>
      <c r="N13" s="151"/>
      <c r="O13" s="19"/>
      <c r="P13" s="18" t="s">
        <v>41</v>
      </c>
      <c r="Q13" s="18"/>
      <c r="R13" s="153"/>
      <c r="S13" s="153"/>
      <c r="T13" s="153"/>
      <c r="U13" s="153"/>
    </row>
    <row r="14" spans="1:22" ht="36" customHeight="1" thickBot="1">
      <c r="A14" s="35"/>
      <c r="B14" s="36" t="str">
        <f>'Control Entry'!N30</f>
        <v/>
      </c>
      <c r="C14" s="36" t="str">
        <f>'Control Entry'!O30</f>
        <v/>
      </c>
      <c r="D14" s="37"/>
      <c r="E14" s="38" t="str">
        <f>IF(ISBLANK('Control Entry'!H30),"",'Control Entry'!H30)</f>
        <v/>
      </c>
      <c r="F14" s="113" t="str">
        <f>IF(ISBLANK('Control Entry'!K30),"",'Control Entry'!K30)</f>
        <v/>
      </c>
      <c r="G14" s="112"/>
      <c r="H14" s="29" t="s">
        <v>29</v>
      </c>
    </row>
    <row r="15" spans="1:22" ht="36" customHeight="1">
      <c r="A15" s="31"/>
      <c r="B15" s="32" t="str">
        <f>'Control Entry'!N31</f>
        <v/>
      </c>
      <c r="C15" s="32" t="str">
        <f>'Control Entry'!O31</f>
        <v/>
      </c>
      <c r="D15" s="39"/>
      <c r="E15" s="34" t="str">
        <f>IF(ISBLANK('Control Entry'!F31),"",'Control Entry'!F31)</f>
        <v/>
      </c>
      <c r="F15" s="108" t="str">
        <f>IF(ISBLANK('Control Entry'!I31),"",'Control Entry'!I31)</f>
        <v/>
      </c>
      <c r="G15" s="109"/>
      <c r="H15" s="29" t="s">
        <v>29</v>
      </c>
      <c r="J15" s="15"/>
      <c r="L15" s="142" t="s">
        <v>58</v>
      </c>
      <c r="M15" s="142"/>
      <c r="N15" s="142"/>
      <c r="O15" s="142"/>
      <c r="P15" s="142"/>
      <c r="Q15" s="142"/>
      <c r="R15" s="142"/>
      <c r="S15" s="142"/>
      <c r="T15" s="142"/>
      <c r="U15" s="142"/>
    </row>
    <row r="16" spans="1:22" ht="36" customHeight="1" thickBot="1">
      <c r="A16" s="40" t="str">
        <f>IF(ISBLANK('Control Entry'!D31),"",'Control Entry'!D31)</f>
        <v/>
      </c>
      <c r="B16" s="41" t="str">
        <f>'Control Entry'!N31</f>
        <v/>
      </c>
      <c r="C16" s="41" t="str">
        <f>'Control Entry'!O31</f>
        <v/>
      </c>
      <c r="D16" s="42" t="str">
        <f>IF(ISBLANK('Control Entry'!E31),"",'Control Entry'!E31)</f>
        <v/>
      </c>
      <c r="E16" s="34" t="str">
        <f>IF(ISBLANK('Control Entry'!G31),"",'Control Entry'!G31)</f>
        <v/>
      </c>
      <c r="F16" s="108" t="str">
        <f>IF(ISBLANK('Control Entry'!J31),"",'Control Entry'!J31)</f>
        <v/>
      </c>
      <c r="G16" s="109"/>
      <c r="H16" s="29" t="s">
        <v>29</v>
      </c>
      <c r="L16" s="128"/>
      <c r="M16" s="128"/>
      <c r="N16" s="128"/>
      <c r="O16" s="128"/>
      <c r="P16" s="128"/>
      <c r="Q16" s="128"/>
      <c r="R16" s="128"/>
      <c r="S16" s="128"/>
      <c r="T16" s="128"/>
      <c r="U16" s="128"/>
    </row>
    <row r="17" spans="1:22" ht="36" customHeight="1" thickBot="1">
      <c r="A17" s="35"/>
      <c r="B17" s="36" t="str">
        <f>'Control Entry'!N31</f>
        <v/>
      </c>
      <c r="C17" s="36" t="str">
        <f>'Control Entry'!O31</f>
        <v/>
      </c>
      <c r="D17" s="37"/>
      <c r="E17" s="38" t="str">
        <f>IF(ISBLANK('Control Entry'!H31),"",'Control Entry'!H31)</f>
        <v/>
      </c>
      <c r="F17" s="113" t="str">
        <f>IF(ISBLANK('Control Entry'!K31),"",'Control Entry'!K31)</f>
        <v/>
      </c>
      <c r="G17" s="112"/>
      <c r="H17" s="29" t="s">
        <v>29</v>
      </c>
    </row>
    <row r="18" spans="1:22" ht="36" customHeight="1">
      <c r="A18" s="31"/>
      <c r="B18" s="32" t="str">
        <f>'Control Entry'!N32</f>
        <v/>
      </c>
      <c r="C18" s="32" t="str">
        <f>'Control Entry'!O32</f>
        <v/>
      </c>
      <c r="D18" s="39"/>
      <c r="E18" s="34" t="str">
        <f>IF(ISBLANK('Control Entry'!F32),"",'Control Entry'!F32)</f>
        <v/>
      </c>
      <c r="F18" s="108" t="str">
        <f>IF(ISBLANK('Control Entry'!I32),"",'Control Entry'!I32)</f>
        <v/>
      </c>
      <c r="G18" s="109"/>
      <c r="H18" s="29" t="s">
        <v>29</v>
      </c>
    </row>
    <row r="19" spans="1:22" ht="36" customHeight="1">
      <c r="A19" s="40" t="str">
        <f>IF(ISBLANK('Control Entry'!D32),"",'Control Entry'!D32)</f>
        <v/>
      </c>
      <c r="B19" s="41" t="str">
        <f>'Control Entry'!N32</f>
        <v/>
      </c>
      <c r="C19" s="41" t="str">
        <f>'Control Entry'!O32</f>
        <v/>
      </c>
      <c r="D19" s="42" t="str">
        <f>IF(ISBLANK('Control Entry'!E32),"",'Control Entry'!E32)</f>
        <v/>
      </c>
      <c r="E19" s="34" t="str">
        <f>IF(ISBLANK('Control Entry'!G32),"",'Control Entry'!G32)</f>
        <v/>
      </c>
      <c r="F19" s="108" t="str">
        <f>IF(ISBLANK('Control Entry'!J32),"",'Control Entry'!J32)</f>
        <v/>
      </c>
      <c r="G19" s="109"/>
      <c r="H19" s="29" t="s">
        <v>29</v>
      </c>
    </row>
    <row r="20" spans="1:22" ht="36" customHeight="1" thickBot="1">
      <c r="A20" s="35"/>
      <c r="B20" s="36" t="str">
        <f>'Control Entry'!N32</f>
        <v/>
      </c>
      <c r="C20" s="36" t="str">
        <f>'Control Entry'!O32</f>
        <v/>
      </c>
      <c r="D20" s="37"/>
      <c r="E20" s="38" t="str">
        <f>IF(ISBLANK('Control Entry'!H32),"",'Control Entry'!H32)</f>
        <v/>
      </c>
      <c r="F20" s="113" t="str">
        <f>IF(ISBLANK('Control Entry'!K32),"",'Control Entry'!K32)</f>
        <v/>
      </c>
      <c r="G20" s="112"/>
      <c r="H20" s="29" t="s">
        <v>29</v>
      </c>
      <c r="J20" s="62" t="s">
        <v>44</v>
      </c>
      <c r="K20" s="62"/>
      <c r="L20" s="154">
        <f>IF(ISBLANK('Control Entry'!B11),"",'Control Entry'!B11)</f>
        <v>45080</v>
      </c>
      <c r="M20" s="154"/>
      <c r="N20" s="154"/>
      <c r="P20" s="18" t="s">
        <v>0</v>
      </c>
      <c r="Q20" s="18"/>
      <c r="S20" s="141">
        <f>IF(ISBLANK('Control Entry'!B12),"",'Control Entry'!B12)</f>
        <v>0.20833333333333334</v>
      </c>
      <c r="T20" s="141"/>
      <c r="U20" s="141"/>
    </row>
    <row r="21" spans="1:22" ht="36" customHeight="1">
      <c r="A21" s="31"/>
      <c r="B21" s="32" t="str">
        <f>'Control Entry'!N33</f>
        <v/>
      </c>
      <c r="C21" s="32" t="str">
        <f>'Control Entry'!O33</f>
        <v/>
      </c>
      <c r="D21" s="39"/>
      <c r="E21" s="34" t="str">
        <f>IF(ISBLANK('Control Entry'!F33),"",'Control Entry'!F33)</f>
        <v/>
      </c>
      <c r="F21" s="108" t="str">
        <f>IF(ISBLANK('Control Entry'!I33),"",'Control Entry'!I33)</f>
        <v/>
      </c>
      <c r="G21" s="109"/>
      <c r="H21" s="29" t="s">
        <v>29</v>
      </c>
      <c r="J21" s="62"/>
      <c r="K21" s="62"/>
      <c r="L21" s="60"/>
      <c r="M21" s="60"/>
      <c r="N21" s="60"/>
      <c r="P21" s="18"/>
      <c r="Q21" s="18"/>
      <c r="R21" s="23"/>
      <c r="S21" s="63"/>
      <c r="T21" s="63"/>
      <c r="U21" s="63"/>
      <c r="V21" s="30"/>
    </row>
    <row r="22" spans="1:22" ht="36" customHeight="1" thickBot="1">
      <c r="A22" s="40" t="str">
        <f>IF(ISBLANK('Control Entry'!D33),"",'Control Entry'!D33)</f>
        <v/>
      </c>
      <c r="B22" s="41" t="str">
        <f>'Control Entry'!N33</f>
        <v/>
      </c>
      <c r="C22" s="41" t="str">
        <f>'Control Entry'!O33</f>
        <v/>
      </c>
      <c r="D22" s="42" t="str">
        <f>IF(ISBLANK('Control Entry'!E33),"",'Control Entry'!E33)</f>
        <v/>
      </c>
      <c r="E22" s="34" t="str">
        <f>IF(ISBLANK('Control Entry'!G33),"",'Control Entry'!G33)</f>
        <v/>
      </c>
      <c r="F22" s="108" t="str">
        <f>IF(ISBLANK('Control Entry'!J33),"",'Control Entry'!J33)</f>
        <v/>
      </c>
      <c r="G22" s="109"/>
      <c r="H22" s="29" t="s">
        <v>29</v>
      </c>
      <c r="J22" s="90" t="s">
        <v>45</v>
      </c>
      <c r="K22" s="90"/>
      <c r="L22" s="129"/>
      <c r="M22" s="129"/>
      <c r="N22" s="129"/>
      <c r="O22" s="19"/>
      <c r="P22" s="18" t="s">
        <v>1</v>
      </c>
      <c r="Q22" s="18"/>
      <c r="R22" s="19"/>
      <c r="S22" s="125"/>
      <c r="T22" s="125"/>
      <c r="U22" s="125"/>
    </row>
    <row r="23" spans="1:22" ht="36" customHeight="1" thickBot="1">
      <c r="A23" s="35"/>
      <c r="B23" s="36" t="str">
        <f>'Control Entry'!N33</f>
        <v/>
      </c>
      <c r="C23" s="36" t="str">
        <f>'Control Entry'!O33</f>
        <v/>
      </c>
      <c r="D23" s="37"/>
      <c r="E23" s="38" t="str">
        <f>IF(ISBLANK('Control Entry'!H33),"",'Control Entry'!H33)</f>
        <v/>
      </c>
      <c r="F23" s="113" t="str">
        <f>IF(ISBLANK('Control Entry'!K33),"",'Control Entry'!K33)</f>
        <v/>
      </c>
      <c r="G23" s="112"/>
      <c r="H23" s="29" t="s">
        <v>29</v>
      </c>
      <c r="J23" s="90"/>
      <c r="K23" s="90"/>
      <c r="L23" s="60"/>
      <c r="M23" s="60"/>
      <c r="N23" s="60"/>
      <c r="O23" s="23"/>
      <c r="P23" s="59"/>
      <c r="Q23" s="59"/>
      <c r="R23" s="23"/>
      <c r="S23" s="23"/>
      <c r="T23" s="23"/>
      <c r="U23" s="23"/>
      <c r="V23" s="30"/>
    </row>
    <row r="24" spans="1:22" ht="36" customHeight="1" thickBot="1">
      <c r="A24" s="31"/>
      <c r="B24" s="32" t="str">
        <f>'Control Entry'!N34</f>
        <v/>
      </c>
      <c r="C24" s="32" t="str">
        <f>'Control Entry'!O34</f>
        <v/>
      </c>
      <c r="D24" s="39"/>
      <c r="E24" s="34" t="str">
        <f>IF(ISBLANK('Control Entry'!F34),"",'Control Entry'!F34)</f>
        <v/>
      </c>
      <c r="F24" s="108" t="str">
        <f>IF(ISBLANK('Control Entry'!I34),"",'Control Entry'!I34)</f>
        <v/>
      </c>
      <c r="G24" s="109"/>
      <c r="H24" s="29" t="s">
        <v>29</v>
      </c>
      <c r="J24" s="125"/>
      <c r="K24" s="125"/>
      <c r="L24" s="125"/>
      <c r="M24" s="125"/>
      <c r="N24" s="125"/>
      <c r="O24" s="19"/>
      <c r="P24" s="18" t="s">
        <v>2</v>
      </c>
      <c r="Q24" s="18"/>
      <c r="R24" s="19"/>
      <c r="S24" s="125"/>
      <c r="T24" s="125"/>
      <c r="U24" s="125"/>
    </row>
    <row r="25" spans="1:22" ht="36" customHeight="1">
      <c r="A25" s="40" t="str">
        <f>IF(ISBLANK('Control Entry'!D34),"",'Control Entry'!D34)</f>
        <v/>
      </c>
      <c r="B25" s="41" t="str">
        <f>'Control Entry'!N34</f>
        <v/>
      </c>
      <c r="C25" s="41" t="str">
        <f>'Control Entry'!O34</f>
        <v/>
      </c>
      <c r="D25" s="42" t="str">
        <f>IF(ISBLANK('Control Entry'!E34),"",'Control Entry'!E34)</f>
        <v/>
      </c>
      <c r="E25" s="34" t="str">
        <f>IF(ISBLANK('Control Entry'!G34),"",'Control Entry'!G34)</f>
        <v/>
      </c>
      <c r="F25" s="108" t="str">
        <f>IF(ISBLANK('Control Entry'!J34),"",'Control Entry'!J34)</f>
        <v/>
      </c>
      <c r="G25" s="109"/>
      <c r="H25" s="29" t="s">
        <v>29</v>
      </c>
      <c r="J25" s="139" t="s">
        <v>17</v>
      </c>
      <c r="K25" s="139"/>
      <c r="L25" s="139"/>
      <c r="M25" s="139"/>
      <c r="N25" s="139"/>
      <c r="O25" s="53"/>
      <c r="P25" s="136"/>
      <c r="Q25" s="136"/>
      <c r="R25" s="53"/>
      <c r="S25" s="137"/>
      <c r="T25" s="137"/>
      <c r="U25" s="137"/>
      <c r="V25" s="137"/>
    </row>
    <row r="26" spans="1:22" ht="36" customHeight="1" thickBot="1">
      <c r="A26" s="35"/>
      <c r="B26" s="36" t="str">
        <f>'Control Entry'!N34</f>
        <v/>
      </c>
      <c r="C26" s="36" t="str">
        <f>'Control Entry'!O34</f>
        <v/>
      </c>
      <c r="D26" s="37"/>
      <c r="E26" s="38" t="str">
        <f>IF(ISBLANK('Control Entry'!H34),"",'Control Entry'!H34)</f>
        <v/>
      </c>
      <c r="F26" s="113" t="str">
        <f>IF(ISBLANK('Control Entry'!K34),"",'Control Entry'!K34)</f>
        <v/>
      </c>
      <c r="G26" s="112"/>
      <c r="H26" s="29" t="s">
        <v>29</v>
      </c>
    </row>
    <row r="27" spans="1:22" ht="36" customHeight="1">
      <c r="A27" s="31"/>
      <c r="B27" s="32" t="str">
        <f>'Control Entry'!N35</f>
        <v/>
      </c>
      <c r="C27" s="32" t="str">
        <f>'Control Entry'!O35</f>
        <v/>
      </c>
      <c r="D27" s="39"/>
      <c r="E27" s="34" t="str">
        <f>IF(ISBLANK('Control Entry'!F35),"",'Control Entry'!F35)</f>
        <v/>
      </c>
      <c r="F27" s="108" t="str">
        <f>IF(ISBLANK('Control Entry'!I35),"",'Control Entry'!I35)</f>
        <v/>
      </c>
      <c r="G27" s="109"/>
      <c r="H27" s="29" t="s">
        <v>29</v>
      </c>
      <c r="K27" s="135" t="s">
        <v>56</v>
      </c>
      <c r="L27" s="136"/>
      <c r="M27" s="52" t="s">
        <v>57</v>
      </c>
      <c r="N27" s="136" t="s">
        <v>49</v>
      </c>
      <c r="O27" s="136"/>
      <c r="P27" s="136" t="s">
        <v>50</v>
      </c>
      <c r="Q27" s="136"/>
      <c r="R27" s="53" t="s">
        <v>51</v>
      </c>
      <c r="S27" s="137" t="s">
        <v>52</v>
      </c>
      <c r="T27" s="137"/>
      <c r="U27" s="137" t="s">
        <v>53</v>
      </c>
      <c r="V27" s="137"/>
    </row>
    <row r="28" spans="1:22" ht="36" customHeight="1">
      <c r="A28" s="40" t="str">
        <f>IF(ISBLANK('Control Entry'!D35),"",'Control Entry'!D35)</f>
        <v/>
      </c>
      <c r="B28" s="41" t="str">
        <f>'Control Entry'!N35</f>
        <v/>
      </c>
      <c r="C28" s="41" t="str">
        <f>'Control Entry'!O35</f>
        <v/>
      </c>
      <c r="D28" s="42" t="str">
        <f>IF(ISBLANK('Control Entry'!E35),"",'Control Entry'!E35)</f>
        <v/>
      </c>
      <c r="E28" s="34" t="str">
        <f>IF(ISBLANK('Control Entry'!G35),"",'Control Entry'!G35)</f>
        <v/>
      </c>
      <c r="F28" s="108" t="str">
        <f>IF(ISBLANK('Control Entry'!J35),"",'Control Entry'!J35)</f>
        <v/>
      </c>
      <c r="G28" s="109"/>
      <c r="H28" s="29" t="s">
        <v>29</v>
      </c>
    </row>
    <row r="29" spans="1:22" ht="36" customHeight="1" thickBot="1">
      <c r="A29" s="35"/>
      <c r="B29" s="36" t="str">
        <f>'Control Entry'!N35</f>
        <v/>
      </c>
      <c r="C29" s="36" t="str">
        <f>'Control Entry'!O35</f>
        <v/>
      </c>
      <c r="D29" s="37"/>
      <c r="E29" s="38" t="str">
        <f>IF(ISBLANK('Control Entry'!H35),"",'Control Entry'!H35)</f>
        <v/>
      </c>
      <c r="F29" s="113" t="str">
        <f>IF(ISBLANK('Control Entry'!K35),"",'Control Entry'!K35)</f>
        <v/>
      </c>
      <c r="G29" s="112"/>
      <c r="H29" s="29" t="s">
        <v>29</v>
      </c>
      <c r="M29" s="145" t="s">
        <v>42</v>
      </c>
      <c r="N29" s="145"/>
      <c r="O29" s="145"/>
      <c r="P29" s="145"/>
      <c r="Q29" s="145"/>
      <c r="R29" s="145"/>
      <c r="S29" s="145"/>
      <c r="T29" s="145"/>
      <c r="U29" s="57"/>
    </row>
    <row r="30" spans="1:22" ht="36" customHeight="1">
      <c r="A30" s="31"/>
      <c r="B30" s="32" t="str">
        <f>'Control Entry'!N36</f>
        <v/>
      </c>
      <c r="C30" s="32" t="str">
        <f>'Control Entry'!O36</f>
        <v/>
      </c>
      <c r="D30" s="39"/>
      <c r="E30" s="34" t="str">
        <f>IF(ISBLANK('Control Entry'!F36),"",'Control Entry'!F36)</f>
        <v/>
      </c>
      <c r="F30" s="108" t="str">
        <f>IF(ISBLANK('Control Entry'!I36),"",'Control Entry'!I36)</f>
        <v/>
      </c>
      <c r="G30" s="109"/>
      <c r="H30" s="29" t="s">
        <v>29</v>
      </c>
      <c r="M30" s="16"/>
      <c r="N30" s="21"/>
      <c r="O30" s="21"/>
      <c r="P30" s="22"/>
      <c r="Q30" s="21"/>
      <c r="R30" s="21"/>
      <c r="S30" s="21"/>
      <c r="T30" s="22"/>
      <c r="U30" s="23"/>
    </row>
    <row r="31" spans="1:22" ht="36" customHeight="1">
      <c r="A31" s="40" t="str">
        <f>IF(ISBLANK('Control Entry'!D36),"",'Control Entry'!D36)</f>
        <v/>
      </c>
      <c r="B31" s="41" t="str">
        <f>'Control Entry'!N36</f>
        <v/>
      </c>
      <c r="C31" s="41" t="str">
        <f>'Control Entry'!O36</f>
        <v/>
      </c>
      <c r="D31" s="42" t="str">
        <f>IF(ISBLANK('Control Entry'!E36),"",'Control Entry'!E36)</f>
        <v/>
      </c>
      <c r="E31" s="34" t="str">
        <f>IF(ISBLANK('Control Entry'!G36),"",'Control Entry'!G36)</f>
        <v/>
      </c>
      <c r="F31" s="108" t="str">
        <f>IF(ISBLANK('Control Entry'!J36),"",'Control Entry'!J36)</f>
        <v/>
      </c>
      <c r="G31" s="109"/>
      <c r="H31" s="29" t="s">
        <v>29</v>
      </c>
      <c r="M31" s="17"/>
      <c r="N31" s="23"/>
      <c r="O31" s="23"/>
      <c r="P31" s="24"/>
      <c r="Q31" s="23"/>
      <c r="R31" s="23"/>
      <c r="S31" s="23"/>
      <c r="T31" s="24"/>
      <c r="U31" s="23"/>
    </row>
    <row r="32" spans="1:22" ht="36" customHeight="1" thickBot="1">
      <c r="A32" s="35"/>
      <c r="B32" s="36" t="str">
        <f>'Control Entry'!N36</f>
        <v/>
      </c>
      <c r="C32" s="36" t="str">
        <f>'Control Entry'!O36</f>
        <v/>
      </c>
      <c r="D32" s="37"/>
      <c r="E32" s="38" t="str">
        <f>IF(ISBLANK('Control Entry'!H36),"",'Control Entry'!H36)</f>
        <v/>
      </c>
      <c r="F32" s="113" t="str">
        <f>IF(ISBLANK('Control Entry'!K36),"",'Control Entry'!K36)</f>
        <v/>
      </c>
      <c r="G32" s="112"/>
      <c r="H32" s="29" t="s">
        <v>29</v>
      </c>
      <c r="M32" s="55"/>
      <c r="N32" s="20"/>
      <c r="O32" s="20"/>
      <c r="P32" s="25"/>
      <c r="Q32" s="20"/>
      <c r="R32" s="20"/>
      <c r="S32" s="20"/>
      <c r="T32" s="25"/>
      <c r="U32" s="23"/>
    </row>
    <row r="33" spans="1:22" ht="36" customHeight="1">
      <c r="A33" s="134" t="s">
        <v>43</v>
      </c>
      <c r="B33" s="134"/>
      <c r="C33" s="134"/>
      <c r="D33" s="134"/>
      <c r="E33" s="134"/>
      <c r="F33" s="134"/>
      <c r="G33" s="134"/>
      <c r="H33" s="43"/>
      <c r="I33" s="43"/>
      <c r="M33" s="146" t="s">
        <v>82</v>
      </c>
      <c r="N33" s="147"/>
      <c r="O33" s="147"/>
      <c r="P33" s="147"/>
      <c r="Q33" s="148">
        <f>'Control Entry'!B3</f>
        <v>44674</v>
      </c>
      <c r="R33" s="149"/>
      <c r="S33" s="149"/>
      <c r="T33" s="149"/>
      <c r="U33" s="104"/>
      <c r="V33" s="60"/>
    </row>
    <row r="34" spans="1:22" ht="36" customHeight="1">
      <c r="A34"/>
      <c r="O34" s="49"/>
      <c r="P34" s="49"/>
      <c r="Q34" s="49"/>
      <c r="R34" s="48"/>
    </row>
    <row r="35" spans="1:22" ht="36" customHeight="1">
      <c r="A35"/>
      <c r="N35" s="145"/>
      <c r="O35" s="145"/>
      <c r="P35" s="145"/>
      <c r="Q35" s="145"/>
      <c r="R35" s="145"/>
      <c r="S35" s="145"/>
      <c r="T35" s="145"/>
      <c r="U35" s="145"/>
    </row>
    <row r="36" spans="1:22" ht="36" customHeight="1">
      <c r="A36"/>
      <c r="N36" s="30"/>
      <c r="O36" s="23"/>
      <c r="P36" s="23"/>
      <c r="Q36" s="23"/>
      <c r="R36" s="23"/>
      <c r="S36" s="23"/>
      <c r="T36" s="23"/>
      <c r="U36" s="23"/>
    </row>
    <row r="37" spans="1:22" ht="36" customHeight="1">
      <c r="A37"/>
      <c r="N37" s="30"/>
      <c r="O37" s="23"/>
      <c r="P37" s="23"/>
      <c r="Q37" s="23"/>
      <c r="R37" s="23"/>
      <c r="S37" s="23"/>
      <c r="T37" s="23"/>
      <c r="U37" s="23"/>
    </row>
    <row r="38" spans="1:22" ht="36" customHeight="1">
      <c r="A38"/>
      <c r="N38" s="58"/>
      <c r="O38" s="23"/>
      <c r="P38" s="23"/>
      <c r="Q38" s="23"/>
      <c r="R38" s="23"/>
      <c r="S38" s="23"/>
      <c r="T38" s="23"/>
      <c r="U38" s="23"/>
    </row>
    <row r="39" spans="1:22" ht="36" customHeight="1">
      <c r="A39"/>
    </row>
    <row r="40" spans="1:22" ht="36" customHeight="1">
      <c r="A40"/>
    </row>
  </sheetData>
  <sheetProtection algorithmName="SHA-512" hashValue="iSFPuqAqE6+8VyiozruXJoR0qw+BhLOka06RpuEl+NEbHzoKtGxcXBR0xAT9porKkYsihwmQXc6z1GyM7R9v2A==" saltValue="p5OooFQccywreS3mUMh78Q==" spinCount="100000" sheet="1" objects="1" scenarios="1" formatCells="0" selectLockedCells="1"/>
  <mergeCells count="39">
    <mergeCell ref="A33:G33"/>
    <mergeCell ref="N35:U35"/>
    <mergeCell ref="L8:Q8"/>
    <mergeCell ref="M29:T29"/>
    <mergeCell ref="L15:U15"/>
    <mergeCell ref="S20:U20"/>
    <mergeCell ref="J25:N25"/>
    <mergeCell ref="P25:Q25"/>
    <mergeCell ref="S25:T25"/>
    <mergeCell ref="U25:V25"/>
    <mergeCell ref="K27:L27"/>
    <mergeCell ref="N27:O27"/>
    <mergeCell ref="P27:Q27"/>
    <mergeCell ref="S27:T27"/>
    <mergeCell ref="U27:V27"/>
    <mergeCell ref="M33:P33"/>
    <mergeCell ref="J24:N24"/>
    <mergeCell ref="A1:G1"/>
    <mergeCell ref="K2:U2"/>
    <mergeCell ref="M4:T4"/>
    <mergeCell ref="N5:O5"/>
    <mergeCell ref="R5:U5"/>
    <mergeCell ref="O3:R3"/>
    <mergeCell ref="S24:U24"/>
    <mergeCell ref="Q33:T33"/>
    <mergeCell ref="L20:N20"/>
    <mergeCell ref="L6:U6"/>
    <mergeCell ref="T8:U8"/>
    <mergeCell ref="L9:U9"/>
    <mergeCell ref="L10:U10"/>
    <mergeCell ref="L11:N11"/>
    <mergeCell ref="S11:U11"/>
    <mergeCell ref="L12:N12"/>
    <mergeCell ref="S12:U12"/>
    <mergeCell ref="L13:N13"/>
    <mergeCell ref="R13:U13"/>
    <mergeCell ref="L16:U16"/>
    <mergeCell ref="L22:N22"/>
    <mergeCell ref="S22:U22"/>
  </mergeCells>
  <phoneticPr fontId="16" type="noConversion"/>
  <printOptions horizontalCentered="1" verticalCentered="1"/>
  <pageMargins left="0.2" right="0.2" top="0.2" bottom="0.2" header="0.51" footer="0.51"/>
  <pageSetup scale="44" orientation="landscape" horizontalDpi="4294967292" verticalDpi="4294967292"/>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sheetPr>
    <pageSetUpPr fitToPage="1"/>
  </sheetPr>
  <dimension ref="A1:V40"/>
  <sheetViews>
    <sheetView showGridLines="0" topLeftCell="A2" zoomScale="92" zoomScaleNormal="92" zoomScalePageLayoutView="92" workbookViewId="0">
      <selection activeCell="F5" sqref="F5"/>
    </sheetView>
  </sheetViews>
  <sheetFormatPr defaultColWidth="8.81640625" defaultRowHeight="12.5"/>
  <cols>
    <col min="1" max="1" width="8.453125" style="1" customWidth="1"/>
    <col min="2" max="2" width="11.453125" customWidth="1"/>
    <col min="3" max="3" width="11.6328125" customWidth="1"/>
    <col min="4" max="4" width="18" customWidth="1"/>
    <col min="5" max="5" width="23.81640625" customWidth="1"/>
    <col min="6" max="6" width="42" customWidth="1"/>
    <col min="7" max="7" width="13.453125" customWidth="1"/>
    <col min="8" max="8" width="8" style="30" customWidth="1"/>
    <col min="9" max="9" width="12" customWidth="1"/>
    <col min="18" max="19" width="8.81640625" customWidth="1"/>
  </cols>
  <sheetData>
    <row r="1" spans="1:22" ht="21" thickBot="1">
      <c r="A1" s="133" t="s">
        <v>74</v>
      </c>
      <c r="B1" s="133"/>
      <c r="C1" s="133"/>
      <c r="D1" s="133"/>
      <c r="E1" s="133"/>
      <c r="F1" s="133"/>
      <c r="G1" s="133"/>
      <c r="H1" s="29" t="s">
        <v>29</v>
      </c>
    </row>
    <row r="2" spans="1:22" ht="33.75" customHeight="1" thickBot="1">
      <c r="A2" s="77" t="s">
        <v>30</v>
      </c>
      <c r="B2" s="9" t="s">
        <v>3</v>
      </c>
      <c r="C2" s="9" t="s">
        <v>4</v>
      </c>
      <c r="D2" s="9" t="s">
        <v>25</v>
      </c>
      <c r="E2" s="9" t="s">
        <v>31</v>
      </c>
      <c r="F2" s="9" t="s">
        <v>59</v>
      </c>
      <c r="G2" s="77" t="s">
        <v>32</v>
      </c>
      <c r="H2" s="29" t="s">
        <v>29</v>
      </c>
      <c r="K2" s="131" t="s">
        <v>55</v>
      </c>
      <c r="L2" s="131"/>
      <c r="M2" s="131"/>
      <c r="N2" s="131"/>
      <c r="O2" s="131"/>
      <c r="P2" s="131"/>
      <c r="Q2" s="131"/>
      <c r="R2" s="131"/>
      <c r="S2" s="131"/>
      <c r="T2" s="131"/>
      <c r="U2" s="131"/>
    </row>
    <row r="3" spans="1:22" ht="36" customHeight="1">
      <c r="A3" s="31"/>
      <c r="B3" s="32" t="str">
        <f>'Control Entry'!N40</f>
        <v/>
      </c>
      <c r="C3" s="32" t="str">
        <f>'Control Entry'!O40</f>
        <v/>
      </c>
      <c r="D3" s="33"/>
      <c r="E3" s="34" t="str">
        <f>IF(ISBLANK('Control Entry'!F40),"",'Control Entry'!F40)</f>
        <v/>
      </c>
      <c r="F3" s="108" t="str">
        <f>IF(ISBLANK('Control Entry'!I40),"",'Control Entry'!I40)</f>
        <v/>
      </c>
      <c r="G3" s="109"/>
      <c r="H3" s="29" t="s">
        <v>29</v>
      </c>
      <c r="K3" s="14"/>
      <c r="O3" s="140" t="s">
        <v>73</v>
      </c>
      <c r="P3" s="140"/>
      <c r="Q3" s="140"/>
      <c r="R3" s="140"/>
      <c r="S3" s="94" t="str">
        <f>IF('Control Entry'!D40=0,"","#3")</f>
        <v/>
      </c>
      <c r="T3" s="95"/>
      <c r="U3" s="44"/>
    </row>
    <row r="4" spans="1:22" ht="36" customHeight="1">
      <c r="A4" s="40" t="str">
        <f>IF(ISBLANK('Control Entry'!D40),"",'Control Entry'!D40)</f>
        <v/>
      </c>
      <c r="B4" s="41" t="str">
        <f>'Control Entry'!N40</f>
        <v/>
      </c>
      <c r="C4" s="41" t="str">
        <f>'Control Entry'!O40</f>
        <v/>
      </c>
      <c r="D4" s="42" t="str">
        <f>IF(ISBLANK('Control Entry'!E40),"",'Control Entry'!E40)</f>
        <v/>
      </c>
      <c r="E4" s="34" t="str">
        <f>IF(ISBLANK('Control Entry'!G40),"",'Control Entry'!G40)</f>
        <v/>
      </c>
      <c r="F4" s="108" t="str">
        <f>IF(ISBLANK('Control Entry'!J40),"",'Control Entry'!J40)</f>
        <v/>
      </c>
      <c r="G4" s="109"/>
      <c r="H4" s="29" t="s">
        <v>29</v>
      </c>
      <c r="K4" s="14"/>
      <c r="M4" s="135" t="str">
        <f>IF(ISBLANK(brevet),"",brevet&amp;" km Randonnée")</f>
        <v>600 km Randonnée</v>
      </c>
      <c r="N4" s="135"/>
      <c r="O4" s="135"/>
      <c r="P4" s="135"/>
      <c r="Q4" s="135"/>
      <c r="R4" s="135"/>
      <c r="S4" s="135"/>
      <c r="T4" s="135"/>
      <c r="U4" s="45"/>
    </row>
    <row r="5" spans="1:22" ht="36" customHeight="1" thickBot="1">
      <c r="A5" s="35"/>
      <c r="B5" s="36" t="str">
        <f>'Control Entry'!N40</f>
        <v/>
      </c>
      <c r="C5" s="36" t="str">
        <f>'Control Entry'!O40</f>
        <v/>
      </c>
      <c r="D5" s="37"/>
      <c r="E5" s="38" t="str">
        <f>IF(ISBLANK('Control Entry'!H27),"",'Control Entry'!H27)</f>
        <v/>
      </c>
      <c r="F5" s="113" t="str">
        <f>IF(ISBLANK('Control Entry'!K40),"",'Control Entry'!K40)</f>
        <v/>
      </c>
      <c r="G5" s="112"/>
      <c r="H5" s="29" t="s">
        <v>29</v>
      </c>
      <c r="K5" s="14"/>
      <c r="M5" s="15"/>
      <c r="N5" s="138" t="s">
        <v>47</v>
      </c>
      <c r="O5" s="138"/>
      <c r="P5" s="64">
        <f>IF(ISBLANK(Brevet_Number),"",Brevet_Number)</f>
        <v>5261</v>
      </c>
      <c r="Q5" s="65"/>
      <c r="R5" s="130">
        <f>IF(ISBLANK('Control Entry'!$B9),"",'Control Entry'!$B9)</f>
        <v>45080</v>
      </c>
      <c r="S5" s="130"/>
      <c r="T5" s="130"/>
      <c r="U5" s="130"/>
      <c r="V5" s="46"/>
    </row>
    <row r="6" spans="1:22" ht="36" customHeight="1">
      <c r="A6" s="31"/>
      <c r="B6" s="32" t="str">
        <f>'Control Entry'!N41</f>
        <v/>
      </c>
      <c r="C6" s="32" t="str">
        <f>'Control Entry'!O41</f>
        <v/>
      </c>
      <c r="D6" s="39"/>
      <c r="E6" s="34" t="str">
        <f>IF(ISBLANK('Control Entry'!F41),"",'Control Entry'!F41)</f>
        <v/>
      </c>
      <c r="F6" s="108" t="str">
        <f>IF(ISBLANK('Control Entry'!I41),"",'Control Entry'!I41)</f>
        <v/>
      </c>
      <c r="G6" s="109"/>
      <c r="H6" s="29" t="s">
        <v>29</v>
      </c>
      <c r="K6" s="14"/>
      <c r="L6" s="143" t="str">
        <f>IF(ISBLANK(Brevet_Description),"",Brevet_Description)</f>
        <v>Two Dam Far 600 2023</v>
      </c>
      <c r="M6" s="143"/>
      <c r="N6" s="143"/>
      <c r="O6" s="143"/>
      <c r="P6" s="143"/>
      <c r="Q6" s="143"/>
      <c r="R6" s="143"/>
      <c r="S6" s="143"/>
      <c r="T6" s="143"/>
      <c r="U6" s="143"/>
    </row>
    <row r="7" spans="1:22" ht="36" customHeight="1">
      <c r="A7" s="40" t="str">
        <f>IF(ISBLANK('Control Entry'!D41),"",'Control Entry'!D41)</f>
        <v/>
      </c>
      <c r="B7" s="41" t="str">
        <f>'Control Entry'!N41</f>
        <v/>
      </c>
      <c r="C7" s="41" t="str">
        <f>'Control Entry'!O41</f>
        <v/>
      </c>
      <c r="D7" s="42" t="str">
        <f>IF(ISBLANK('Control Entry'!E41),"",'Control Entry'!E41)</f>
        <v/>
      </c>
      <c r="E7" s="34" t="str">
        <f>IF(ISBLANK('Control Entry'!G41),"",'Control Entry'!G41)</f>
        <v/>
      </c>
      <c r="F7" s="108" t="str">
        <f>IF(ISBLANK('Control Entry'!J41),"",'Control Entry'!J41)</f>
        <v/>
      </c>
      <c r="G7" s="109"/>
      <c r="H7" s="29" t="s">
        <v>29</v>
      </c>
    </row>
    <row r="8" spans="1:22" ht="36" customHeight="1" thickBot="1">
      <c r="A8" s="35"/>
      <c r="B8" s="36" t="str">
        <f>'Control Entry'!N41</f>
        <v/>
      </c>
      <c r="C8" s="36" t="str">
        <f>'Control Entry'!O41</f>
        <v/>
      </c>
      <c r="D8" s="37"/>
      <c r="E8" s="38" t="str">
        <f>IF(ISBLANK('Control Entry'!H41),"",'Control Entry'!H41)</f>
        <v/>
      </c>
      <c r="F8" s="113" t="str">
        <f>IF(ISBLANK('Control Entry'!K41),"",'Control Entry'!K41)</f>
        <v/>
      </c>
      <c r="G8" s="112"/>
      <c r="H8" s="29" t="s">
        <v>29</v>
      </c>
      <c r="J8" s="15" t="s">
        <v>34</v>
      </c>
      <c r="L8" s="132"/>
      <c r="M8" s="132"/>
      <c r="N8" s="132"/>
      <c r="O8" s="132"/>
      <c r="P8" s="132"/>
      <c r="Q8" s="132"/>
      <c r="R8" s="30"/>
      <c r="S8" s="47" t="s">
        <v>46</v>
      </c>
      <c r="T8" s="144"/>
      <c r="U8" s="144"/>
    </row>
    <row r="9" spans="1:22" ht="36" customHeight="1" thickBot="1">
      <c r="A9" s="31"/>
      <c r="B9" s="32" t="str">
        <f>'Control Entry'!N42</f>
        <v/>
      </c>
      <c r="C9" s="32" t="str">
        <f>'Control Entry'!O42</f>
        <v/>
      </c>
      <c r="D9" s="39"/>
      <c r="E9" s="34" t="str">
        <f>IF(ISBLANK('Control Entry'!F42),"",'Control Entry'!F42)</f>
        <v/>
      </c>
      <c r="F9" s="108" t="str">
        <f>IF(ISBLANK('Control Entry'!I42),"",'Control Entry'!I42)</f>
        <v/>
      </c>
      <c r="G9" s="109"/>
      <c r="H9" s="29" t="s">
        <v>29</v>
      </c>
      <c r="J9" s="15" t="s">
        <v>35</v>
      </c>
      <c r="K9" s="15"/>
      <c r="L9" s="126" t="s">
        <v>54</v>
      </c>
      <c r="M9" s="126"/>
      <c r="N9" s="126"/>
      <c r="O9" s="126"/>
      <c r="P9" s="126"/>
      <c r="Q9" s="126"/>
      <c r="R9" s="126"/>
      <c r="S9" s="126"/>
      <c r="T9" s="126"/>
      <c r="U9" s="126"/>
    </row>
    <row r="10" spans="1:22" ht="36" customHeight="1" thickBot="1">
      <c r="A10" s="40" t="str">
        <f>IF(ISBLANK('Control Entry'!D42),"",'Control Entry'!D42)</f>
        <v/>
      </c>
      <c r="B10" s="41" t="str">
        <f>'Control Entry'!N42</f>
        <v/>
      </c>
      <c r="C10" s="41" t="str">
        <f>'Control Entry'!O42</f>
        <v/>
      </c>
      <c r="D10" s="42" t="str">
        <f>IF(ISBLANK('Control Entry'!E42),"",'Control Entry'!E42)</f>
        <v/>
      </c>
      <c r="E10" s="34" t="str">
        <f>IF(ISBLANK('Control Entry'!G42),"",'Control Entry'!G42)</f>
        <v/>
      </c>
      <c r="F10" s="108" t="str">
        <f>IF(ISBLANK('Control Entry'!J42),"",'Control Entry'!J42)</f>
        <v/>
      </c>
      <c r="G10" s="109"/>
      <c r="H10" s="29" t="s">
        <v>29</v>
      </c>
      <c r="J10" s="15"/>
      <c r="K10" s="15"/>
      <c r="L10" s="127"/>
      <c r="M10" s="127"/>
      <c r="N10" s="127"/>
      <c r="O10" s="127"/>
      <c r="P10" s="127"/>
      <c r="Q10" s="127"/>
      <c r="R10" s="127"/>
      <c r="S10" s="127"/>
      <c r="T10" s="127"/>
      <c r="U10" s="127"/>
    </row>
    <row r="11" spans="1:22" ht="36" customHeight="1" thickBot="1">
      <c r="A11" s="35"/>
      <c r="B11" s="36" t="str">
        <f>'Control Entry'!N42</f>
        <v/>
      </c>
      <c r="C11" s="36" t="str">
        <f>'Control Entry'!O42</f>
        <v/>
      </c>
      <c r="D11" s="37"/>
      <c r="E11" s="38" t="str">
        <f>IF(ISBLANK('Control Entry'!H42),"",'Control Entry'!H42)</f>
        <v/>
      </c>
      <c r="F11" s="113" t="str">
        <f>IF(ISBLANK('Control Entry'!K42),"",'Control Entry'!K42)</f>
        <v/>
      </c>
      <c r="G11" s="112"/>
      <c r="H11" s="29" t="s">
        <v>29</v>
      </c>
      <c r="J11" s="15" t="s">
        <v>36</v>
      </c>
      <c r="K11" s="15"/>
      <c r="L11" s="127"/>
      <c r="M11" s="127"/>
      <c r="N11" s="127"/>
      <c r="O11" s="18"/>
      <c r="P11" s="18" t="s">
        <v>37</v>
      </c>
      <c r="Q11" s="18"/>
      <c r="R11" s="18"/>
      <c r="S11" s="152"/>
      <c r="T11" s="152"/>
      <c r="U11" s="152"/>
    </row>
    <row r="12" spans="1:22" ht="36" customHeight="1" thickBot="1">
      <c r="A12" s="31"/>
      <c r="B12" s="32" t="str">
        <f>'Control Entry'!N43</f>
        <v/>
      </c>
      <c r="C12" s="32" t="str">
        <f>'Control Entry'!O43</f>
        <v/>
      </c>
      <c r="D12" s="39"/>
      <c r="E12" s="34" t="str">
        <f>IF(ISBLANK('Control Entry'!F43),"",'Control Entry'!F43)</f>
        <v/>
      </c>
      <c r="F12" s="108" t="str">
        <f>IF(ISBLANK('Control Entry'!I43),"",'Control Entry'!I43)</f>
        <v/>
      </c>
      <c r="G12" s="109"/>
      <c r="H12" s="29" t="s">
        <v>29</v>
      </c>
      <c r="J12" s="15" t="s">
        <v>38</v>
      </c>
      <c r="K12" s="15"/>
      <c r="L12" s="127"/>
      <c r="M12" s="127"/>
      <c r="N12" s="127"/>
      <c r="O12" s="18"/>
      <c r="P12" s="18" t="s">
        <v>39</v>
      </c>
      <c r="Q12" s="18"/>
      <c r="R12" s="18"/>
      <c r="S12" s="152"/>
      <c r="T12" s="152"/>
      <c r="U12" s="152"/>
    </row>
    <row r="13" spans="1:22" ht="36" customHeight="1" thickBot="1">
      <c r="A13" s="40" t="str">
        <f>IF(ISBLANK('Control Entry'!D43),"",'Control Entry'!D43)</f>
        <v/>
      </c>
      <c r="B13" s="41" t="str">
        <f>'Control Entry'!N43</f>
        <v/>
      </c>
      <c r="C13" s="41" t="str">
        <f>'Control Entry'!O43</f>
        <v/>
      </c>
      <c r="D13" s="42" t="str">
        <f>IF(ISBLANK('Control Entry'!E43),"",'Control Entry'!E43)</f>
        <v/>
      </c>
      <c r="E13" s="34" t="str">
        <f>IF(ISBLANK('Control Entry'!G43),"",'Control Entry'!G43)</f>
        <v/>
      </c>
      <c r="F13" s="108" t="str">
        <f>IF(ISBLANK('Control Entry'!J43),"",'Control Entry'!J43)</f>
        <v/>
      </c>
      <c r="G13" s="109"/>
      <c r="H13" s="29" t="s">
        <v>29</v>
      </c>
      <c r="J13" s="15" t="s">
        <v>40</v>
      </c>
      <c r="L13" s="151"/>
      <c r="M13" s="151"/>
      <c r="N13" s="151"/>
      <c r="O13" s="19"/>
      <c r="P13" s="18" t="s">
        <v>41</v>
      </c>
      <c r="Q13" s="18"/>
      <c r="R13" s="153"/>
      <c r="S13" s="153"/>
      <c r="T13" s="153"/>
      <c r="U13" s="153"/>
    </row>
    <row r="14" spans="1:22" ht="36" customHeight="1" thickBot="1">
      <c r="A14" s="35"/>
      <c r="B14" s="36" t="str">
        <f>'Control Entry'!N43</f>
        <v/>
      </c>
      <c r="C14" s="36" t="str">
        <f>'Control Entry'!O43</f>
        <v/>
      </c>
      <c r="D14" s="37"/>
      <c r="E14" s="38" t="str">
        <f>IF(ISBLANK('Control Entry'!H43),"",'Control Entry'!H43)</f>
        <v/>
      </c>
      <c r="F14" s="113" t="str">
        <f>IF(ISBLANK('Control Entry'!K43),"",'Control Entry'!K43)</f>
        <v/>
      </c>
      <c r="G14" s="112"/>
      <c r="H14" s="29" t="s">
        <v>29</v>
      </c>
    </row>
    <row r="15" spans="1:22" ht="36" customHeight="1">
      <c r="A15" s="31"/>
      <c r="B15" s="32" t="str">
        <f>'Control Entry'!N44</f>
        <v/>
      </c>
      <c r="C15" s="32" t="str">
        <f>'Control Entry'!O44</f>
        <v/>
      </c>
      <c r="D15" s="39"/>
      <c r="E15" s="34" t="str">
        <f>IF(ISBLANK('Control Entry'!F44),"",'Control Entry'!F44)</f>
        <v/>
      </c>
      <c r="F15" s="108" t="str">
        <f>IF(ISBLANK('Control Entry'!I44),"",'Control Entry'!I44)</f>
        <v/>
      </c>
      <c r="G15" s="109"/>
      <c r="H15" s="29" t="s">
        <v>29</v>
      </c>
      <c r="J15" s="15"/>
      <c r="L15" s="142" t="s">
        <v>58</v>
      </c>
      <c r="M15" s="142"/>
      <c r="N15" s="142"/>
      <c r="O15" s="142"/>
      <c r="P15" s="142"/>
      <c r="Q15" s="142"/>
      <c r="R15" s="142"/>
      <c r="S15" s="142"/>
      <c r="T15" s="142"/>
      <c r="U15" s="142"/>
    </row>
    <row r="16" spans="1:22" ht="36" customHeight="1" thickBot="1">
      <c r="A16" s="40" t="str">
        <f>IF(ISBLANK('Control Entry'!D44),"",'Control Entry'!D44)</f>
        <v/>
      </c>
      <c r="B16" s="41" t="str">
        <f>'Control Entry'!N44</f>
        <v/>
      </c>
      <c r="C16" s="41" t="str">
        <f>'Control Entry'!O44</f>
        <v/>
      </c>
      <c r="D16" s="42" t="str">
        <f>IF(ISBLANK('Control Entry'!E44),"",'Control Entry'!E44)</f>
        <v/>
      </c>
      <c r="E16" s="34" t="str">
        <f>IF(ISBLANK('Control Entry'!G44),"",'Control Entry'!G44)</f>
        <v/>
      </c>
      <c r="F16" s="108" t="str">
        <f>IF(ISBLANK('Control Entry'!J44),"",'Control Entry'!J44)</f>
        <v/>
      </c>
      <c r="G16" s="109"/>
      <c r="H16" s="29" t="s">
        <v>29</v>
      </c>
      <c r="L16" s="155"/>
      <c r="M16" s="155"/>
      <c r="N16" s="155"/>
      <c r="O16" s="155"/>
      <c r="P16" s="155"/>
      <c r="Q16" s="155"/>
      <c r="R16" s="155"/>
      <c r="S16" s="155"/>
      <c r="T16" s="155"/>
      <c r="U16" s="155"/>
    </row>
    <row r="17" spans="1:22" ht="36" customHeight="1" thickBot="1">
      <c r="A17" s="35"/>
      <c r="B17" s="36" t="str">
        <f>'Control Entry'!N44</f>
        <v/>
      </c>
      <c r="C17" s="36" t="str">
        <f>'Control Entry'!O44</f>
        <v/>
      </c>
      <c r="D17" s="37"/>
      <c r="E17" s="38" t="str">
        <f>IF(ISBLANK('Control Entry'!H44),"",'Control Entry'!H44)</f>
        <v/>
      </c>
      <c r="F17" s="113" t="str">
        <f>IF(ISBLANK('Control Entry'!K44),"",'Control Entry'!K44)</f>
        <v/>
      </c>
      <c r="G17" s="112"/>
      <c r="H17" s="29" t="s">
        <v>29</v>
      </c>
    </row>
    <row r="18" spans="1:22" ht="36" customHeight="1">
      <c r="A18" s="31"/>
      <c r="B18" s="32" t="str">
        <f>'Control Entry'!N45</f>
        <v/>
      </c>
      <c r="C18" s="32" t="str">
        <f>'Control Entry'!O45</f>
        <v/>
      </c>
      <c r="D18" s="39"/>
      <c r="E18" s="34" t="str">
        <f>IF(ISBLANK('Control Entry'!F45),"",'Control Entry'!F45)</f>
        <v/>
      </c>
      <c r="F18" s="108" t="str">
        <f>IF(ISBLANK('Control Entry'!I45),"",'Control Entry'!I45)</f>
        <v/>
      </c>
      <c r="G18" s="109"/>
      <c r="H18" s="29" t="s">
        <v>29</v>
      </c>
    </row>
    <row r="19" spans="1:22" ht="36" customHeight="1">
      <c r="A19" s="40" t="str">
        <f>IF(ISBLANK('Control Entry'!D45),"",'Control Entry'!D45)</f>
        <v/>
      </c>
      <c r="B19" s="41" t="str">
        <f>'Control Entry'!N45</f>
        <v/>
      </c>
      <c r="C19" s="41" t="str">
        <f>'Control Entry'!O45</f>
        <v/>
      </c>
      <c r="D19" s="42" t="str">
        <f>IF(ISBLANK('Control Entry'!E45),"",'Control Entry'!E45)</f>
        <v/>
      </c>
      <c r="E19" s="34" t="str">
        <f>IF(ISBLANK('Control Entry'!G45),"",'Control Entry'!G45)</f>
        <v/>
      </c>
      <c r="F19" s="108" t="str">
        <f>IF(ISBLANK('Control Entry'!J45),"",'Control Entry'!J415)</f>
        <v/>
      </c>
      <c r="G19" s="109"/>
      <c r="H19" s="29" t="s">
        <v>29</v>
      </c>
    </row>
    <row r="20" spans="1:22" ht="36" customHeight="1" thickBot="1">
      <c r="A20" s="35"/>
      <c r="B20" s="36" t="str">
        <f>'Control Entry'!N45</f>
        <v/>
      </c>
      <c r="C20" s="36" t="str">
        <f>'Control Entry'!O45</f>
        <v/>
      </c>
      <c r="D20" s="37"/>
      <c r="E20" s="38" t="str">
        <f>IF(ISBLANK('Control Entry'!H45),"",'Control Entry'!H45)</f>
        <v/>
      </c>
      <c r="F20" s="113" t="str">
        <f>IF(ISBLANK('Control Entry'!K45),"",'Control Entry'!K45)</f>
        <v/>
      </c>
      <c r="G20" s="112"/>
      <c r="H20" s="29" t="s">
        <v>29</v>
      </c>
      <c r="J20" s="62" t="s">
        <v>44</v>
      </c>
      <c r="K20" s="62"/>
      <c r="L20" s="150">
        <f>IF(ISBLANK('Control Entry'!B11),"",'Control Entry'!B11)</f>
        <v>45080</v>
      </c>
      <c r="M20" s="150"/>
      <c r="N20" s="150"/>
      <c r="P20" s="18" t="s">
        <v>0</v>
      </c>
      <c r="Q20" s="18"/>
      <c r="S20" s="141">
        <f>IF(ISBLANK('Control Entry'!B12),"",'Control Entry'!B12)</f>
        <v>0.20833333333333334</v>
      </c>
      <c r="T20" s="141"/>
      <c r="U20" s="141"/>
    </row>
    <row r="21" spans="1:22" ht="36" customHeight="1">
      <c r="A21" s="31"/>
      <c r="B21" s="32" t="str">
        <f>'Control Entry'!N46</f>
        <v/>
      </c>
      <c r="C21" s="32" t="str">
        <f>'Control Entry'!O46</f>
        <v/>
      </c>
      <c r="D21" s="39"/>
      <c r="E21" s="34" t="str">
        <f>IF(ISBLANK('Control Entry'!F46),"",'Control Entry'!F46)</f>
        <v/>
      </c>
      <c r="F21" s="108" t="str">
        <f>IF(ISBLANK('Control Entry'!I46),"",'Control Entry'!I46)</f>
        <v/>
      </c>
      <c r="G21" s="109"/>
      <c r="H21" s="29" t="s">
        <v>29</v>
      </c>
      <c r="J21" s="62"/>
      <c r="K21" s="62"/>
      <c r="L21" s="60"/>
      <c r="M21" s="60"/>
      <c r="N21" s="60"/>
      <c r="P21" s="18"/>
      <c r="Q21" s="18"/>
      <c r="R21" s="23"/>
      <c r="S21" s="63"/>
      <c r="T21" s="63"/>
      <c r="U21" s="63"/>
      <c r="V21" s="30"/>
    </row>
    <row r="22" spans="1:22" ht="36" customHeight="1" thickBot="1">
      <c r="A22" s="40" t="str">
        <f>IF(ISBLANK('Control Entry'!D46),"",'Control Entry'!D46)</f>
        <v/>
      </c>
      <c r="B22" s="41" t="str">
        <f>'Control Entry'!N46</f>
        <v/>
      </c>
      <c r="C22" s="41" t="str">
        <f>'Control Entry'!O46</f>
        <v/>
      </c>
      <c r="D22" s="42" t="str">
        <f>IF(ISBLANK('Control Entry'!E46),"",'Control Entry'!E46)</f>
        <v/>
      </c>
      <c r="E22" s="34" t="str">
        <f>IF(ISBLANK('Control Entry'!G46),"",'Control Entry'!G46)</f>
        <v/>
      </c>
      <c r="F22" s="108" t="str">
        <f>IF(ISBLANK('Control Entry'!J46),"",'Control Entry'!J46)</f>
        <v/>
      </c>
      <c r="G22" s="109"/>
      <c r="H22" s="29" t="s">
        <v>29</v>
      </c>
      <c r="J22" s="90" t="s">
        <v>45</v>
      </c>
      <c r="K22" s="90"/>
      <c r="L22" s="114"/>
      <c r="M22" s="114"/>
      <c r="N22" s="114"/>
      <c r="O22" s="19"/>
      <c r="P22" s="18" t="s">
        <v>1</v>
      </c>
      <c r="Q22" s="18"/>
      <c r="R22" s="19"/>
      <c r="S22" s="125"/>
      <c r="T22" s="125"/>
      <c r="U22" s="125"/>
    </row>
    <row r="23" spans="1:22" ht="36" customHeight="1" thickBot="1">
      <c r="A23" s="35"/>
      <c r="B23" s="36" t="str">
        <f>'Control Entry'!N46</f>
        <v/>
      </c>
      <c r="C23" s="36" t="str">
        <f>'Control Entry'!O46</f>
        <v/>
      </c>
      <c r="D23" s="37"/>
      <c r="E23" s="38" t="str">
        <f>IF(ISBLANK('Control Entry'!H46),"",'Control Entry'!H46)</f>
        <v/>
      </c>
      <c r="F23" s="113" t="str">
        <f>IF(ISBLANK('Control Entry'!K46),"",'Control Entry'!K46)</f>
        <v/>
      </c>
      <c r="G23" s="112"/>
      <c r="H23" s="29" t="s">
        <v>29</v>
      </c>
      <c r="J23" s="90"/>
      <c r="K23" s="90"/>
      <c r="L23" s="60"/>
      <c r="M23" s="60"/>
      <c r="N23" s="60"/>
      <c r="O23" s="23"/>
      <c r="P23" s="59"/>
      <c r="Q23" s="59"/>
      <c r="R23" s="23"/>
      <c r="S23" s="23"/>
      <c r="T23" s="23"/>
      <c r="U23" s="23"/>
      <c r="V23" s="30"/>
    </row>
    <row r="24" spans="1:22" ht="36" customHeight="1" thickBot="1">
      <c r="A24" s="31"/>
      <c r="B24" s="32" t="str">
        <f>'Control Entry'!N47</f>
        <v/>
      </c>
      <c r="C24" s="32" t="str">
        <f>'Control Entry'!O47</f>
        <v/>
      </c>
      <c r="D24" s="39"/>
      <c r="E24" s="34" t="str">
        <f>IF(ISBLANK('Control Entry'!F47),"",'Control Entry'!F47)</f>
        <v/>
      </c>
      <c r="F24" s="108" t="str">
        <f>IF(ISBLANK('Control Entry'!I34),"",'Control Entry'!I34)</f>
        <v/>
      </c>
      <c r="G24" s="109"/>
      <c r="H24" s="29" t="s">
        <v>29</v>
      </c>
      <c r="J24" s="125"/>
      <c r="K24" s="125"/>
      <c r="L24" s="125"/>
      <c r="M24" s="125"/>
      <c r="N24" s="125"/>
      <c r="O24" s="19"/>
      <c r="P24" s="18" t="s">
        <v>2</v>
      </c>
      <c r="Q24" s="18"/>
      <c r="R24" s="19"/>
      <c r="S24" s="125"/>
      <c r="T24" s="125"/>
      <c r="U24" s="125"/>
    </row>
    <row r="25" spans="1:22" ht="36" customHeight="1">
      <c r="A25" s="40" t="str">
        <f>IF(ISBLANK('Control Entry'!D47),"",'Control Entry'!D47)</f>
        <v/>
      </c>
      <c r="B25" s="41" t="str">
        <f>'Control Entry'!N47</f>
        <v/>
      </c>
      <c r="C25" s="41" t="str">
        <f>'Control Entry'!O47</f>
        <v/>
      </c>
      <c r="D25" s="42" t="str">
        <f>IF(ISBLANK('Control Entry'!E47),"",'Control Entry'!E47)</f>
        <v/>
      </c>
      <c r="E25" s="34" t="str">
        <f>IF(ISBLANK('Control Entry'!G47),"",'Control Entry'!G47)</f>
        <v/>
      </c>
      <c r="F25" s="108" t="str">
        <f>IF(ISBLANK('Control Entry'!J34),"",'Control Entry'!J34)</f>
        <v/>
      </c>
      <c r="G25" s="109"/>
      <c r="H25" s="29" t="s">
        <v>29</v>
      </c>
      <c r="J25" s="139" t="s">
        <v>17</v>
      </c>
      <c r="K25" s="139"/>
      <c r="L25" s="139"/>
      <c r="M25" s="139"/>
      <c r="N25" s="139"/>
      <c r="O25" s="53"/>
      <c r="P25" s="136"/>
      <c r="Q25" s="136"/>
      <c r="R25" s="53"/>
      <c r="S25" s="137"/>
      <c r="T25" s="137"/>
      <c r="U25" s="137"/>
      <c r="V25" s="137"/>
    </row>
    <row r="26" spans="1:22" ht="36" customHeight="1" thickBot="1">
      <c r="A26" s="35"/>
      <c r="B26" s="36" t="str">
        <f>'Control Entry'!N47</f>
        <v/>
      </c>
      <c r="C26" s="36" t="str">
        <f>'Control Entry'!O47</f>
        <v/>
      </c>
      <c r="D26" s="37"/>
      <c r="E26" s="38" t="str">
        <f>IF(ISBLANK('Control Entry'!H47),"",'Control Entry'!H47)</f>
        <v/>
      </c>
      <c r="F26" s="113" t="str">
        <f>IF(ISBLANK('Control Entry'!K34),"",'Control Entry'!K34)</f>
        <v/>
      </c>
      <c r="G26" s="112"/>
      <c r="H26" s="29" t="s">
        <v>29</v>
      </c>
    </row>
    <row r="27" spans="1:22" ht="36" customHeight="1">
      <c r="A27" s="31"/>
      <c r="B27" s="32" t="str">
        <f>'Control Entry'!N48</f>
        <v/>
      </c>
      <c r="C27" s="32" t="str">
        <f>'Control Entry'!O48</f>
        <v/>
      </c>
      <c r="D27" s="39"/>
      <c r="E27" s="34" t="str">
        <f>IF(ISBLANK('Control Entry'!F48),"",'Control Entry'!F48)</f>
        <v/>
      </c>
      <c r="F27" s="108" t="str">
        <f>IF(ISBLANK('Control Entry'!I48),"",'Control Entry'!I48)</f>
        <v/>
      </c>
      <c r="G27" s="109"/>
      <c r="H27" s="29" t="s">
        <v>29</v>
      </c>
      <c r="K27" s="135" t="s">
        <v>56</v>
      </c>
      <c r="L27" s="136"/>
      <c r="M27" s="52" t="s">
        <v>57</v>
      </c>
      <c r="N27" s="136" t="s">
        <v>49</v>
      </c>
      <c r="O27" s="136"/>
      <c r="P27" s="136" t="s">
        <v>50</v>
      </c>
      <c r="Q27" s="136"/>
      <c r="R27" s="53" t="s">
        <v>51</v>
      </c>
      <c r="S27" s="137" t="s">
        <v>52</v>
      </c>
      <c r="T27" s="137"/>
      <c r="U27" s="137" t="s">
        <v>53</v>
      </c>
      <c r="V27" s="137"/>
    </row>
    <row r="28" spans="1:22" ht="36" customHeight="1">
      <c r="A28" s="40" t="str">
        <f>IF(ISBLANK('Control Entry'!D48),"",'Control Entry'!D48)</f>
        <v/>
      </c>
      <c r="B28" s="41" t="str">
        <f>'Control Entry'!N48</f>
        <v/>
      </c>
      <c r="C28" s="41" t="str">
        <f>'Control Entry'!O48</f>
        <v/>
      </c>
      <c r="D28" s="42" t="str">
        <f>IF(ISBLANK('Control Entry'!E48),"",'Control Entry'!E48)</f>
        <v/>
      </c>
      <c r="E28" s="34" t="str">
        <f>IF(ISBLANK('Control Entry'!G48),"",'Control Entry'!G48)</f>
        <v/>
      </c>
      <c r="F28" s="108" t="str">
        <f>IF(ISBLANK('Control Entry'!J48),"",'Control Entry'!J48)</f>
        <v/>
      </c>
      <c r="G28" s="109"/>
      <c r="H28" s="29" t="s">
        <v>29</v>
      </c>
    </row>
    <row r="29" spans="1:22" ht="36" customHeight="1" thickBot="1">
      <c r="A29" s="35"/>
      <c r="B29" s="36" t="str">
        <f>'Control Entry'!N48</f>
        <v/>
      </c>
      <c r="C29" s="36" t="str">
        <f>'Control Entry'!O48</f>
        <v/>
      </c>
      <c r="D29" s="37"/>
      <c r="E29" s="38" t="str">
        <f>IF(ISBLANK('Control Entry'!H48),"",'Control Entry'!H48)</f>
        <v/>
      </c>
      <c r="F29" s="113" t="str">
        <f>IF(ISBLANK('Control Entry'!K48),"",'Control Entry'!K48)</f>
        <v/>
      </c>
      <c r="G29" s="112"/>
      <c r="H29" s="29" t="s">
        <v>29</v>
      </c>
      <c r="M29" s="145" t="s">
        <v>42</v>
      </c>
      <c r="N29" s="145"/>
      <c r="O29" s="145"/>
      <c r="P29" s="145"/>
      <c r="Q29" s="145"/>
      <c r="R29" s="145"/>
      <c r="S29" s="145"/>
      <c r="T29" s="145"/>
      <c r="U29" s="57"/>
    </row>
    <row r="30" spans="1:22" ht="36" customHeight="1">
      <c r="A30" s="31"/>
      <c r="B30" s="32" t="str">
        <f>'Control Entry'!N49</f>
        <v/>
      </c>
      <c r="C30" s="32" t="str">
        <f>'Control Entry'!O49</f>
        <v/>
      </c>
      <c r="D30" s="39"/>
      <c r="E30" s="34" t="str">
        <f>IF(ISBLANK('Control Entry'!F49),"",'Control Entry'!F49)</f>
        <v/>
      </c>
      <c r="F30" s="108" t="str">
        <f>IF(ISBLANK('Control Entry'!I49),"",'Control Entry'!I49)</f>
        <v/>
      </c>
      <c r="G30" s="109"/>
      <c r="H30" s="29" t="s">
        <v>29</v>
      </c>
      <c r="M30" s="16"/>
      <c r="N30" s="21"/>
      <c r="O30" s="21"/>
      <c r="P30" s="22"/>
      <c r="Q30" s="21"/>
      <c r="R30" s="21"/>
      <c r="S30" s="21"/>
      <c r="T30" s="22"/>
      <c r="U30" s="23"/>
    </row>
    <row r="31" spans="1:22" ht="36" customHeight="1">
      <c r="A31" s="40" t="str">
        <f>IF(ISBLANK('Control Entry'!D49),"",'Control Entry'!D49)</f>
        <v/>
      </c>
      <c r="B31" s="41" t="str">
        <f>'Control Entry'!N49</f>
        <v/>
      </c>
      <c r="C31" s="41" t="str">
        <f>'Control Entry'!O49</f>
        <v/>
      </c>
      <c r="D31" s="42" t="str">
        <f>IF(ISBLANK('Control Entry'!E49),"",'Control Entry'!E49)</f>
        <v/>
      </c>
      <c r="E31" s="34" t="str">
        <f>IF(ISBLANK('Control Entry'!G49),"",'Control Entry'!G49)</f>
        <v/>
      </c>
      <c r="F31" s="108" t="str">
        <f>IF(ISBLANK('Control Entry'!J49),"",'Control Entry'!J49)</f>
        <v/>
      </c>
      <c r="G31" s="109"/>
      <c r="H31" s="29" t="s">
        <v>29</v>
      </c>
      <c r="M31" s="17"/>
      <c r="N31" s="23"/>
      <c r="O31" s="23"/>
      <c r="P31" s="24"/>
      <c r="Q31" s="23"/>
      <c r="R31" s="23"/>
      <c r="S31" s="23"/>
      <c r="T31" s="24"/>
      <c r="U31" s="23"/>
    </row>
    <row r="32" spans="1:22" ht="36" customHeight="1" thickBot="1">
      <c r="A32" s="35"/>
      <c r="B32" s="36" t="str">
        <f>'Control Entry'!N49</f>
        <v/>
      </c>
      <c r="C32" s="36" t="str">
        <f>'Control Entry'!O49</f>
        <v/>
      </c>
      <c r="D32" s="37"/>
      <c r="E32" s="38" t="str">
        <f>IF(ISBLANK('Control Entry'!H49),"",'Control Entry'!H49)</f>
        <v/>
      </c>
      <c r="F32" s="113" t="str">
        <f>IF(ISBLANK('Control Entry'!K49),"",'Control Entry'!K49)</f>
        <v/>
      </c>
      <c r="G32" s="112"/>
      <c r="H32" s="29" t="s">
        <v>29</v>
      </c>
      <c r="M32" s="55"/>
      <c r="N32" s="20"/>
      <c r="O32" s="20"/>
      <c r="P32" s="25"/>
      <c r="Q32" s="20"/>
      <c r="R32" s="20"/>
      <c r="S32" s="20"/>
      <c r="T32" s="25"/>
      <c r="U32" s="23"/>
    </row>
    <row r="33" spans="1:22" ht="36" customHeight="1">
      <c r="A33" s="134" t="s">
        <v>43</v>
      </c>
      <c r="B33" s="134"/>
      <c r="C33" s="134"/>
      <c r="D33" s="134"/>
      <c r="E33" s="134"/>
      <c r="F33" s="134"/>
      <c r="G33" s="134"/>
      <c r="H33" s="43"/>
      <c r="I33" s="43"/>
      <c r="M33" s="146" t="s">
        <v>82</v>
      </c>
      <c r="N33" s="147"/>
      <c r="O33" s="147"/>
      <c r="P33" s="147"/>
      <c r="Q33" s="148">
        <f>'Control Entry'!B3</f>
        <v>44674</v>
      </c>
      <c r="R33" s="149"/>
      <c r="S33" s="149"/>
      <c r="T33" s="149"/>
      <c r="U33" s="103"/>
      <c r="V33" s="60"/>
    </row>
    <row r="34" spans="1:22" ht="36" customHeight="1">
      <c r="A34"/>
      <c r="O34" s="49"/>
      <c r="P34" s="49"/>
      <c r="Q34" s="49"/>
      <c r="R34" s="48"/>
    </row>
    <row r="35" spans="1:22" ht="36" customHeight="1">
      <c r="A35"/>
      <c r="N35" s="145"/>
      <c r="O35" s="145"/>
      <c r="P35" s="145"/>
      <c r="Q35" s="145"/>
      <c r="R35" s="145"/>
      <c r="S35" s="145"/>
      <c r="T35" s="145"/>
      <c r="U35" s="145"/>
    </row>
    <row r="36" spans="1:22" ht="36" customHeight="1">
      <c r="A36"/>
      <c r="N36" s="30"/>
      <c r="O36" s="23"/>
      <c r="P36" s="23"/>
      <c r="Q36" s="23"/>
      <c r="R36" s="23"/>
      <c r="S36" s="23"/>
      <c r="T36" s="23"/>
      <c r="U36" s="23"/>
    </row>
    <row r="37" spans="1:22" ht="36" customHeight="1">
      <c r="A37"/>
      <c r="N37" s="30"/>
      <c r="O37" s="23"/>
      <c r="P37" s="23"/>
      <c r="Q37" s="23"/>
      <c r="R37" s="23"/>
      <c r="S37" s="23"/>
      <c r="T37" s="23"/>
      <c r="U37" s="23"/>
    </row>
    <row r="38" spans="1:22" ht="36" customHeight="1">
      <c r="A38"/>
      <c r="N38" s="58"/>
      <c r="O38" s="23"/>
      <c r="P38" s="23"/>
      <c r="Q38" s="23"/>
      <c r="R38" s="23"/>
      <c r="S38" s="23"/>
      <c r="T38" s="23"/>
      <c r="U38" s="23"/>
    </row>
    <row r="39" spans="1:22" ht="36" customHeight="1">
      <c r="A39"/>
    </row>
    <row r="40" spans="1:22" ht="36" customHeight="1">
      <c r="A40"/>
    </row>
  </sheetData>
  <sheetProtection algorithmName="SHA-512" hashValue="vS8Nfr8VGpVlu2phSomYuDllIMXKtgeLOce5QrncbaEzTT7A9k+2ah4UXLrWyIJaepcEXrAZLNH1gMQQx1XN4A==" saltValue="aFKfIqubodztTPz17uvu/Q==" spinCount="100000" sheet="1" objects="1" scenarios="1" formatCells="0" selectLockedCells="1"/>
  <mergeCells count="38">
    <mergeCell ref="A1:G1"/>
    <mergeCell ref="K2:U2"/>
    <mergeCell ref="M4:T4"/>
    <mergeCell ref="N5:O5"/>
    <mergeCell ref="R5:U5"/>
    <mergeCell ref="O3:R3"/>
    <mergeCell ref="L6:U6"/>
    <mergeCell ref="L8:Q8"/>
    <mergeCell ref="T8:U8"/>
    <mergeCell ref="L15:U15"/>
    <mergeCell ref="S20:U20"/>
    <mergeCell ref="L9:U9"/>
    <mergeCell ref="L10:U10"/>
    <mergeCell ref="L11:N11"/>
    <mergeCell ref="M33:P33"/>
    <mergeCell ref="Q33:T33"/>
    <mergeCell ref="L20:N20"/>
    <mergeCell ref="A33:G33"/>
    <mergeCell ref="N35:U35"/>
    <mergeCell ref="U27:V27"/>
    <mergeCell ref="M29:T29"/>
    <mergeCell ref="K27:L27"/>
    <mergeCell ref="N27:O27"/>
    <mergeCell ref="P27:Q27"/>
    <mergeCell ref="S27:T27"/>
    <mergeCell ref="J25:N25"/>
    <mergeCell ref="P25:Q25"/>
    <mergeCell ref="S25:T25"/>
    <mergeCell ref="U25:V25"/>
    <mergeCell ref="L16:U16"/>
    <mergeCell ref="S22:U22"/>
    <mergeCell ref="J24:N24"/>
    <mergeCell ref="S24:U24"/>
    <mergeCell ref="S11:U11"/>
    <mergeCell ref="L12:N12"/>
    <mergeCell ref="S12:U12"/>
    <mergeCell ref="L13:N13"/>
    <mergeCell ref="R13:U13"/>
  </mergeCells>
  <printOptions horizontalCentered="1" verticalCentered="1"/>
  <pageMargins left="0.2" right="0.2" top="0.2" bottom="0.2" header="0.51" footer="0.51"/>
  <pageSetup scale="44" orientation="landscape" horizontalDpi="4294967292" verticalDpi="4294967292"/>
  <ignoredErrors>
    <ignoredError sqref="L20" unlocked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29</vt:i4>
      </vt:variant>
    </vt:vector>
  </HeadingPairs>
  <TitlesOfParts>
    <vt:vector size="33" baseType="lpstr">
      <vt:lpstr>Control Entry</vt:lpstr>
      <vt:lpstr>Control Card #1</vt:lpstr>
      <vt:lpstr>Control Card #2</vt:lpstr>
      <vt:lpstr>Control Card #3</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#1'!Print_Titles</vt:lpstr>
      <vt:lpstr>'Control Card #2'!Print_Titles</vt:lpstr>
      <vt:lpstr>'Control Card #3'!Print_Titles</vt:lpstr>
      <vt:lpstr>Start_date</vt:lpstr>
      <vt:lpstr>Start_time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Bob Koen</cp:lastModifiedBy>
  <cp:lastPrinted>2022-04-22T18:20:17Z</cp:lastPrinted>
  <dcterms:created xsi:type="dcterms:W3CDTF">1997-11-12T04:43:39Z</dcterms:created>
  <dcterms:modified xsi:type="dcterms:W3CDTF">2023-05-31T03:25:18Z</dcterms:modified>
</cp:coreProperties>
</file>