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9" activeTab="3"/>
  </bookViews>
  <sheets>
    <sheet name="Control Entry" sheetId="1" r:id="rId1"/>
    <sheet name="Control Sheet" sheetId="2" r:id="rId2"/>
    <sheet name="Riders" sheetId="3" r:id="rId3"/>
    <sheet name="VI0402A 0000506" sheetId="4" r:id="rId4"/>
    <sheet name="Web sheet" sheetId="5" r:id="rId5"/>
    <sheet name="Web results" sheetId="6" r:id="rId6"/>
  </sheets>
  <externalReferences>
    <externalReference r:id="rId9"/>
  </externalReferences>
  <definedNames>
    <definedName name="Address_1">'Riders'!$E$2</definedName>
    <definedName name="Address_2">'Riders'!$F$2</definedName>
    <definedName name="Address_3_6">'[1]Riders'!#REF!</definedName>
    <definedName name="Address_4_6">'[1]Riders'!#REF!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'Riders'!$G$2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'Riders'!$I$2</definedName>
    <definedName name="Distance">'Control Entry'!$D$10:$D$29</definedName>
    <definedName name="email">'Riders'!$N$2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ax">'Riders'!$M$2</definedName>
    <definedName name="First_Name">'Riders'!$C$2</definedName>
    <definedName name="Home_telephone">'Riders'!$K$2</definedName>
    <definedName name="Initial">'Riders'!$D$2</definedName>
    <definedName name="Locale">'Control Entry'!$E$10:$E$29</definedName>
    <definedName name="Max_time">'Control Entry'!$B$2</definedName>
    <definedName name="Open">'Control Entry'!$I$10:$I$29</definedName>
    <definedName name="Open_time">'Control Entry'!$K$10:$K$29</definedName>
    <definedName name="Postal_Code">'Riders'!$J$2</definedName>
    <definedName name="Province_State">'Riders'!$H$2</definedName>
    <definedName name="Start_date">'Control Entry'!$B$5</definedName>
    <definedName name="Start_time">'Control Entry'!$B$6</definedName>
    <definedName name="surname">'Riders'!$B$2</definedName>
    <definedName name="Work_telephone">'Riders'!$L$2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8"/>
            <color indexed="8"/>
            <rFont val="Tahoma"/>
            <family val="2"/>
          </rPr>
          <t>Partial result of closing time calculation to avoid limitation of only 7 nested functions</t>
        </r>
      </text>
    </comment>
  </commentList>
</comments>
</file>

<file path=xl/sharedStrings.xml><?xml version="1.0" encoding="utf-8"?>
<sst xmlns="http://schemas.openxmlformats.org/spreadsheetml/2006/main" count="304" uniqueCount="148">
  <si>
    <t>Brevet Length:</t>
  </si>
  <si>
    <t>Maximum Time:</t>
  </si>
  <si>
    <t>Brevet Description:</t>
  </si>
  <si>
    <t>Nanaimo -- Tofino -- Nanaimo</t>
  </si>
  <si>
    <t>Brevet Number:</t>
  </si>
  <si>
    <t>VI0402A</t>
  </si>
  <si>
    <t>Start Date:</t>
  </si>
  <si>
    <t>Start Time:</t>
  </si>
  <si>
    <t>Control</t>
  </si>
  <si>
    <t>Distance</t>
  </si>
  <si>
    <t>Locale</t>
  </si>
  <si>
    <t>Establishment 1</t>
  </si>
  <si>
    <t>Establishment 2</t>
  </si>
  <si>
    <t>Establishment 3</t>
  </si>
  <si>
    <t>Open</t>
  </si>
  <si>
    <t>Close</t>
  </si>
  <si>
    <t>Open time</t>
  </si>
  <si>
    <t>Close time</t>
  </si>
  <si>
    <t>Control 1</t>
  </si>
  <si>
    <t>NANAIMO</t>
  </si>
  <si>
    <t>7 -- 11</t>
  </si>
  <si>
    <t xml:space="preserve">Highway #1 @ </t>
  </si>
  <si>
    <t>Townsite</t>
  </si>
  <si>
    <t>Control 2</t>
  </si>
  <si>
    <t>PORT ALBERNI</t>
  </si>
  <si>
    <t>Highway #4 @</t>
  </si>
  <si>
    <t>Gertrude</t>
  </si>
  <si>
    <t>Control 3</t>
  </si>
  <si>
    <t>TOFINO</t>
  </si>
  <si>
    <t>Your choice</t>
  </si>
  <si>
    <t>1st</t>
  </si>
  <si>
    <t>Control 4</t>
  </si>
  <si>
    <t>Control 5</t>
  </si>
  <si>
    <t>Control 6</t>
  </si>
  <si>
    <t>Control 7</t>
  </si>
  <si>
    <t>Control 8</t>
  </si>
  <si>
    <t>Control 9</t>
  </si>
  <si>
    <t>SECRET</t>
  </si>
  <si>
    <t>Control 10</t>
  </si>
  <si>
    <t>Control 11</t>
  </si>
  <si>
    <t>Control 12</t>
  </si>
  <si>
    <t>Control 13</t>
  </si>
  <si>
    <t>Control 14</t>
  </si>
  <si>
    <t>Control 15</t>
  </si>
  <si>
    <t>Control 16</t>
  </si>
  <si>
    <t>Control 17</t>
  </si>
  <si>
    <t>Control 18</t>
  </si>
  <si>
    <t>Control 19</t>
  </si>
  <si>
    <t>Control 20</t>
  </si>
  <si>
    <t>We thank you for verifying the passage of the Randonneur</t>
  </si>
  <si>
    <t>|</t>
  </si>
  <si>
    <t>DIST (km)</t>
  </si>
  <si>
    <t>Establishment</t>
  </si>
  <si>
    <t>Signature</t>
  </si>
  <si>
    <t>Time of Passage</t>
  </si>
  <si>
    <t>Control Card</t>
  </si>
  <si>
    <t>Name</t>
  </si>
  <si>
    <t>Address</t>
  </si>
  <si>
    <t>City</t>
  </si>
  <si>
    <t>Province/State</t>
  </si>
  <si>
    <t>Country</t>
  </si>
  <si>
    <t>Postal Code</t>
  </si>
  <si>
    <t>Telephone</t>
  </si>
  <si>
    <t>email</t>
  </si>
  <si>
    <t>Under the sanction of Cycling BC</t>
  </si>
  <si>
    <t>Founding member of LES RANDONNEURS MONDIAUX (1983)</t>
  </si>
  <si>
    <t>Each Randonneur must carry a Control Card, have it signed at the control between the opening and closing times, and return it to the organizer.</t>
  </si>
  <si>
    <t>Date</t>
  </si>
  <si>
    <t>Start time</t>
  </si>
  <si>
    <t>Finish time</t>
  </si>
  <si>
    <t>Elapsed time</t>
  </si>
  <si>
    <t>Rider's signature at completion</t>
  </si>
  <si>
    <t>Randonneur Committee Authorization</t>
  </si>
  <si>
    <t>cel (250)246-0238</t>
  </si>
  <si>
    <t>msg(250)245-4751</t>
  </si>
  <si>
    <t>Brevet No.</t>
  </si>
  <si>
    <t>Surname</t>
  </si>
  <si>
    <t>First Name</t>
  </si>
  <si>
    <t>Initial</t>
  </si>
  <si>
    <t>Address 1</t>
  </si>
  <si>
    <t>Address 2</t>
  </si>
  <si>
    <t>Home telephone</t>
  </si>
  <si>
    <t>Work telephone</t>
  </si>
  <si>
    <t>Fax</t>
  </si>
  <si>
    <t>Finish Time</t>
  </si>
  <si>
    <t>Penalties</t>
  </si>
  <si>
    <t>Rand Memb</t>
  </si>
  <si>
    <t>Pin</t>
  </si>
  <si>
    <t>r - 1/2 hr - route violation</t>
  </si>
  <si>
    <t>l - 1/2 hr - no lights</t>
  </si>
  <si>
    <t>f - 1/2 hr - no fenders</t>
  </si>
  <si>
    <t>e - rode early</t>
  </si>
  <si>
    <t>d - rode late</t>
  </si>
  <si>
    <t>At  km</t>
  </si>
  <si>
    <t>Turn</t>
  </si>
  <si>
    <t>onto  ROUTE</t>
  </si>
  <si>
    <t xml:space="preserve"> then   Go km</t>
  </si>
  <si>
    <t>START--7-11, Nanaimo</t>
  </si>
  <si>
    <t>L</t>
  </si>
  <si>
    <t>HWY #4 (to Tofino)</t>
  </si>
  <si>
    <t>Terminal @ Townsite</t>
  </si>
  <si>
    <t>R</t>
  </si>
  <si>
    <t>RIVER (Hwy #4)</t>
  </si>
  <si>
    <t>SO</t>
  </si>
  <si>
    <t xml:space="preserve">HWY #4 </t>
  </si>
  <si>
    <t>TERMINAL (Hwy #19A north)</t>
  </si>
  <si>
    <t>HWY #4 (Pacific Rim Hwy)</t>
  </si>
  <si>
    <t>N. ISLAND HWY (Hwy #19A)</t>
  </si>
  <si>
    <t>CAMPBELL (enter Tofino)</t>
  </si>
  <si>
    <t>HWY #19</t>
  </si>
  <si>
    <t>Exit to HWY #4A (to Coombs)</t>
  </si>
  <si>
    <t>CONTROL #2--Your choice, Tofino</t>
  </si>
  <si>
    <t>ALBERNI HWY (Hwy #4A)</t>
  </si>
  <si>
    <t>Campbell (Hwy #4) @ 1st</t>
  </si>
  <si>
    <t>ALBERNI HWY (Hwy #4)(Memorial)</t>
  </si>
  <si>
    <t xml:space="preserve">(Services at corner, or one block left </t>
  </si>
  <si>
    <t>CONTROL #1--7-11, Port Alberni</t>
  </si>
  <si>
    <t>to bakery.  Left again down alley to</t>
  </si>
  <si>
    <t>Hwy #4 @ Gertrude</t>
  </si>
  <si>
    <t>Alley Way Café)</t>
  </si>
  <si>
    <t>Caution:  No services until Tofino</t>
  </si>
  <si>
    <t>U</t>
  </si>
  <si>
    <t>U-turn back to Port Alberni</t>
  </si>
  <si>
    <t>HWY #4</t>
  </si>
  <si>
    <t>HWY #4 (to Port Alberni)</t>
  </si>
  <si>
    <t>HWY #4 (to Nanaimo)</t>
  </si>
  <si>
    <t>CONTROL #3--7-11, Port Alberni</t>
  </si>
  <si>
    <t>ALBERNI HWY (Hwy #4A)(Coombs)</t>
  </si>
  <si>
    <t>EXIT to HWY #19 (to Nanaimo)</t>
  </si>
  <si>
    <t>EXIT 29 (HWY #19A)</t>
  </si>
  <si>
    <t>cross Hwy #19 (Nanaimo Pkwy)</t>
  </si>
  <si>
    <t>TERMINAL(Hwy #19A)(@St. George)</t>
  </si>
  <si>
    <t>FINISH--7-11, Nanaimo</t>
  </si>
  <si>
    <t>!!! CONGRATULATIONS !!!</t>
  </si>
  <si>
    <t>Go to 100 km point</t>
  </si>
  <si>
    <t>Go to 200 km point</t>
  </si>
  <si>
    <t>Go to 300 km point</t>
  </si>
  <si>
    <t>Go to Control #1</t>
  </si>
  <si>
    <t>Go to Control #2</t>
  </si>
  <si>
    <t>Go to Control #3</t>
  </si>
  <si>
    <t>Go to Finish</t>
  </si>
  <si>
    <t>Return to start</t>
  </si>
  <si>
    <t>RIDER</t>
  </si>
  <si>
    <t>TIME</t>
  </si>
  <si>
    <t>Note:  1.  distance in time column represents incomplete ride.</t>
  </si>
  <si>
    <t>………2.  time is in hours and minutes.</t>
  </si>
  <si>
    <t>………3.  Penalties included:  l - 1/2 hr - no lights; f - 1/2 hr - no fenders; r - 1/2 hr - route violation</t>
  </si>
  <si>
    <t>………4.  Other codes:  e - rode early; d - rode late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</si>
</sst>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GENERAL"/>
    <numFmt numFmtId="166" formatCode="@"/>
    <numFmt numFmtId="167" formatCode="D\-MMM\-YY"/>
    <numFmt numFmtId="168" formatCode="H:MM"/>
    <numFmt numFmtId="169" formatCode="0.0"/>
    <numFmt numFmtId="170" formatCode="DD/MMM/YY\ HH:MM\ AM/PM"/>
    <numFmt numFmtId="171" formatCode="DDDD"/>
    <numFmt numFmtId="172" formatCode="H:MM\ AM/PM"/>
    <numFmt numFmtId="173" formatCode="D/MMM/YY"/>
    <numFmt numFmtId="174" formatCode="[&lt;=9999999]###\-####;\(###&quot;) &quot;###\-####"/>
    <numFmt numFmtId="175" formatCode="MMMM\ D&quot;, &quot;YYYY"/>
  </numFmts>
  <fonts count="17">
    <font>
      <sz val="10"/>
      <name val="Arial"/>
      <family val="2"/>
    </font>
    <font>
      <sz val="8"/>
      <color indexed="8"/>
      <name val="Tahoma"/>
      <family val="2"/>
    </font>
    <font>
      <i/>
      <sz val="16"/>
      <name val="Arial"/>
      <family val="2"/>
    </font>
    <font>
      <sz val="14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3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7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 applyProtection="1">
      <alignment/>
      <protection hidden="1"/>
    </xf>
    <xf numFmtId="164" fontId="0" fillId="2" borderId="1" xfId="0" applyFont="1" applyFill="1" applyBorder="1" applyAlignment="1">
      <alignment horizontal="right"/>
    </xf>
    <xf numFmtId="164" fontId="0" fillId="0" borderId="2" xfId="0" applyBorder="1" applyAlignment="1" applyProtection="1">
      <alignment/>
      <protection locked="0"/>
    </xf>
    <xf numFmtId="164" fontId="0" fillId="0" borderId="0" xfId="0" applyAlignment="1">
      <alignment/>
    </xf>
    <xf numFmtId="164" fontId="0" fillId="2" borderId="3" xfId="0" applyFont="1" applyFill="1" applyBorder="1" applyAlignment="1">
      <alignment horizontal="right"/>
    </xf>
    <xf numFmtId="164" fontId="0" fillId="2" borderId="4" xfId="0" applyFill="1" applyBorder="1" applyAlignment="1">
      <alignment/>
    </xf>
    <xf numFmtId="164" fontId="0" fillId="0" borderId="5" xfId="0" applyFont="1" applyBorder="1" applyAlignment="1" applyProtection="1">
      <alignment horizontal="center"/>
      <protection locked="0"/>
    </xf>
    <xf numFmtId="166" fontId="0" fillId="0" borderId="4" xfId="0" applyNumberFormat="1" applyFont="1" applyBorder="1" applyAlignment="1" applyProtection="1">
      <alignment/>
      <protection locked="0"/>
    </xf>
    <xf numFmtId="164" fontId="0" fillId="0" borderId="0" xfId="0" applyBorder="1" applyAlignment="1" applyProtection="1">
      <alignment horizontal="center"/>
      <protection hidden="1"/>
    </xf>
    <xf numFmtId="164" fontId="0" fillId="0" borderId="0" xfId="0" applyBorder="1" applyAlignment="1">
      <alignment horizontal="center"/>
    </xf>
    <xf numFmtId="167" fontId="0" fillId="0" borderId="4" xfId="0" applyNumberFormat="1" applyBorder="1" applyAlignment="1" applyProtection="1">
      <alignment/>
      <protection locked="0"/>
    </xf>
    <xf numFmtId="164" fontId="0" fillId="2" borderId="6" xfId="0" applyFont="1" applyFill="1" applyBorder="1" applyAlignment="1">
      <alignment horizontal="right"/>
    </xf>
    <xf numFmtId="168" fontId="0" fillId="0" borderId="7" xfId="0" applyNumberFormat="1" applyBorder="1" applyAlignment="1" applyProtection="1">
      <alignment/>
      <protection locked="0"/>
    </xf>
    <xf numFmtId="164" fontId="0" fillId="2" borderId="5" xfId="0" applyFont="1" applyFill="1" applyBorder="1" applyAlignment="1">
      <alignment horizontal="center"/>
    </xf>
    <xf numFmtId="164" fontId="0" fillId="2" borderId="0" xfId="0" applyFill="1" applyAlignment="1">
      <alignment/>
    </xf>
    <xf numFmtId="164" fontId="0" fillId="2" borderId="8" xfId="0" applyFont="1" applyFill="1" applyBorder="1" applyAlignment="1">
      <alignment/>
    </xf>
    <xf numFmtId="164" fontId="0" fillId="2" borderId="9" xfId="0" applyFont="1" applyFill="1" applyBorder="1" applyAlignment="1">
      <alignment/>
    </xf>
    <xf numFmtId="164" fontId="0" fillId="2" borderId="10" xfId="0" applyFont="1" applyFill="1" applyBorder="1" applyAlignment="1">
      <alignment/>
    </xf>
    <xf numFmtId="169" fontId="0" fillId="0" borderId="11" xfId="0" applyNumberFormat="1" applyBorder="1" applyAlignment="1" applyProtection="1">
      <alignment/>
      <protection locked="0"/>
    </xf>
    <xf numFmtId="164" fontId="0" fillId="0" borderId="12" xfId="0" applyFont="1" applyBorder="1" applyAlignment="1" applyProtection="1">
      <alignment/>
      <protection locked="0"/>
    </xf>
    <xf numFmtId="166" fontId="0" fillId="0" borderId="12" xfId="0" applyNumberFormat="1" applyFont="1" applyBorder="1" applyAlignment="1" applyProtection="1">
      <alignment horizontal="center"/>
      <protection locked="0"/>
    </xf>
    <xf numFmtId="166" fontId="0" fillId="0" borderId="4" xfId="0" applyNumberFormat="1" applyFont="1" applyBorder="1" applyAlignment="1" applyProtection="1">
      <alignment horizontal="center"/>
      <protection locked="0"/>
    </xf>
    <xf numFmtId="170" fontId="0" fillId="0" borderId="0" xfId="0" applyNumberFormat="1" applyBorder="1" applyAlignment="1">
      <alignment/>
    </xf>
    <xf numFmtId="170" fontId="0" fillId="0" borderId="0" xfId="0" applyNumberFormat="1" applyBorder="1" applyAlignment="1">
      <alignment horizontal="center" vertical="center" wrapText="1"/>
    </xf>
    <xf numFmtId="164" fontId="0" fillId="0" borderId="11" xfId="0" applyBorder="1" applyAlignment="1" applyProtection="1">
      <alignment/>
      <protection locked="0"/>
    </xf>
    <xf numFmtId="169" fontId="0" fillId="0" borderId="13" xfId="0" applyNumberFormat="1" applyBorder="1" applyAlignment="1" applyProtection="1">
      <alignment/>
      <protection locked="0"/>
    </xf>
    <xf numFmtId="164" fontId="0" fillId="0" borderId="14" xfId="0" applyBorder="1" applyAlignment="1" applyProtection="1">
      <alignment/>
      <protection locked="0"/>
    </xf>
    <xf numFmtId="166" fontId="0" fillId="0" borderId="14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164" fontId="0" fillId="0" borderId="15" xfId="0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2" borderId="5" xfId="0" applyFont="1" applyFill="1" applyBorder="1" applyAlignment="1">
      <alignment horizontal="center" wrapText="1"/>
    </xf>
    <xf numFmtId="164" fontId="3" fillId="2" borderId="5" xfId="0" applyFont="1" applyFill="1" applyBorder="1" applyAlignment="1">
      <alignment horizontal="center"/>
    </xf>
    <xf numFmtId="168" fontId="0" fillId="0" borderId="0" xfId="0" applyNumberFormat="1" applyAlignment="1">
      <alignment/>
    </xf>
    <xf numFmtId="169" fontId="4" fillId="0" borderId="15" xfId="0" applyNumberFormat="1" applyFont="1" applyBorder="1" applyAlignment="1">
      <alignment horizontal="center" wrapText="1"/>
    </xf>
    <xf numFmtId="171" fontId="4" fillId="0" borderId="15" xfId="0" applyNumberFormat="1" applyFont="1" applyBorder="1" applyAlignment="1">
      <alignment horizontal="center" vertical="center" wrapText="1"/>
    </xf>
    <xf numFmtId="164" fontId="4" fillId="0" borderId="16" xfId="0" applyFont="1" applyBorder="1" applyAlignment="1">
      <alignment horizontal="center" vertical="center"/>
    </xf>
    <xf numFmtId="164" fontId="5" fillId="0" borderId="15" xfId="0" applyFont="1" applyBorder="1" applyAlignment="1">
      <alignment horizontal="center" vertical="center" wrapText="1"/>
    </xf>
    <xf numFmtId="164" fontId="3" fillId="0" borderId="16" xfId="0" applyFont="1" applyBorder="1" applyAlignment="1">
      <alignment horizontal="center"/>
    </xf>
    <xf numFmtId="164" fontId="3" fillId="0" borderId="15" xfId="0" applyFont="1" applyBorder="1" applyAlignment="1">
      <alignment horizontal="center" wrapText="1"/>
    </xf>
    <xf numFmtId="164" fontId="0" fillId="0" borderId="0" xfId="0" applyAlignment="1">
      <alignment vertical="top" textRotation="90"/>
    </xf>
    <xf numFmtId="169" fontId="6" fillId="0" borderId="15" xfId="0" applyNumberFormat="1" applyFont="1" applyBorder="1" applyAlignment="1">
      <alignment horizontal="center" vertical="center"/>
    </xf>
    <xf numFmtId="172" fontId="6" fillId="0" borderId="15" xfId="0" applyNumberFormat="1" applyFont="1" applyBorder="1" applyAlignment="1">
      <alignment horizontal="center" vertical="center" wrapText="1"/>
    </xf>
    <xf numFmtId="164" fontId="6" fillId="0" borderId="15" xfId="0" applyFont="1" applyBorder="1" applyAlignment="1">
      <alignment horizontal="center" vertical="center" wrapText="1"/>
    </xf>
    <xf numFmtId="169" fontId="4" fillId="0" borderId="6" xfId="0" applyNumberFormat="1" applyFont="1" applyBorder="1" applyAlignment="1">
      <alignment/>
    </xf>
    <xf numFmtId="173" fontId="4" fillId="0" borderId="6" xfId="0" applyNumberFormat="1" applyFont="1" applyBorder="1" applyAlignment="1">
      <alignment horizontal="center" vertical="center" wrapText="1"/>
    </xf>
    <xf numFmtId="164" fontId="4" fillId="0" borderId="17" xfId="0" applyFont="1" applyBorder="1" applyAlignment="1">
      <alignment horizontal="center" vertical="center"/>
    </xf>
    <xf numFmtId="164" fontId="5" fillId="0" borderId="6" xfId="0" applyFont="1" applyBorder="1" applyAlignment="1">
      <alignment horizontal="center" vertical="center" wrapText="1"/>
    </xf>
    <xf numFmtId="164" fontId="3" fillId="0" borderId="7" xfId="0" applyFont="1" applyBorder="1" applyAlignment="1">
      <alignment/>
    </xf>
    <xf numFmtId="164" fontId="3" fillId="0" borderId="6" xfId="0" applyFont="1" applyBorder="1" applyAlignment="1">
      <alignment/>
    </xf>
    <xf numFmtId="164" fontId="4" fillId="0" borderId="15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top" wrapText="1"/>
    </xf>
    <xf numFmtId="164" fontId="2" fillId="0" borderId="0" xfId="0" applyFont="1" applyAlignment="1">
      <alignment horizontal="center" vertical="top" wrapText="1"/>
    </xf>
    <xf numFmtId="164" fontId="8" fillId="0" borderId="0" xfId="0" applyFont="1" applyAlignment="1">
      <alignment/>
    </xf>
    <xf numFmtId="164" fontId="10" fillId="0" borderId="17" xfId="0" applyFont="1" applyBorder="1" applyAlignment="1" applyProtection="1">
      <alignment/>
      <protection/>
    </xf>
    <xf numFmtId="164" fontId="8" fillId="0" borderId="17" xfId="0" applyFont="1" applyBorder="1" applyAlignment="1" applyProtection="1">
      <alignment horizontal="center"/>
      <protection/>
    </xf>
    <xf numFmtId="164" fontId="8" fillId="0" borderId="17" xfId="0" applyFont="1" applyBorder="1" applyAlignment="1" applyProtection="1">
      <alignment horizontal="center"/>
      <protection locked="0"/>
    </xf>
    <xf numFmtId="164" fontId="10" fillId="0" borderId="17" xfId="0" applyFont="1" applyBorder="1" applyAlignment="1" applyProtection="1">
      <alignment/>
      <protection/>
    </xf>
    <xf numFmtId="164" fontId="8" fillId="0" borderId="17" xfId="0" applyFont="1" applyBorder="1" applyAlignment="1" applyProtection="1">
      <alignment/>
      <protection/>
    </xf>
    <xf numFmtId="164" fontId="8" fillId="0" borderId="17" xfId="0" applyFont="1" applyBorder="1" applyAlignment="1" applyProtection="1">
      <alignment/>
      <protection locked="0"/>
    </xf>
    <xf numFmtId="164" fontId="8" fillId="0" borderId="0" xfId="0" applyFont="1" applyAlignment="1" applyProtection="1">
      <alignment/>
      <protection/>
    </xf>
    <xf numFmtId="164" fontId="11" fillId="0" borderId="17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/>
    </xf>
    <xf numFmtId="174" fontId="11" fillId="0" borderId="17" xfId="0" applyNumberFormat="1" applyFont="1" applyBorder="1" applyAlignment="1" applyProtection="1">
      <alignment horizontal="center"/>
      <protection/>
    </xf>
    <xf numFmtId="164" fontId="11" fillId="0" borderId="17" xfId="0" applyFont="1" applyBorder="1" applyAlignment="1" applyProtection="1">
      <alignment/>
      <protection/>
    </xf>
    <xf numFmtId="164" fontId="0" fillId="0" borderId="17" xfId="0" applyBorder="1" applyAlignment="1" applyProtection="1">
      <alignment/>
      <protection/>
    </xf>
    <xf numFmtId="164" fontId="0" fillId="0" borderId="17" xfId="0" applyBorder="1" applyAlignment="1" applyProtection="1">
      <alignment/>
      <protection locked="0"/>
    </xf>
    <xf numFmtId="169" fontId="5" fillId="0" borderId="15" xfId="0" applyNumberFormat="1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wrapText="1"/>
    </xf>
    <xf numFmtId="175" fontId="8" fillId="0" borderId="17" xfId="0" applyNumberFormat="1" applyFont="1" applyBorder="1" applyAlignment="1">
      <alignment horizontal="center"/>
    </xf>
    <xf numFmtId="164" fontId="0" fillId="0" borderId="17" xfId="0" applyBorder="1" applyAlignment="1">
      <alignment/>
    </xf>
    <xf numFmtId="164" fontId="12" fillId="0" borderId="0" xfId="0" applyFont="1" applyBorder="1" applyAlignment="1">
      <alignment horizontal="center" vertical="top"/>
    </xf>
    <xf numFmtId="164" fontId="12" fillId="0" borderId="0" xfId="0" applyFont="1" applyBorder="1" applyAlignment="1" applyProtection="1">
      <alignment horizontal="center" wrapText="1"/>
      <protection/>
    </xf>
    <xf numFmtId="164" fontId="0" fillId="0" borderId="18" xfId="0" applyBorder="1" applyAlignment="1">
      <alignment/>
    </xf>
    <xf numFmtId="164" fontId="0" fillId="0" borderId="19" xfId="0" applyBorder="1" applyAlignment="1" applyProtection="1">
      <alignment/>
      <protection/>
    </xf>
    <xf numFmtId="164" fontId="0" fillId="0" borderId="20" xfId="0" applyBorder="1" applyAlignment="1" applyProtection="1">
      <alignment/>
      <protection/>
    </xf>
    <xf numFmtId="164" fontId="0" fillId="0" borderId="18" xfId="0" applyBorder="1" applyAlignment="1" applyProtection="1">
      <alignment/>
      <protection/>
    </xf>
    <xf numFmtId="164" fontId="12" fillId="0" borderId="0" xfId="0" applyFont="1" applyAlignment="1" applyProtection="1">
      <alignment/>
      <protection/>
    </xf>
    <xf numFmtId="164" fontId="0" fillId="0" borderId="21" xfId="0" applyBorder="1" applyAlignment="1">
      <alignment/>
    </xf>
    <xf numFmtId="164" fontId="0" fillId="0" borderId="0" xfId="0" applyBorder="1" applyAlignment="1" applyProtection="1">
      <alignment/>
      <protection/>
    </xf>
    <xf numFmtId="164" fontId="0" fillId="0" borderId="16" xfId="0" applyBorder="1" applyAlignment="1" applyProtection="1">
      <alignment/>
      <protection/>
    </xf>
    <xf numFmtId="164" fontId="0" fillId="0" borderId="21" xfId="0" applyBorder="1" applyAlignment="1" applyProtection="1">
      <alignment/>
      <protection/>
    </xf>
    <xf numFmtId="164" fontId="12" fillId="0" borderId="0" xfId="0" applyFont="1" applyAlignment="1" applyProtection="1">
      <alignment/>
      <protection/>
    </xf>
    <xf numFmtId="164" fontId="0" fillId="0" borderId="22" xfId="0" applyBorder="1" applyAlignment="1">
      <alignment/>
    </xf>
    <xf numFmtId="164" fontId="0" fillId="0" borderId="7" xfId="0" applyBorder="1" applyAlignment="1" applyProtection="1">
      <alignment/>
      <protection/>
    </xf>
    <xf numFmtId="164" fontId="0" fillId="0" borderId="22" xfId="0" applyBorder="1" applyAlignment="1" applyProtection="1">
      <alignment/>
      <protection/>
    </xf>
    <xf numFmtId="164" fontId="3" fillId="0" borderId="0" xfId="0" applyFont="1" applyAlignment="1">
      <alignment horizontal="center" vertical="center" wrapText="1"/>
    </xf>
    <xf numFmtId="164" fontId="0" fillId="0" borderId="0" xfId="0" applyFont="1" applyAlignment="1">
      <alignment/>
    </xf>
    <xf numFmtId="164" fontId="13" fillId="2" borderId="5" xfId="0" applyFont="1" applyFill="1" applyBorder="1" applyAlignment="1">
      <alignment/>
    </xf>
    <xf numFmtId="164" fontId="13" fillId="2" borderId="5" xfId="0" applyFont="1" applyFill="1" applyBorder="1" applyAlignment="1">
      <alignment wrapText="1"/>
    </xf>
    <xf numFmtId="174" fontId="13" fillId="2" borderId="5" xfId="0" applyNumberFormat="1" applyFont="1" applyFill="1" applyBorder="1" applyAlignment="1">
      <alignment/>
    </xf>
    <xf numFmtId="174" fontId="13" fillId="2" borderId="5" xfId="0" applyNumberFormat="1" applyFont="1" applyFill="1" applyBorder="1" applyAlignment="1">
      <alignment horizontal="center"/>
    </xf>
    <xf numFmtId="164" fontId="13" fillId="2" borderId="5" xfId="0" applyFont="1" applyFill="1" applyBorder="1" applyAlignment="1">
      <alignment horizontal="center"/>
    </xf>
    <xf numFmtId="164" fontId="13" fillId="2" borderId="5" xfId="0" applyFont="1" applyFill="1" applyBorder="1" applyAlignment="1">
      <alignment horizontal="center" wrapText="1"/>
    </xf>
    <xf numFmtId="164" fontId="0" fillId="3" borderId="3" xfId="0" applyFont="1" applyFill="1" applyBorder="1" applyAlignment="1">
      <alignment/>
    </xf>
    <xf numFmtId="174" fontId="0" fillId="3" borderId="3" xfId="0" applyNumberFormat="1" applyFont="1" applyFill="1" applyBorder="1" applyAlignment="1" applyProtection="1">
      <alignment/>
      <protection locked="0"/>
    </xf>
    <xf numFmtId="164" fontId="0" fillId="3" borderId="3" xfId="0" applyFont="1" applyFill="1" applyBorder="1" applyAlignment="1">
      <alignment horizontal="center"/>
    </xf>
    <xf numFmtId="164" fontId="0" fillId="3" borderId="1" xfId="0" applyFont="1" applyFill="1" applyBorder="1" applyAlignment="1">
      <alignment horizontal="center"/>
    </xf>
    <xf numFmtId="164" fontId="0" fillId="0" borderId="0" xfId="0" applyFont="1" applyAlignment="1" applyProtection="1">
      <alignment/>
      <protection locked="0"/>
    </xf>
    <xf numFmtId="164" fontId="0" fillId="0" borderId="3" xfId="0" applyFont="1" applyBorder="1" applyAlignment="1" applyProtection="1">
      <alignment/>
      <protection locked="0"/>
    </xf>
    <xf numFmtId="174" fontId="0" fillId="0" borderId="3" xfId="0" applyNumberFormat="1" applyFont="1" applyBorder="1" applyAlignment="1" applyProtection="1">
      <alignment/>
      <protection locked="0"/>
    </xf>
    <xf numFmtId="164" fontId="0" fillId="0" borderId="3" xfId="0" applyFont="1" applyBorder="1" applyAlignment="1" applyProtection="1">
      <alignment horizontal="center"/>
      <protection locked="0"/>
    </xf>
    <xf numFmtId="164" fontId="0" fillId="0" borderId="3" xfId="0" applyBorder="1" applyAlignment="1" applyProtection="1">
      <alignment horizontal="center"/>
      <protection locked="0"/>
    </xf>
    <xf numFmtId="174" fontId="0" fillId="0" borderId="3" xfId="0" applyNumberFormat="1" applyFont="1" applyFill="1" applyBorder="1" applyAlignment="1" applyProtection="1">
      <alignment/>
      <protection locked="0"/>
    </xf>
    <xf numFmtId="164" fontId="0" fillId="0" borderId="3" xfId="0" applyFont="1" applyBorder="1" applyAlignment="1" applyProtection="1">
      <alignment horizontal="left"/>
      <protection locked="0"/>
    </xf>
    <xf numFmtId="174" fontId="0" fillId="0" borderId="0" xfId="0" applyNumberFormat="1" applyAlignment="1">
      <alignment/>
    </xf>
    <xf numFmtId="164" fontId="0" fillId="0" borderId="0" xfId="0" applyAlignment="1">
      <alignment horizontal="center"/>
    </xf>
    <xf numFmtId="169" fontId="0" fillId="0" borderId="0" xfId="0" applyNumberFormat="1" applyAlignment="1">
      <alignment horizontal="right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left"/>
    </xf>
    <xf numFmtId="169" fontId="0" fillId="0" borderId="0" xfId="0" applyNumberFormat="1" applyAlignment="1">
      <alignment/>
    </xf>
    <xf numFmtId="169" fontId="0" fillId="3" borderId="8" xfId="0" applyNumberFormat="1" applyFont="1" applyFill="1" applyBorder="1" applyAlignment="1">
      <alignment horizontal="right" textRotation="90" wrapText="1"/>
    </xf>
    <xf numFmtId="166" fontId="0" fillId="3" borderId="23" xfId="0" applyNumberFormat="1" applyFont="1" applyFill="1" applyBorder="1" applyAlignment="1">
      <alignment horizontal="center" textRotation="90"/>
    </xf>
    <xf numFmtId="166" fontId="0" fillId="3" borderId="24" xfId="0" applyNumberFormat="1" applyFont="1" applyFill="1" applyBorder="1" applyAlignment="1">
      <alignment horizontal="center" wrapText="1"/>
    </xf>
    <xf numFmtId="169" fontId="0" fillId="3" borderId="25" xfId="0" applyNumberFormat="1" applyFont="1" applyFill="1" applyBorder="1" applyAlignment="1">
      <alignment horizontal="center" textRotation="90" wrapText="1"/>
    </xf>
    <xf numFmtId="169" fontId="0" fillId="0" borderId="26" xfId="0" applyNumberFormat="1" applyBorder="1" applyAlignment="1">
      <alignment horizontal="right"/>
    </xf>
    <xf numFmtId="166" fontId="0" fillId="0" borderId="27" xfId="0" applyNumberFormat="1" applyBorder="1" applyAlignment="1">
      <alignment horizontal="center"/>
    </xf>
    <xf numFmtId="164" fontId="13" fillId="0" borderId="28" xfId="0" applyFont="1" applyBorder="1" applyAlignment="1" applyProtection="1">
      <alignment horizontal="center"/>
      <protection locked="0"/>
    </xf>
    <xf numFmtId="169" fontId="0" fillId="0" borderId="29" xfId="0" applyNumberFormat="1" applyBorder="1" applyAlignment="1">
      <alignment horizontal="right"/>
    </xf>
    <xf numFmtId="166" fontId="0" fillId="0" borderId="28" xfId="0" applyNumberFormat="1" applyFont="1" applyBorder="1" applyAlignment="1">
      <alignment horizontal="center"/>
    </xf>
    <xf numFmtId="166" fontId="0" fillId="0" borderId="28" xfId="0" applyNumberFormat="1" applyFont="1" applyBorder="1" applyAlignment="1">
      <alignment horizontal="left"/>
    </xf>
    <xf numFmtId="166" fontId="13" fillId="0" borderId="27" xfId="0" applyNumberFormat="1" applyFont="1" applyBorder="1" applyAlignment="1" applyProtection="1">
      <alignment horizontal="center"/>
      <protection locked="0"/>
    </xf>
    <xf numFmtId="166" fontId="0" fillId="0" borderId="27" xfId="0" applyNumberFormat="1" applyFont="1" applyBorder="1" applyAlignment="1" applyProtection="1">
      <alignment horizontal="left"/>
      <protection locked="0"/>
    </xf>
    <xf numFmtId="166" fontId="0" fillId="0" borderId="27" xfId="0" applyNumberFormat="1" applyFont="1" applyBorder="1" applyAlignment="1">
      <alignment horizontal="left"/>
    </xf>
    <xf numFmtId="169" fontId="13" fillId="0" borderId="26" xfId="0" applyNumberFormat="1" applyFont="1" applyBorder="1" applyAlignment="1">
      <alignment horizontal="right"/>
    </xf>
    <xf numFmtId="166" fontId="13" fillId="0" borderId="28" xfId="0" applyNumberFormat="1" applyFont="1" applyBorder="1" applyAlignment="1">
      <alignment horizontal="center"/>
    </xf>
    <xf numFmtId="166" fontId="13" fillId="0" borderId="27" xfId="0" applyNumberFormat="1" applyFont="1" applyBorder="1" applyAlignment="1">
      <alignment horizontal="center"/>
    </xf>
    <xf numFmtId="169" fontId="13" fillId="0" borderId="29" xfId="0" applyNumberFormat="1" applyFont="1" applyBorder="1" applyAlignment="1">
      <alignment horizontal="right"/>
    </xf>
    <xf numFmtId="166" fontId="13" fillId="0" borderId="27" xfId="0" applyNumberFormat="1" applyFont="1" applyBorder="1" applyAlignment="1">
      <alignment horizontal="left"/>
    </xf>
    <xf numFmtId="169" fontId="13" fillId="0" borderId="26" xfId="0" applyNumberFormat="1" applyFont="1" applyBorder="1" applyAlignment="1">
      <alignment/>
    </xf>
    <xf numFmtId="164" fontId="13" fillId="0" borderId="28" xfId="0" applyFont="1" applyBorder="1" applyAlignment="1">
      <alignment horizontal="center"/>
    </xf>
    <xf numFmtId="169" fontId="0" fillId="0" borderId="30" xfId="0" applyNumberFormat="1" applyBorder="1" applyAlignment="1">
      <alignment horizontal="right"/>
    </xf>
    <xf numFmtId="166" fontId="0" fillId="0" borderId="31" xfId="0" applyNumberFormat="1" applyBorder="1" applyAlignment="1">
      <alignment horizontal="center"/>
    </xf>
    <xf numFmtId="166" fontId="0" fillId="0" borderId="31" xfId="0" applyNumberFormat="1" applyBorder="1" applyAlignment="1">
      <alignment horizontal="left"/>
    </xf>
    <xf numFmtId="169" fontId="0" fillId="0" borderId="7" xfId="0" applyNumberFormat="1" applyBorder="1" applyAlignment="1">
      <alignment horizontal="right"/>
    </xf>
    <xf numFmtId="169" fontId="0" fillId="0" borderId="17" xfId="0" applyNumberFormat="1" applyBorder="1" applyAlignment="1">
      <alignment horizontal="right"/>
    </xf>
    <xf numFmtId="166" fontId="0" fillId="0" borderId="17" xfId="0" applyNumberFormat="1" applyBorder="1" applyAlignment="1">
      <alignment horizontal="center"/>
    </xf>
    <xf numFmtId="166" fontId="0" fillId="0" borderId="17" xfId="0" applyNumberFormat="1" applyBorder="1" applyAlignment="1">
      <alignment horizontal="left"/>
    </xf>
    <xf numFmtId="164" fontId="0" fillId="0" borderId="32" xfId="0" applyBorder="1" applyAlignment="1">
      <alignment/>
    </xf>
    <xf numFmtId="166" fontId="0" fillId="0" borderId="28" xfId="0" applyNumberFormat="1" applyFont="1" applyBorder="1" applyAlignment="1" applyProtection="1">
      <alignment horizontal="center"/>
      <protection locked="0"/>
    </xf>
    <xf numFmtId="169" fontId="0" fillId="0" borderId="29" xfId="0" applyNumberFormat="1" applyBorder="1" applyAlignment="1" applyProtection="1">
      <alignment horizontal="right"/>
      <protection locked="0"/>
    </xf>
    <xf numFmtId="169" fontId="13" fillId="0" borderId="29" xfId="0" applyNumberFormat="1" applyFont="1" applyBorder="1" applyAlignment="1" applyProtection="1">
      <alignment horizontal="right"/>
      <protection locked="0"/>
    </xf>
    <xf numFmtId="169" fontId="0" fillId="0" borderId="26" xfId="0" applyNumberFormat="1" applyBorder="1" applyAlignment="1" applyProtection="1">
      <alignment horizontal="right"/>
      <protection locked="0"/>
    </xf>
    <xf numFmtId="166" fontId="0" fillId="0" borderId="27" xfId="0" applyNumberFormat="1" applyBorder="1" applyAlignment="1" applyProtection="1">
      <alignment horizontal="center"/>
      <protection locked="0"/>
    </xf>
    <xf numFmtId="164" fontId="0" fillId="0" borderId="28" xfId="0" applyBorder="1" applyAlignment="1" applyProtection="1">
      <alignment/>
      <protection locked="0"/>
    </xf>
    <xf numFmtId="166" fontId="14" fillId="0" borderId="28" xfId="0" applyNumberFormat="1" applyFont="1" applyBorder="1" applyAlignment="1">
      <alignment horizontal="center"/>
    </xf>
    <xf numFmtId="169" fontId="0" fillId="0" borderId="33" xfId="0" applyNumberFormat="1" applyBorder="1" applyAlignment="1">
      <alignment horizontal="right"/>
    </xf>
    <xf numFmtId="166" fontId="0" fillId="0" borderId="34" xfId="0" applyNumberFormat="1" applyBorder="1" applyAlignment="1">
      <alignment horizontal="center"/>
    </xf>
    <xf numFmtId="166" fontId="13" fillId="0" borderId="34" xfId="0" applyNumberFormat="1" applyFont="1" applyBorder="1" applyAlignment="1">
      <alignment horizontal="center"/>
    </xf>
    <xf numFmtId="169" fontId="0" fillId="0" borderId="35" xfId="0" applyNumberFormat="1" applyBorder="1" applyAlignment="1">
      <alignment horizontal="right"/>
    </xf>
    <xf numFmtId="166" fontId="0" fillId="0" borderId="28" xfId="0" applyNumberFormat="1" applyBorder="1" applyAlignment="1" applyProtection="1">
      <alignment horizontal="left"/>
      <protection locked="0"/>
    </xf>
    <xf numFmtId="164" fontId="0" fillId="0" borderId="28" xfId="0" applyBorder="1" applyAlignment="1" applyProtection="1">
      <alignment horizontal="center"/>
      <protection locked="0"/>
    </xf>
    <xf numFmtId="164" fontId="0" fillId="0" borderId="28" xfId="0" applyFont="1" applyBorder="1" applyAlignment="1" applyProtection="1">
      <alignment horizontal="left"/>
      <protection locked="0"/>
    </xf>
    <xf numFmtId="164" fontId="0" fillId="0" borderId="28" xfId="0" applyBorder="1" applyAlignment="1" applyProtection="1">
      <alignment horizontal="left"/>
      <protection locked="0"/>
    </xf>
    <xf numFmtId="164" fontId="12" fillId="0" borderId="0" xfId="0" applyFont="1" applyBorder="1" applyAlignment="1">
      <alignment horizontal="center"/>
    </xf>
    <xf numFmtId="164" fontId="15" fillId="3" borderId="36" xfId="0" applyFont="1" applyFill="1" applyBorder="1" applyAlignment="1">
      <alignment horizontal="center"/>
    </xf>
    <xf numFmtId="164" fontId="15" fillId="3" borderId="23" xfId="0" applyFont="1" applyFill="1" applyBorder="1" applyAlignment="1">
      <alignment/>
    </xf>
    <xf numFmtId="164" fontId="15" fillId="3" borderId="10" xfId="0" applyFont="1" applyFill="1" applyBorder="1" applyAlignment="1">
      <alignment horizontal="center"/>
    </xf>
    <xf numFmtId="164" fontId="0" fillId="0" borderId="16" xfId="0" applyFont="1" applyBorder="1" applyAlignment="1" applyProtection="1">
      <alignment horizontal="center"/>
      <protection locked="0"/>
    </xf>
    <xf numFmtId="164" fontId="0" fillId="0" borderId="7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1</xdr:row>
      <xdr:rowOff>19050</xdr:rowOff>
    </xdr:from>
    <xdr:to>
      <xdr:col>17</xdr:col>
      <xdr:colOff>9525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266700"/>
          <a:ext cx="4895850" cy="2266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My%20Documents\1999%20Randonneurs\VI0200A%20%20Tour%20of%20Cowichan%20Vall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 Entry"/>
      <sheetName val="Control Sheet"/>
      <sheetName val="Riders"/>
      <sheetName val="VI0200A 990326"/>
      <sheetName val="Web sheet"/>
      <sheetName val="Web resul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workbookViewId="0" topLeftCell="A1">
      <selection activeCell="D14" sqref="D14"/>
    </sheetView>
  </sheetViews>
  <sheetFormatPr defaultColWidth="9.140625" defaultRowHeight="12.75"/>
  <cols>
    <col min="1" max="1" width="16.57421875" style="1" customWidth="1"/>
    <col min="2" max="2" width="9.7109375" style="0" customWidth="1"/>
    <col min="3" max="3" width="0" style="2" hidden="1" customWidth="1"/>
    <col min="4" max="4" width="8.28125" style="0" customWidth="1"/>
    <col min="5" max="5" width="28.7109375" style="0" customWidth="1"/>
    <col min="6" max="8" width="25.7109375" style="0" customWidth="1"/>
    <col min="9" max="12" width="0" style="0" hidden="1" customWidth="1"/>
  </cols>
  <sheetData>
    <row r="1" spans="1:3" ht="12.75">
      <c r="A1" s="3" t="s">
        <v>0</v>
      </c>
      <c r="B1" s="4">
        <v>400</v>
      </c>
      <c r="C1" s="5">
        <f>IF(Brevet_Length&gt;=1200,Brevet_Length,IF(Brevet_Length&gt;=1000,1000,IF(Brevet_Length&gt;=600,600,IF(Brevet_Length&gt;=400,400,IF(Brevet_Length&gt;=300,300,IF(Brevet_Length&gt;=200,200,100))))))</f>
        <v>400</v>
      </c>
    </row>
    <row r="2" spans="1:2" ht="12.75">
      <c r="A2" s="6" t="s">
        <v>1</v>
      </c>
      <c r="B2" s="7">
        <f>IF(brevet=1200,90,IF(brevet=1000,75,IF(brevet=600,40,IF(brevet=400,27,IF(brevet=300,20,IF(brevet=200,13.5,IF(brevet=100,7,0)))))))</f>
        <v>27</v>
      </c>
    </row>
    <row r="3" spans="1:8" ht="12.75">
      <c r="A3" s="6" t="s">
        <v>2</v>
      </c>
      <c r="B3" s="8" t="s">
        <v>3</v>
      </c>
      <c r="C3" s="8"/>
      <c r="D3" s="8"/>
      <c r="E3" s="8"/>
      <c r="F3" s="8"/>
      <c r="G3" s="8"/>
      <c r="H3" s="8"/>
    </row>
    <row r="4" spans="1:8" ht="12.75">
      <c r="A4" s="6" t="s">
        <v>4</v>
      </c>
      <c r="B4" s="9" t="s">
        <v>5</v>
      </c>
      <c r="C4" s="10"/>
      <c r="D4" s="11"/>
      <c r="E4" s="11"/>
      <c r="F4" s="11"/>
      <c r="G4" s="11"/>
      <c r="H4" s="11"/>
    </row>
    <row r="5" spans="1:2" ht="12.75">
      <c r="A5" s="6" t="s">
        <v>6</v>
      </c>
      <c r="B5" s="12"/>
    </row>
    <row r="6" spans="1:2" ht="12.75">
      <c r="A6" s="13" t="s">
        <v>7</v>
      </c>
      <c r="B6" s="14">
        <v>0.20833333333333334</v>
      </c>
    </row>
    <row r="7" spans="4:8" ht="12.75">
      <c r="D7" s="15" t="s">
        <v>8</v>
      </c>
      <c r="E7" s="15"/>
      <c r="F7" s="15"/>
      <c r="G7" s="15"/>
      <c r="H7" s="15"/>
    </row>
    <row r="8" spans="4:8" ht="12.75" customHeight="1" hidden="1">
      <c r="D8" s="16"/>
      <c r="E8" s="16"/>
      <c r="F8" s="16"/>
      <c r="G8" s="16"/>
      <c r="H8" s="16"/>
    </row>
    <row r="9" spans="4:12" ht="12.75">
      <c r="D9" s="17" t="s">
        <v>9</v>
      </c>
      <c r="E9" s="18" t="s">
        <v>10</v>
      </c>
      <c r="F9" s="18" t="s">
        <v>11</v>
      </c>
      <c r="G9" s="18" t="s">
        <v>12</v>
      </c>
      <c r="H9" s="19" t="s">
        <v>13</v>
      </c>
      <c r="I9" t="s">
        <v>14</v>
      </c>
      <c r="J9" t="s">
        <v>15</v>
      </c>
      <c r="K9" t="s">
        <v>16</v>
      </c>
      <c r="L9" t="s">
        <v>17</v>
      </c>
    </row>
    <row r="10" spans="3:12" ht="12.75">
      <c r="C10" s="2" t="s">
        <v>18</v>
      </c>
      <c r="D10" s="20">
        <v>0</v>
      </c>
      <c r="E10" s="21" t="s">
        <v>19</v>
      </c>
      <c r="F10" s="22" t="s">
        <v>20</v>
      </c>
      <c r="G10" s="22" t="s">
        <v>21</v>
      </c>
      <c r="H10" s="23" t="s">
        <v>22</v>
      </c>
      <c r="I10" s="24">
        <f>Start_date+Start_time</f>
        <v>0.20833333333333334</v>
      </c>
      <c r="J10" s="24">
        <f>I10+"1:00"</f>
        <v>0.25</v>
      </c>
      <c r="K10" s="25">
        <f>IF(ISBLANK(Distance),"",Open Control_1)</f>
        <v>0.20833333333333334</v>
      </c>
      <c r="L10" s="25">
        <f>IF(ISBLANK(Distance),"",Close Control_1)</f>
        <v>0.25</v>
      </c>
    </row>
    <row r="11" spans="3:12" ht="12.75">
      <c r="C11" s="2" t="s">
        <v>23</v>
      </c>
      <c r="D11" s="20">
        <f>'VI0402A 0000506'!A12</f>
        <v>78.80000000000001</v>
      </c>
      <c r="E11" s="21" t="s">
        <v>24</v>
      </c>
      <c r="F11" s="22" t="s">
        <v>20</v>
      </c>
      <c r="G11" s="22" t="s">
        <v>25</v>
      </c>
      <c r="H11" s="23" t="s">
        <v>26</v>
      </c>
      <c r="I11" s="5">
        <f>IF(ISBLANK(Distance),"",IF(Distance&gt;1000,(Distance-1000)/26+33.0847,(IF(Distance&gt;600,(Distance-600)/28+18.799,(IF(Distance&gt;400,(Distance-400)/30+12.1324,(IF(Distance&gt;200,(Distance-200)/32+5.8824,Distance/34))))))))</f>
        <v>2.3176470588235296</v>
      </c>
      <c r="J11" s="5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5.253333333333334</v>
      </c>
      <c r="K11" s="25">
        <f>IF(ISBLANK(Distance),"",Open_time Control_1+(INT(Open)&amp;":"&amp;IF(ROUND(((Open-INT(Open))*60),0)&lt;10,0,"")&amp;ROUND(((Open-INT(Open))*60),0)))</f>
        <v>0.30486111111111114</v>
      </c>
      <c r="L11" s="25">
        <f>IF(ISBLANK(Distance),"",Open_time Control_1+(INT(Close)&amp;":"&amp;IF(ROUND(((Close-INT(Close))*60),0)&lt;10,0,"")&amp;ROUND(((Close-INT(Close))*60),0)))</f>
        <v>0.42708333333333337</v>
      </c>
    </row>
    <row r="12" spans="3:12" ht="12.75">
      <c r="C12" s="2" t="s">
        <v>27</v>
      </c>
      <c r="D12" s="20">
        <f>'VI0402A 0000506'!F8</f>
        <v>202.8</v>
      </c>
      <c r="E12" s="21" t="s">
        <v>28</v>
      </c>
      <c r="F12" s="22" t="s">
        <v>29</v>
      </c>
      <c r="G12" s="22" t="s">
        <v>25</v>
      </c>
      <c r="H12" s="23" t="s">
        <v>30</v>
      </c>
      <c r="I12" s="5">
        <f>IF(ISBLANK(Distance),"",IF(Distance&gt;1000,(Distance-1000)/26+33.0847,(IF(Distance&gt;600,(Distance-600)/28+18.799,(IF(Distance&gt;400,(Distance-400)/30+12.1324,(IF(Distance&gt;200,(Distance-200)/32+5.8824,Distance/34))))))))</f>
        <v>5.9699</v>
      </c>
      <c r="J12" s="5">
        <f aca="true" t="shared" si="0" ref="J12:J27">IF(ISBLANK(Distance),"",IF(Distance&gt;=brevet,IF(brevet&gt;1200,(brevet-1200)*75/1000+90,Max_time),IF(Distance&gt;1200,(Distance-1200)*75/1000+90,IF(Distance&gt;1000,(Distance-1000)/(1000/75)+75,IF(Distance&gt;600,(Distance-600)/(400/35)+40,Distance/15)))))</f>
        <v>13.520000000000001</v>
      </c>
      <c r="K12" s="25">
        <f>IF(ISBLANK(Distance),"",Open_time Control_1+(INT(Open)&amp;":"&amp;IF(ROUND(((Open-INT(Open))*60),0)&lt;10,0,"")&amp;ROUND(((Open-INT(Open))*60),0)))</f>
        <v>0.4569444444444445</v>
      </c>
      <c r="L12" s="25">
        <f>IF(ISBLANK(Distance),"",Open_time Control_1+(INT(Close)&amp;":"&amp;IF(ROUND(((Close-INT(Close))*60),0)&lt;10,0,"")&amp;ROUND(((Close-INT(Close))*60),0)))</f>
        <v>0.7715277777777778</v>
      </c>
    </row>
    <row r="13" spans="3:12" ht="12.75">
      <c r="C13" s="2" t="s">
        <v>31</v>
      </c>
      <c r="D13" s="20">
        <f>'VI0402A 0000506'!F21</f>
        <v>326.79999999999995</v>
      </c>
      <c r="E13" s="21" t="s">
        <v>24</v>
      </c>
      <c r="F13" s="22" t="s">
        <v>20</v>
      </c>
      <c r="G13" s="22" t="s">
        <v>25</v>
      </c>
      <c r="H13" s="23" t="s">
        <v>26</v>
      </c>
      <c r="I13" s="5">
        <f aca="true" t="shared" si="1" ref="I13:I28">IF(ISBLANK(Distance),"",IF(Distance&gt;1000,(Distance-1000)/26+33.0847,(IF(Distance&gt;600,(Distance-600)/28+18.799,(IF(Distance&gt;400,(Distance-400)/30+12.1324,(IF(Distance&gt;200,(Distance-200)/32+5.8824,Distance/34))))))))</f>
        <v>9.844899999999999</v>
      </c>
      <c r="J13" s="5">
        <f t="shared" si="0"/>
        <v>21.786666666666665</v>
      </c>
      <c r="K13" s="25">
        <f>IF(ISBLANK(Distance),"",Open_time Control_1+(INT(Open)&amp;":"&amp;IF(ROUND(((Open-INT(Open))*60),0)&lt;10,0,"")&amp;ROUND(((Open-INT(Open))*60),0)))</f>
        <v>0.61875</v>
      </c>
      <c r="L13" s="25">
        <f>IF(ISBLANK(Distance),"",Open_time Control_1+(INT(Close)&amp;":"&amp;IF(ROUND(((Close-INT(Close))*60),0)&lt;10,0,"")&amp;ROUND(((Close-INT(Close))*60),0)))</f>
        <v>1.1159722222222221</v>
      </c>
    </row>
    <row r="14" spans="3:12" ht="12.75">
      <c r="C14" s="2" t="s">
        <v>32</v>
      </c>
      <c r="D14" s="20">
        <f>'VI0402A 0000506'!A33</f>
        <v>405.49999999999994</v>
      </c>
      <c r="E14" s="21" t="s">
        <v>19</v>
      </c>
      <c r="F14" s="22" t="s">
        <v>20</v>
      </c>
      <c r="G14" s="22" t="s">
        <v>21</v>
      </c>
      <c r="H14" s="23" t="s">
        <v>22</v>
      </c>
      <c r="I14" s="5">
        <f t="shared" si="1"/>
        <v>12.315733333333332</v>
      </c>
      <c r="J14" s="5">
        <f t="shared" si="0"/>
        <v>27</v>
      </c>
      <c r="K14" s="25">
        <f>IF(ISBLANK(Distance),"",Open_time Control_1+(INT(Open)&amp;":"&amp;IF(ROUND(((Open-INT(Open))*60),0)&lt;10,0,"")&amp;ROUND(((Open-INT(Open))*60),0)))</f>
        <v>0.7215277777777778</v>
      </c>
      <c r="L14" s="25">
        <f>IF(ISBLANK(Distance),"",Open_time Control_1+(INT(Close)&amp;":"&amp;IF(ROUND(((Close-INT(Close))*60),0)&lt;10,0,"")&amp;ROUND(((Close-INT(Close))*60),0)))</f>
        <v>1.3333333333333333</v>
      </c>
    </row>
    <row r="15" spans="3:12" ht="12.75">
      <c r="C15" s="2" t="s">
        <v>33</v>
      </c>
      <c r="D15" s="26"/>
      <c r="E15" s="21"/>
      <c r="F15" s="22"/>
      <c r="G15" s="22"/>
      <c r="H15" s="23"/>
      <c r="I15">
        <f t="shared" si="1"/>
      </c>
      <c r="J15">
        <f t="shared" si="0"/>
      </c>
      <c r="K15" s="25">
        <f>IF(ISBLANK(Distance),"",Open_time Control_1+(INT(Open)&amp;":"&amp;IF(ROUND(((Open-INT(Open))*60),0)&lt;10,0,"")&amp;ROUND(((Open-INT(Open))*60),0)))</f>
      </c>
      <c r="L15" s="25">
        <f>IF(ISBLANK(Distance),"",Open_time Control_1+(INT(Close)&amp;":"&amp;IF(ROUND(((Close-INT(Close))*60),0)&lt;10,0,"")&amp;ROUND(((Close-INT(Close))*60),0)))</f>
      </c>
    </row>
    <row r="16" spans="3:12" ht="12.75">
      <c r="C16" s="2" t="s">
        <v>34</v>
      </c>
      <c r="D16" s="26"/>
      <c r="E16" s="21"/>
      <c r="F16" s="22"/>
      <c r="G16" s="22"/>
      <c r="H16" s="23"/>
      <c r="I16">
        <f t="shared" si="1"/>
      </c>
      <c r="J16">
        <f t="shared" si="0"/>
      </c>
      <c r="K16" s="25">
        <f>IF(ISBLANK(Distance),"",Open_time Control_1+(INT(Open)&amp;":"&amp;IF(ROUND(((Open-INT(Open))*60),0)&lt;10,0,"")&amp;ROUND(((Open-INT(Open))*60),0)))</f>
      </c>
      <c r="L16" s="25">
        <f>IF(ISBLANK(Distance),"",Open_time Control_1+(INT(Close)&amp;":"&amp;IF(ROUND(((Close-INT(Close))*60),0)&lt;10,0,"")&amp;ROUND(((Close-INT(Close))*60),0)))</f>
      </c>
    </row>
    <row r="17" spans="3:12" ht="12.75">
      <c r="C17" s="2" t="s">
        <v>35</v>
      </c>
      <c r="D17" s="26"/>
      <c r="E17" s="21"/>
      <c r="F17" s="22"/>
      <c r="G17" s="22"/>
      <c r="H17" s="23"/>
      <c r="I17">
        <f t="shared" si="1"/>
      </c>
      <c r="J17">
        <f t="shared" si="0"/>
      </c>
      <c r="K17" s="25">
        <f>IF(ISBLANK(Distance),"",Open_time Control_1+(INT(Open)&amp;":"&amp;IF(ROUND(((Open-INT(Open))*60),0)&lt;10,0,"")&amp;ROUND(((Open-INT(Open))*60),0)))</f>
      </c>
      <c r="L17" s="25">
        <f>IF(ISBLANK(Distance),"",Open_time Control_1+(INT(Close)&amp;":"&amp;IF(ROUND(((Close-INT(Close))*60),0)&lt;10,0,"")&amp;ROUND(((Close-INT(Close))*60),0)))</f>
      </c>
    </row>
    <row r="18" spans="3:12" ht="12.75">
      <c r="C18" s="2" t="s">
        <v>36</v>
      </c>
      <c r="D18" s="26"/>
      <c r="E18" s="21" t="s">
        <v>37</v>
      </c>
      <c r="F18" s="22"/>
      <c r="G18" s="22"/>
      <c r="H18" s="23"/>
      <c r="I18">
        <f t="shared" si="1"/>
      </c>
      <c r="J18">
        <f t="shared" si="0"/>
      </c>
      <c r="K18" s="25">
        <f>IF(ISBLANK(Distance),"",Open_time Control_1+(INT(Open)&amp;":"&amp;IF(ROUND(((Open-INT(Open))*60),0)&lt;10,0,"")&amp;ROUND(((Open-INT(Open))*60),0)))</f>
      </c>
      <c r="L18" s="25">
        <f>IF(ISBLANK(Distance),"",Open_time Control_1+(INT(Close)&amp;":"&amp;IF(ROUND(((Close-INT(Close))*60),0)&lt;10,0,"")&amp;ROUND(((Close-INT(Close))*60),0)))</f>
      </c>
    </row>
    <row r="19" spans="3:12" ht="12.75">
      <c r="C19" s="2" t="s">
        <v>38</v>
      </c>
      <c r="D19" s="26"/>
      <c r="E19" s="21" t="s">
        <v>37</v>
      </c>
      <c r="F19" s="22"/>
      <c r="G19" s="22"/>
      <c r="H19" s="23"/>
      <c r="I19">
        <f t="shared" si="1"/>
      </c>
      <c r="J19">
        <f t="shared" si="0"/>
      </c>
      <c r="K19" s="25">
        <f>IF(ISBLANK(Distance),"",Open_time Control_1+(INT(Open)&amp;":"&amp;IF(ROUND(((Open-INT(Open))*60),0)&lt;10,0,"")&amp;ROUND(((Open-INT(Open))*60),0)))</f>
      </c>
      <c r="L19" s="25">
        <f>IF(ISBLANK(Distance),"",Open_time Control_1+(INT(Close)&amp;":"&amp;IF(ROUND(((Close-INT(Close))*60),0)&lt;10,0,"")&amp;ROUND(((Close-INT(Close))*60),0)))</f>
      </c>
    </row>
    <row r="20" spans="3:12" ht="12.75">
      <c r="C20" s="2" t="s">
        <v>39</v>
      </c>
      <c r="D20" s="26"/>
      <c r="E20" s="21"/>
      <c r="F20" s="22"/>
      <c r="G20" s="22"/>
      <c r="H20" s="23"/>
      <c r="I20">
        <f t="shared" si="1"/>
      </c>
      <c r="J20">
        <f t="shared" si="0"/>
      </c>
      <c r="K20" s="25">
        <f>IF(ISBLANK(Distance),"",Open_time Control_1+(INT(Open)&amp;":"&amp;IF(ROUND(((Open-INT(Open))*60),0)&lt;10,0,"")&amp;ROUND(((Open-INT(Open))*60),0)))</f>
      </c>
      <c r="L20" s="25">
        <f>IF(ISBLANK(Distance),"",Open_time Control_1+(INT(Close)&amp;":"&amp;IF(ROUND(((Close-INT(Close))*60),0)&lt;10,0,"")&amp;ROUND(((Close-INT(Close))*60),0)))</f>
      </c>
    </row>
    <row r="21" spans="3:12" ht="12.75">
      <c r="C21" s="2" t="s">
        <v>40</v>
      </c>
      <c r="D21" s="20"/>
      <c r="E21" s="21"/>
      <c r="F21" s="22"/>
      <c r="G21" s="22"/>
      <c r="H21" s="23"/>
      <c r="I21">
        <f t="shared" si="1"/>
      </c>
      <c r="J21">
        <f t="shared" si="0"/>
      </c>
      <c r="K21" s="25">
        <f>IF(ISBLANK(Distance),"",Open_time Control_1+(INT(Open)&amp;":"&amp;IF(ROUND(((Open-INT(Open))*60),0)&lt;10,0,"")&amp;ROUND(((Open-INT(Open))*60),0)))</f>
      </c>
      <c r="L21" s="25">
        <f>IF(ISBLANK(Distance),"",Open_time Control_1+(INT(Close)&amp;":"&amp;IF(ROUND(((Close-INT(Close))*60),0)&lt;10,0,"")&amp;ROUND(((Close-INT(Close))*60),0)))</f>
      </c>
    </row>
    <row r="22" spans="3:12" ht="12.75">
      <c r="C22" s="2" t="s">
        <v>41</v>
      </c>
      <c r="D22" s="20"/>
      <c r="E22" s="21"/>
      <c r="F22" s="22"/>
      <c r="G22" s="22"/>
      <c r="H22" s="23"/>
      <c r="I22">
        <f t="shared" si="1"/>
      </c>
      <c r="J22">
        <f t="shared" si="0"/>
      </c>
      <c r="K22" s="25">
        <f>IF(ISBLANK(Distance),"",Open_time Control_1+(INT(Open)&amp;":"&amp;IF(ROUND(((Open-INT(Open))*60),0)&lt;10,0,"")&amp;ROUND(((Open-INT(Open))*60),0)))</f>
      </c>
      <c r="L22" s="25">
        <f>IF(ISBLANK(Distance),"",Open_time Control_1+(INT(Close)&amp;":"&amp;IF(ROUND(((Close-INT(Close))*60),0)&lt;10,0,"")&amp;ROUND(((Close-INT(Close))*60),0)))</f>
      </c>
    </row>
    <row r="23" spans="3:12" ht="12.75">
      <c r="C23" s="2" t="s">
        <v>42</v>
      </c>
      <c r="D23" s="20"/>
      <c r="E23" s="21"/>
      <c r="F23" s="22"/>
      <c r="G23" s="22"/>
      <c r="H23" s="23"/>
      <c r="I23">
        <f t="shared" si="1"/>
      </c>
      <c r="J23">
        <f t="shared" si="0"/>
      </c>
      <c r="K23" s="25">
        <f>IF(ISBLANK(Distance),"",Open_time Control_1+(INT(Open)&amp;":"&amp;IF(ROUND(((Open-INT(Open))*60),0)&lt;10,0,"")&amp;ROUND(((Open-INT(Open))*60),0)))</f>
      </c>
      <c r="L23" s="25">
        <f>IF(ISBLANK(Distance),"",Open_time Control_1+(INT(Close)&amp;":"&amp;IF(ROUND(((Close-INT(Close))*60),0)&lt;10,0,"")&amp;ROUND(((Close-INT(Close))*60),0)))</f>
      </c>
    </row>
    <row r="24" spans="3:12" ht="12.75">
      <c r="C24" s="2" t="s">
        <v>43</v>
      </c>
      <c r="D24" s="20"/>
      <c r="E24" s="21"/>
      <c r="F24" s="22"/>
      <c r="G24" s="22"/>
      <c r="H24" s="23"/>
      <c r="I24">
        <f t="shared" si="1"/>
      </c>
      <c r="J24">
        <f t="shared" si="0"/>
      </c>
      <c r="K24" s="25">
        <f>IF(ISBLANK(Distance),"",Open_time Control_1+(INT(Open)&amp;":"&amp;IF(ROUND(((Open-INT(Open))*60),0)&lt;10,0,"")&amp;ROUND(((Open-INT(Open))*60),0)))</f>
      </c>
      <c r="L24" s="25">
        <f>IF(ISBLANK(Distance),"",Open_time Control_1+(INT(Close)&amp;":"&amp;IF(ROUND(((Close-INT(Close))*60),0)&lt;10,0,"")&amp;ROUND(((Close-INT(Close))*60),0)))</f>
      </c>
    </row>
    <row r="25" spans="3:12" ht="12.75">
      <c r="C25" s="2" t="s">
        <v>44</v>
      </c>
      <c r="D25" s="20"/>
      <c r="E25" s="21"/>
      <c r="F25" s="22"/>
      <c r="G25" s="22"/>
      <c r="H25" s="23"/>
      <c r="I25">
        <f t="shared" si="1"/>
      </c>
      <c r="J25">
        <f t="shared" si="0"/>
      </c>
      <c r="K25" s="25">
        <f>IF(ISBLANK(Distance),"",Open_time Control_1+(INT(Open)&amp;":"&amp;IF(ROUND(((Open-INT(Open))*60),0)&lt;10,0,"")&amp;ROUND(((Open-INT(Open))*60),0)))</f>
      </c>
      <c r="L25" s="25">
        <f>IF(ISBLANK(Distance),"",Open_time Control_1+(INT(Close)&amp;":"&amp;IF(ROUND(((Close-INT(Close))*60),0)&lt;10,0,"")&amp;ROUND(((Close-INT(Close))*60),0)))</f>
      </c>
    </row>
    <row r="26" spans="3:12" ht="12.75">
      <c r="C26" s="2" t="s">
        <v>45</v>
      </c>
      <c r="D26" s="20"/>
      <c r="E26" s="21"/>
      <c r="F26" s="22"/>
      <c r="G26" s="22"/>
      <c r="H26" s="23"/>
      <c r="I26">
        <f t="shared" si="1"/>
      </c>
      <c r="J26">
        <f t="shared" si="0"/>
      </c>
      <c r="K26" s="25">
        <f>IF(ISBLANK(Distance),"",Open_time Control_1+(INT(Open)&amp;":"&amp;IF(ROUND(((Open-INT(Open))*60),0)&lt;10,0,"")&amp;ROUND(((Open-INT(Open))*60),0)))</f>
      </c>
      <c r="L26" s="25">
        <f>IF(ISBLANK(Distance),"",Open_time Control_1+(INT(Close)&amp;":"&amp;IF(ROUND(((Close-INT(Close))*60),0)&lt;10,0,"")&amp;ROUND(((Close-INT(Close))*60),0)))</f>
      </c>
    </row>
    <row r="27" spans="3:12" ht="12.75">
      <c r="C27" s="2" t="s">
        <v>46</v>
      </c>
      <c r="D27" s="20"/>
      <c r="E27" s="21"/>
      <c r="F27" s="22"/>
      <c r="G27" s="22"/>
      <c r="H27" s="23"/>
      <c r="I27">
        <f t="shared" si="1"/>
      </c>
      <c r="J27">
        <f t="shared" si="0"/>
      </c>
      <c r="K27" s="25">
        <f>IF(ISBLANK(Distance),"",Open_time Control_1+(INT(Open)&amp;":"&amp;IF(ROUND(((Open-INT(Open))*60),0)&lt;10,0,"")&amp;ROUND(((Open-INT(Open))*60),0)))</f>
      </c>
      <c r="L27" s="25">
        <f>IF(ISBLANK(Distance),"",Open_time Control_1+(INT(Close)&amp;":"&amp;IF(ROUND(((Close-INT(Close))*60),0)&lt;10,0,"")&amp;ROUND(((Close-INT(Close))*60),0)))</f>
      </c>
    </row>
    <row r="28" spans="3:12" ht="12.75">
      <c r="C28" s="2" t="s">
        <v>47</v>
      </c>
      <c r="D28" s="20"/>
      <c r="E28" s="21"/>
      <c r="F28" s="22"/>
      <c r="G28" s="22"/>
      <c r="H28" s="23"/>
      <c r="I28">
        <f t="shared" si="1"/>
      </c>
      <c r="J28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8" s="25">
        <f>IF(ISBLANK(Distance),"",Open_time Control_1+(INT(Open)&amp;":"&amp;IF(ROUND(((Open-INT(Open))*60),0)&lt;10,0,"")&amp;ROUND(((Open-INT(Open))*60),0)))</f>
      </c>
      <c r="L28" s="25">
        <f>IF(ISBLANK(Distance),"",Open_time Control_1+(INT(Close)&amp;":"&amp;IF(ROUND(((Close-INT(Close))*60),0)&lt;10,0,"")&amp;ROUND(((Close-INT(Close))*60),0)))</f>
      </c>
    </row>
    <row r="29" spans="3:12" ht="12.75">
      <c r="C29" s="2" t="s">
        <v>48</v>
      </c>
      <c r="D29" s="27"/>
      <c r="E29" s="28"/>
      <c r="F29" s="29"/>
      <c r="G29" s="29"/>
      <c r="H29" s="30"/>
      <c r="I29">
        <f>IF(ISBLANK(Distance),"",IF(Distance&gt;1000,(Distance-1000)/26+33.0847,(IF(Distance&gt;600,(Distance-600)/28+18.799,(IF(Distance&gt;400,(Distance-400)/30+12.1324,(IF(Distance&gt;200,(Distance-200)/32+5.8824,Distance/34))))))))</f>
      </c>
      <c r="J29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9" s="25">
        <f>IF(ISBLANK(Distance),"",Open_time Control_1+(INT(Open)&amp;":"&amp;IF(ROUND(((Open-INT(Open))*60),0)&lt;10,0,"")&amp;ROUND(((Open-INT(Open))*60),0)))</f>
      </c>
      <c r="L29" s="25">
        <f>IF(ISBLANK(Distance),"",Open_time Control_1+(INT(Close)&amp;":"&amp;IF(ROUND(((Close-INT(Close))*60),0)&lt;10,0,"")&amp;ROUND(((Close-INT(Close))*60),0)))</f>
      </c>
    </row>
  </sheetData>
  <sheetProtection selectLockedCells="1" selectUnlockedCells="1"/>
  <mergeCells count="2">
    <mergeCell ref="B3:H3"/>
    <mergeCell ref="D7:H7"/>
  </mergeCells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showGridLines="0" workbookViewId="0" topLeftCell="A1">
      <selection activeCell="A16" sqref="A16"/>
    </sheetView>
  </sheetViews>
  <sheetFormatPr defaultColWidth="9.140625" defaultRowHeight="12.75"/>
  <cols>
    <col min="1" max="1" width="9.28125" style="31" customWidth="1"/>
    <col min="2" max="3" width="12.421875" style="0" customWidth="1"/>
    <col min="4" max="4" width="19.28125" style="0" customWidth="1"/>
    <col min="5" max="5" width="24.421875" style="0" customWidth="1"/>
    <col min="6" max="6" width="41.7109375" style="0" customWidth="1"/>
    <col min="7" max="7" width="13.421875" style="0" customWidth="1"/>
    <col min="8" max="8" width="7.00390625" style="32" customWidth="1"/>
    <col min="9" max="9" width="8.7109375" style="0" customWidth="1"/>
  </cols>
  <sheetData>
    <row r="1" spans="1:8" ht="19.5">
      <c r="A1" s="33" t="s">
        <v>49</v>
      </c>
      <c r="B1" s="33"/>
      <c r="C1" s="33"/>
      <c r="D1" s="33"/>
      <c r="E1" s="33"/>
      <c r="F1" s="33"/>
      <c r="G1" s="33"/>
      <c r="H1" s="11" t="s">
        <v>50</v>
      </c>
    </row>
    <row r="2" spans="1:14" ht="33.75" customHeight="1">
      <c r="A2" s="34" t="s">
        <v>51</v>
      </c>
      <c r="B2" s="35" t="s">
        <v>14</v>
      </c>
      <c r="C2" s="35" t="s">
        <v>15</v>
      </c>
      <c r="D2" s="35" t="s">
        <v>10</v>
      </c>
      <c r="E2" s="35" t="s">
        <v>52</v>
      </c>
      <c r="F2" s="35" t="s">
        <v>53</v>
      </c>
      <c r="G2" s="34" t="s">
        <v>54</v>
      </c>
      <c r="H2" s="11" t="s">
        <v>50</v>
      </c>
      <c r="N2" s="36"/>
    </row>
    <row r="3" spans="1:14" ht="36" customHeight="1">
      <c r="A3" s="37"/>
      <c r="B3" s="38">
        <f>Control_1 Open_time</f>
        <v>0.20833333333333334</v>
      </c>
      <c r="C3" s="38">
        <f>Control_1 Close_time</f>
        <v>0.25</v>
      </c>
      <c r="D3" s="39"/>
      <c r="E3" s="40">
        <f>IF(ISBLANK(Control_1 Establishment_1),"",Control_1 Establishment_1)</f>
        <v>0</v>
      </c>
      <c r="F3" s="41"/>
      <c r="G3" s="42"/>
      <c r="H3" s="11" t="s">
        <v>50</v>
      </c>
      <c r="K3" s="43"/>
      <c r="N3" s="36"/>
    </row>
    <row r="4" spans="1:14" ht="36" customHeight="1">
      <c r="A4" s="44">
        <f>IF(ISBLANK(Distance Control_1),"",Control_1 Distance)</f>
        <v>0</v>
      </c>
      <c r="B4" s="45">
        <f>Control_1 Open_time</f>
        <v>0.20833333333333334</v>
      </c>
      <c r="C4" s="45">
        <f>Control_1 Close_time</f>
        <v>0.25</v>
      </c>
      <c r="D4" s="46">
        <f>IF(ISBLANK(Locale Control_1),"",Locale Control_1)</f>
        <v>0</v>
      </c>
      <c r="E4" s="40">
        <f>IF(ISBLANK(Control_1 Establishment_2),"",Control_1 Establishment_2)</f>
        <v>0</v>
      </c>
      <c r="F4" s="41"/>
      <c r="G4" s="42"/>
      <c r="H4" s="11" t="s">
        <v>50</v>
      </c>
      <c r="K4" s="43"/>
      <c r="N4" s="36"/>
    </row>
    <row r="5" spans="1:11" ht="36" customHeight="1">
      <c r="A5" s="47"/>
      <c r="B5" s="48">
        <f>Control_1 Open_time</f>
        <v>0.20833333333333334</v>
      </c>
      <c r="C5" s="48">
        <f>Control_1 Close_time</f>
        <v>0.25</v>
      </c>
      <c r="D5" s="49"/>
      <c r="E5" s="50">
        <f>IF(ISBLANK(Control_1 Establishment_3),"",Control_1 Establishment_3)</f>
        <v>0</v>
      </c>
      <c r="F5" s="51"/>
      <c r="G5" s="52"/>
      <c r="H5" s="11" t="s">
        <v>50</v>
      </c>
      <c r="K5" s="43"/>
    </row>
    <row r="6" spans="1:11" ht="36" customHeight="1">
      <c r="A6" s="37"/>
      <c r="B6" s="38">
        <f>Control_2 Open_time</f>
        <v>0.30486111111111114</v>
      </c>
      <c r="C6" s="38">
        <f>Control_2 Close_time</f>
        <v>0.42708333333333337</v>
      </c>
      <c r="D6" s="53"/>
      <c r="E6" s="40">
        <f>IF(ISBLANK(Control_2 Establishment_1),"",Control_2 Establishment_1)</f>
        <v>0</v>
      </c>
      <c r="F6" s="41"/>
      <c r="G6" s="42"/>
      <c r="H6" s="11" t="s">
        <v>50</v>
      </c>
      <c r="K6" s="43"/>
    </row>
    <row r="7" spans="1:11" ht="36" customHeight="1">
      <c r="A7" s="44">
        <f>IF(ISBLANK(Distance Control_2),"",Control_2 Distance)</f>
        <v>78.80000000000001</v>
      </c>
      <c r="B7" s="45">
        <f>Control_2 Open_time</f>
        <v>0.30486111111111114</v>
      </c>
      <c r="C7" s="45">
        <f>Control_2 Close_time</f>
        <v>0.42708333333333337</v>
      </c>
      <c r="D7" s="46">
        <f>IF(ISBLANK(Locale Control_2),"",Locale Control_2)</f>
        <v>0</v>
      </c>
      <c r="E7" s="40">
        <f>IF(ISBLANK(Control_2 Establishment_2),"",Control_2 Establishment_2)</f>
        <v>0</v>
      </c>
      <c r="F7" s="41"/>
      <c r="G7" s="42"/>
      <c r="H7" s="11" t="s">
        <v>50</v>
      </c>
      <c r="K7" s="43"/>
    </row>
    <row r="8" spans="1:20" ht="36" customHeight="1">
      <c r="A8" s="47"/>
      <c r="B8" s="48">
        <f>Control_2 Open_time</f>
        <v>0.30486111111111114</v>
      </c>
      <c r="C8" s="48">
        <f>Control_2 Close_time</f>
        <v>0.42708333333333337</v>
      </c>
      <c r="D8" s="49"/>
      <c r="E8" s="50">
        <f>IF(ISBLANK(Control_2 Establishment_3),"",Control_2 Establishment_3)</f>
        <v>0</v>
      </c>
      <c r="F8" s="51"/>
      <c r="G8" s="52"/>
      <c r="H8" s="11" t="s">
        <v>50</v>
      </c>
      <c r="J8" s="54" t="s">
        <v>55</v>
      </c>
      <c r="K8" s="54"/>
      <c r="L8" s="54"/>
      <c r="M8" s="54"/>
      <c r="N8" s="54"/>
      <c r="O8" s="54"/>
      <c r="P8" s="54"/>
      <c r="Q8" s="54"/>
      <c r="R8" s="54"/>
      <c r="S8" s="54"/>
      <c r="T8" s="54"/>
    </row>
    <row r="9" spans="1:19" ht="36" customHeight="1">
      <c r="A9" s="37"/>
      <c r="B9" s="38">
        <f>Control_3 Open_time</f>
        <v>0.4569444444444445</v>
      </c>
      <c r="C9" s="38">
        <f>Control_3 Close_time</f>
        <v>0.7715277777777778</v>
      </c>
      <c r="D9" s="53"/>
      <c r="E9" s="40">
        <f>IF(ISBLANK(Control_3 Establishment_1),"",Control_3 Establishment_1)</f>
        <v>0</v>
      </c>
      <c r="F9" s="41"/>
      <c r="G9" s="42"/>
      <c r="H9" s="11" t="s">
        <v>50</v>
      </c>
      <c r="J9" s="55">
        <f>IF(ISBLANK(brevet),"",brevet&amp;" km Randonnée")</f>
        <v>0</v>
      </c>
      <c r="K9" s="55"/>
      <c r="L9" s="55"/>
      <c r="M9" s="55"/>
      <c r="N9" s="55"/>
      <c r="O9" s="55"/>
      <c r="P9" s="55"/>
      <c r="Q9" s="55"/>
      <c r="R9" s="55"/>
      <c r="S9" s="55"/>
    </row>
    <row r="10" spans="1:20" ht="36" customHeight="1">
      <c r="A10" s="44">
        <f>IF(ISBLANK(Distance Control_3),"",Control_3 Distance)</f>
        <v>202.8</v>
      </c>
      <c r="B10" s="45">
        <f>Control_3 Open_time</f>
        <v>0.4569444444444445</v>
      </c>
      <c r="C10" s="45">
        <f>Control_3 Close_time</f>
        <v>0.7715277777777778</v>
      </c>
      <c r="D10" s="46">
        <f>IF(ISBLANK(Locale Control_3),"",Locale Control_3)</f>
        <v>0</v>
      </c>
      <c r="E10" s="40">
        <f>IF(ISBLANK(Control_3 Establishment_2),"",Control_3 Establishment_2)</f>
        <v>0</v>
      </c>
      <c r="F10" s="41"/>
      <c r="G10" s="42"/>
      <c r="H10" s="11" t="s">
        <v>50</v>
      </c>
      <c r="J10" s="56">
        <f>IF(ISBLANK(Brevet_Description),"",Brevet_Description)</f>
        <v>0</v>
      </c>
      <c r="K10" s="56"/>
      <c r="L10" s="56"/>
      <c r="M10" s="56"/>
      <c r="N10" s="56"/>
      <c r="O10" s="56"/>
      <c r="P10" s="56"/>
      <c r="Q10" s="56"/>
      <c r="R10" s="56"/>
      <c r="S10" s="56"/>
      <c r="T10" s="56"/>
    </row>
    <row r="11" spans="1:20" ht="36" customHeight="1">
      <c r="A11" s="47"/>
      <c r="B11" s="48">
        <f>Control_3 Open_time</f>
        <v>0.4569444444444445</v>
      </c>
      <c r="C11" s="48">
        <f>Control_3 Close_time</f>
        <v>0.7715277777777778</v>
      </c>
      <c r="D11" s="49"/>
      <c r="E11" s="50">
        <f>IF(ISBLANK(Control_3 Establishment_3),"",Control_3 Establishment_3)</f>
        <v>0</v>
      </c>
      <c r="F11" s="51"/>
      <c r="G11" s="52"/>
      <c r="H11" s="11" t="s">
        <v>50</v>
      </c>
      <c r="K11" s="57"/>
      <c r="L11" s="57"/>
      <c r="M11" s="57"/>
      <c r="N11" s="57"/>
      <c r="O11" s="57"/>
      <c r="P11" s="57"/>
      <c r="Q11" s="57"/>
      <c r="R11" s="57"/>
      <c r="S11" s="57"/>
      <c r="T11" s="57"/>
    </row>
    <row r="12" spans="1:20" ht="36" customHeight="1">
      <c r="A12" s="37"/>
      <c r="B12" s="38">
        <f>Control_4 Open_time</f>
        <v>0.61875</v>
      </c>
      <c r="C12" s="38">
        <f>Control_4 Close_time</f>
        <v>1.1159722222222221</v>
      </c>
      <c r="D12" s="53"/>
      <c r="E12" s="40">
        <f>IF(ISBLANK(Control_4 Establishment_1),"",Control_4 Establishment_1)</f>
        <v>0</v>
      </c>
      <c r="F12" s="41"/>
      <c r="G12" s="42"/>
      <c r="H12" s="11" t="s">
        <v>50</v>
      </c>
      <c r="J12" s="58" t="s">
        <v>56</v>
      </c>
      <c r="L12" s="59" t="str">
        <f>IF(ISBLANK(surname),"",First_Name&amp;" "&amp;Initial&amp;" "&amp;surname)</f>
        <v>  </v>
      </c>
      <c r="M12" s="60"/>
      <c r="N12" s="60"/>
      <c r="O12" s="60"/>
      <c r="P12" s="60"/>
      <c r="Q12" s="60"/>
      <c r="R12" s="60"/>
      <c r="S12" s="60"/>
      <c r="T12" s="61"/>
    </row>
    <row r="13" spans="1:20" ht="36" customHeight="1">
      <c r="A13" s="44">
        <f>IF(ISBLANK(Distance Control_4),"",Control_4 Distance)</f>
        <v>326.79999999999995</v>
      </c>
      <c r="B13" s="45">
        <f>Control_4 Open_time</f>
        <v>0.61875</v>
      </c>
      <c r="C13" s="45">
        <f>Control_4 Close_time</f>
        <v>1.1159722222222221</v>
      </c>
      <c r="D13" s="46">
        <f>IF(ISBLANK(Locale Control_4),"",Locale Control_4)</f>
        <v>0</v>
      </c>
      <c r="E13" s="40">
        <f>IF(ISBLANK(Control_4 Establishment_2),"",Control_4 Establishment_2)</f>
        <v>0</v>
      </c>
      <c r="F13" s="41"/>
      <c r="G13" s="42"/>
      <c r="H13" s="11" t="s">
        <v>50</v>
      </c>
      <c r="J13" s="58" t="s">
        <v>57</v>
      </c>
      <c r="K13" s="58"/>
      <c r="L13" s="62">
        <f>IF(ISBLANK(Address_1),"",Address_1)</f>
      </c>
      <c r="M13" s="63"/>
      <c r="N13" s="63"/>
      <c r="O13" s="63"/>
      <c r="P13" s="63"/>
      <c r="Q13" s="63"/>
      <c r="R13" s="63"/>
      <c r="S13" s="63"/>
      <c r="T13" s="64"/>
    </row>
    <row r="14" spans="1:20" ht="36" customHeight="1">
      <c r="A14" s="47"/>
      <c r="B14" s="48">
        <f>Control_4 Open_time</f>
        <v>0.61875</v>
      </c>
      <c r="C14" s="48">
        <f>Control_4 Close_time</f>
        <v>1.1159722222222221</v>
      </c>
      <c r="D14" s="49"/>
      <c r="E14" s="50">
        <f>IF(ISBLANK(Control_4 Establishment_3),"",Control_4 Establishment_3)</f>
        <v>0</v>
      </c>
      <c r="F14" s="51"/>
      <c r="G14" s="52"/>
      <c r="H14" s="11" t="s">
        <v>50</v>
      </c>
      <c r="J14" s="58"/>
      <c r="K14" s="58"/>
      <c r="L14" s="62">
        <f>IF(ISBLANK(Address_2),"",Address_2)</f>
      </c>
      <c r="M14" s="63"/>
      <c r="N14" s="63"/>
      <c r="O14" s="63"/>
      <c r="P14" s="63"/>
      <c r="Q14" s="63"/>
      <c r="R14" s="63"/>
      <c r="S14" s="63"/>
      <c r="T14" s="64"/>
    </row>
    <row r="15" spans="1:20" ht="36" customHeight="1">
      <c r="A15" s="37"/>
      <c r="B15" s="38">
        <f>Control_5 Open_time</f>
        <v>0.7215277777777778</v>
      </c>
      <c r="C15" s="38">
        <f>Control_5 Close_time</f>
        <v>1.3333333333333333</v>
      </c>
      <c r="D15" s="53"/>
      <c r="E15" s="40">
        <f>IF(ISBLANK(Control_5 Establishment_1),"",Control_5 Establishment_1)</f>
        <v>0</v>
      </c>
      <c r="F15" s="41"/>
      <c r="G15" s="42"/>
      <c r="H15" s="11" t="s">
        <v>50</v>
      </c>
      <c r="J15" s="58" t="s">
        <v>58</v>
      </c>
      <c r="K15" s="58"/>
      <c r="L15" s="62">
        <f>IF(ISBLANK(City),"",City)</f>
      </c>
      <c r="M15" s="63"/>
      <c r="N15" s="63"/>
      <c r="O15" s="65"/>
      <c r="P15" s="65" t="s">
        <v>59</v>
      </c>
      <c r="Q15" s="65"/>
      <c r="R15" s="65"/>
      <c r="S15" s="62">
        <f>IF(ISBLANK(Province_State),"",Province_State)</f>
      </c>
      <c r="T15" s="64"/>
    </row>
    <row r="16" spans="1:20" ht="36" customHeight="1">
      <c r="A16" s="44">
        <f>IF(ISBLANK(Distance Control_5),"",Control_5 Distance)</f>
        <v>405.49999999999994</v>
      </c>
      <c r="B16" s="45">
        <f>Control_5 Open_time</f>
        <v>0.7215277777777778</v>
      </c>
      <c r="C16" s="45">
        <f>Control_5 Close_time</f>
        <v>1.3333333333333333</v>
      </c>
      <c r="D16" s="46">
        <f>IF(ISBLANK(Locale Control_5),"",Locale Control_5)</f>
        <v>0</v>
      </c>
      <c r="E16" s="40">
        <f>IF(ISBLANK(Control_5 Establishment_2),"",Control_5 Establishment_2)</f>
        <v>0</v>
      </c>
      <c r="F16" s="41"/>
      <c r="G16" s="42"/>
      <c r="H16" s="11" t="s">
        <v>50</v>
      </c>
      <c r="J16" s="58" t="s">
        <v>60</v>
      </c>
      <c r="K16" s="58"/>
      <c r="L16" s="62">
        <f>IF(ISBLANK(Country),"",Country)</f>
      </c>
      <c r="M16" s="63"/>
      <c r="N16" s="63"/>
      <c r="O16" s="65"/>
      <c r="P16" s="65" t="s">
        <v>61</v>
      </c>
      <c r="Q16" s="65"/>
      <c r="R16" s="65"/>
      <c r="S16" s="66">
        <f>IF(ISBLANK(Postal_Code),"",Postal_Code)</f>
      </c>
      <c r="T16" s="66"/>
    </row>
    <row r="17" spans="1:19" ht="36" customHeight="1">
      <c r="A17" s="47"/>
      <c r="B17" s="48">
        <f>Control_5 Open_time</f>
        <v>0.7215277777777778</v>
      </c>
      <c r="C17" s="48">
        <f>Control_5 Close_time</f>
        <v>1.3333333333333333</v>
      </c>
      <c r="D17" s="49"/>
      <c r="E17" s="50">
        <f>IF(ISBLANK(Control_5 Establishment_3),"",Control_5 Establishment_3)</f>
        <v>0</v>
      </c>
      <c r="F17" s="51"/>
      <c r="G17" s="52"/>
      <c r="H17" s="11" t="s">
        <v>50</v>
      </c>
      <c r="L17" s="67"/>
      <c r="M17" s="67"/>
      <c r="N17" s="67"/>
      <c r="O17" s="67"/>
      <c r="P17" s="67"/>
      <c r="Q17" s="67"/>
      <c r="R17" s="67"/>
      <c r="S17" s="67"/>
    </row>
    <row r="18" spans="1:20" ht="36" customHeight="1">
      <c r="A18" s="37"/>
      <c r="B18" s="38">
        <f>Control_6 Open_time</f>
        <v>0</v>
      </c>
      <c r="C18" s="38">
        <f>Control_6 Close_time</f>
        <v>0</v>
      </c>
      <c r="D18" s="53"/>
      <c r="E18" s="40">
        <f>IF(ISBLANK(Control_6 Establishment_1),"",Control_6 Establishment_1)</f>
        <v>0</v>
      </c>
      <c r="F18" s="41"/>
      <c r="G18" s="42"/>
      <c r="H18" s="11" t="s">
        <v>50</v>
      </c>
      <c r="J18" s="58" t="s">
        <v>62</v>
      </c>
      <c r="L18" s="68">
        <f>IF(ISBLANK(Home_telephone),"",Home_telephone)</f>
      </c>
      <c r="M18" s="68"/>
      <c r="N18" s="68"/>
      <c r="O18" s="67"/>
      <c r="P18" s="65" t="s">
        <v>63</v>
      </c>
      <c r="Q18" s="69">
        <f>IF(ISBLANK(email),"",email)</f>
      </c>
      <c r="R18" s="70"/>
      <c r="S18" s="70"/>
      <c r="T18" s="71"/>
    </row>
    <row r="19" spans="1:19" ht="36" customHeight="1">
      <c r="A19" s="72">
        <f>IF(ISBLANK(Distance Control_6),"",Control_6 Distance)</f>
      </c>
      <c r="B19" s="73">
        <f>Control_6 Open_time</f>
        <v>0</v>
      </c>
      <c r="C19" s="73">
        <f>Control_6 Close_time</f>
        <v>0</v>
      </c>
      <c r="D19" s="40">
        <f>IF(ISBLANK(Locale Control_6),"",Locale Control_6)</f>
        <v>0</v>
      </c>
      <c r="E19" s="40">
        <f>IF(ISBLANK(Control_6 Establishment_2),"",Control_6 Establishment_2)</f>
        <v>0</v>
      </c>
      <c r="F19" s="41"/>
      <c r="G19" s="42"/>
      <c r="H19" s="11" t="s">
        <v>50</v>
      </c>
      <c r="L19" s="67"/>
      <c r="M19" s="67"/>
      <c r="N19" s="67"/>
      <c r="O19" s="67"/>
      <c r="P19" s="67"/>
      <c r="Q19" s="67"/>
      <c r="R19" s="67"/>
      <c r="S19" s="67"/>
    </row>
    <row r="20" spans="1:20" ht="36" customHeight="1">
      <c r="A20" s="47"/>
      <c r="B20" s="48">
        <f>Control_6 Open_time</f>
        <v>0</v>
      </c>
      <c r="C20" s="48">
        <f>Control_6 Close_time</f>
        <v>0</v>
      </c>
      <c r="D20" s="49"/>
      <c r="E20" s="50">
        <f>IF(ISBLANK(Control_6 Establishment_3),"",Control_6 Establishment_3)</f>
        <v>0</v>
      </c>
      <c r="F20" s="51"/>
      <c r="G20" s="52"/>
      <c r="H20" s="11" t="s">
        <v>50</v>
      </c>
      <c r="J20" s="74" t="s">
        <v>64</v>
      </c>
      <c r="K20" s="74"/>
      <c r="L20" s="74"/>
      <c r="M20" s="74"/>
      <c r="N20" s="74"/>
      <c r="O20" s="74"/>
      <c r="P20" s="74"/>
      <c r="Q20" s="74"/>
      <c r="R20" s="74"/>
      <c r="S20" s="74"/>
      <c r="T20" s="74"/>
    </row>
    <row r="21" spans="1:20" ht="36" customHeight="1">
      <c r="A21" s="37"/>
      <c r="B21" s="38">
        <f>Control_7 Open_time</f>
        <v>0</v>
      </c>
      <c r="C21" s="38">
        <f>Control_7 Close_time</f>
        <v>0</v>
      </c>
      <c r="D21" s="53"/>
      <c r="E21" s="40">
        <f>IF(ISBLANK(Control_7 Establishment_1),"",Control_7 Establishment_1)</f>
        <v>0</v>
      </c>
      <c r="F21" s="41"/>
      <c r="G21" s="42"/>
      <c r="H21" s="11" t="s">
        <v>50</v>
      </c>
      <c r="J21" s="74" t="s">
        <v>65</v>
      </c>
      <c r="K21" s="74"/>
      <c r="L21" s="74"/>
      <c r="M21" s="74"/>
      <c r="N21" s="74"/>
      <c r="O21" s="74"/>
      <c r="P21" s="74"/>
      <c r="Q21" s="74"/>
      <c r="R21" s="74"/>
      <c r="S21" s="74"/>
      <c r="T21" s="74"/>
    </row>
    <row r="22" spans="1:19" ht="36" customHeight="1">
      <c r="A22" s="72">
        <f>IF(ISBLANK(Distance Control_7),"",Control_7 Distance)</f>
      </c>
      <c r="B22" s="73">
        <f>Control_7 Open_time</f>
        <v>0</v>
      </c>
      <c r="C22" s="73">
        <f>Control_7 Close_time</f>
        <v>0</v>
      </c>
      <c r="D22" s="40">
        <f>IF(ISBLANK(Locale Control_7),"",Locale Control_7)</f>
        <v>0</v>
      </c>
      <c r="E22" s="40">
        <f>IF(ISBLANK(Control_7 Establishment_2),"",Control_7 Establishment_2)</f>
        <v>0</v>
      </c>
      <c r="F22" s="41"/>
      <c r="G22" s="42"/>
      <c r="H22" s="11" t="s">
        <v>50</v>
      </c>
      <c r="L22" s="67"/>
      <c r="M22" s="67"/>
      <c r="N22" s="67"/>
      <c r="O22" s="67"/>
      <c r="P22" s="67"/>
      <c r="Q22" s="67"/>
      <c r="R22" s="67"/>
      <c r="S22" s="67"/>
    </row>
    <row r="23" spans="1:20" ht="36" customHeight="1">
      <c r="A23" s="47"/>
      <c r="B23" s="48">
        <f>Control_7 Open_time</f>
        <v>0</v>
      </c>
      <c r="C23" s="48">
        <f>Control_7 Close_time</f>
        <v>0</v>
      </c>
      <c r="D23" s="49"/>
      <c r="E23" s="50">
        <f>IF(ISBLANK(Control_7 Establishment_3),"",Control_7 Establishment_3)</f>
        <v>0</v>
      </c>
      <c r="F23" s="51"/>
      <c r="G23" s="52"/>
      <c r="H23" s="11" t="s">
        <v>50</v>
      </c>
      <c r="J23" s="75" t="s">
        <v>66</v>
      </c>
      <c r="K23" s="75"/>
      <c r="L23" s="75"/>
      <c r="M23" s="75"/>
      <c r="N23" s="75"/>
      <c r="O23" s="75"/>
      <c r="P23" s="75"/>
      <c r="Q23" s="75"/>
      <c r="R23" s="75"/>
      <c r="S23" s="75"/>
      <c r="T23" s="75"/>
    </row>
    <row r="24" spans="1:20" ht="36" customHeight="1">
      <c r="A24" s="37"/>
      <c r="B24" s="38">
        <f>Control_8 Open_time</f>
        <v>0</v>
      </c>
      <c r="C24" s="38">
        <f>Control_8 Close_time</f>
        <v>0</v>
      </c>
      <c r="D24" s="53"/>
      <c r="E24" s="40">
        <f>IF(ISBLANK(Control_8 Establishment_1),"",Control_8 Establishment_1)</f>
        <v>0</v>
      </c>
      <c r="F24" s="41"/>
      <c r="G24" s="42"/>
      <c r="H24" s="11" t="s">
        <v>50</v>
      </c>
      <c r="J24" s="58" t="s">
        <v>67</v>
      </c>
      <c r="K24" s="76">
        <f>IF(ISBLANK(Start_date),"",Start_date)</f>
      </c>
      <c r="L24" s="76"/>
      <c r="M24" s="76"/>
      <c r="N24" s="67"/>
      <c r="O24" s="65" t="s">
        <v>68</v>
      </c>
      <c r="P24" s="67"/>
      <c r="Q24" s="70"/>
      <c r="R24" s="70"/>
      <c r="S24" s="70"/>
      <c r="T24" s="77"/>
    </row>
    <row r="25" spans="1:20" ht="36" customHeight="1">
      <c r="A25" s="72">
        <f>IF(ISBLANK(Distance Control_8),"",Control_8 Distance)</f>
      </c>
      <c r="B25" s="73">
        <f>Control_8 Open_time</f>
        <v>0</v>
      </c>
      <c r="C25" s="73">
        <f>Control_8 Close_time</f>
        <v>0</v>
      </c>
      <c r="D25" s="40">
        <f>IF(ISBLANK(Locale Control_8),"",Locale Control_8)</f>
        <v>0</v>
      </c>
      <c r="E25" s="40">
        <f>IF(ISBLANK(Control_8 Establishment_2),"",Control_8 Establishment_2)</f>
        <v>0</v>
      </c>
      <c r="F25" s="41"/>
      <c r="G25" s="42"/>
      <c r="H25" s="11" t="s">
        <v>50</v>
      </c>
      <c r="L25" s="67"/>
      <c r="M25" s="67"/>
      <c r="N25" s="67"/>
      <c r="O25" s="65" t="s">
        <v>69</v>
      </c>
      <c r="P25" s="67"/>
      <c r="Q25" s="70"/>
      <c r="R25" s="70"/>
      <c r="S25" s="70"/>
      <c r="T25" s="77"/>
    </row>
    <row r="26" spans="1:20" ht="36" customHeight="1">
      <c r="A26" s="47"/>
      <c r="B26" s="48">
        <f>Control_8 Open_time</f>
        <v>0</v>
      </c>
      <c r="C26" s="48">
        <f>Control_8 Close_time</f>
        <v>0</v>
      </c>
      <c r="D26" s="49"/>
      <c r="E26" s="50">
        <f>IF(ISBLANK(Control_8 Establishment_3),"",Control_8 Establishment_3)</f>
        <v>0</v>
      </c>
      <c r="F26" s="51"/>
      <c r="G26" s="52"/>
      <c r="H26" s="11" t="s">
        <v>50</v>
      </c>
      <c r="J26" s="77"/>
      <c r="K26" s="77"/>
      <c r="L26" s="70"/>
      <c r="M26" s="70"/>
      <c r="N26" s="67"/>
      <c r="O26" s="65" t="s">
        <v>70</v>
      </c>
      <c r="P26" s="67"/>
      <c r="Q26" s="70"/>
      <c r="R26" s="70"/>
      <c r="S26" s="70"/>
      <c r="T26" s="77"/>
    </row>
    <row r="27" spans="1:19" ht="36" customHeight="1">
      <c r="A27" s="37"/>
      <c r="B27" s="38">
        <f>Control_9 Open_time</f>
        <v>0</v>
      </c>
      <c r="C27" s="38">
        <f>Control_9 Close_time</f>
        <v>0</v>
      </c>
      <c r="D27" s="53"/>
      <c r="E27" s="40">
        <f>IF(ISBLANK(Control_9 Establishment_1),"",Control_9 Establishment_1)</f>
        <v>0</v>
      </c>
      <c r="F27" s="41"/>
      <c r="G27" s="42"/>
      <c r="H27" s="11" t="s">
        <v>50</v>
      </c>
      <c r="J27" s="78" t="s">
        <v>71</v>
      </c>
      <c r="K27" s="78"/>
      <c r="L27" s="78"/>
      <c r="M27" s="78"/>
      <c r="N27" s="67"/>
      <c r="O27" s="67"/>
      <c r="P27" s="67"/>
      <c r="Q27" s="67"/>
      <c r="R27" s="67"/>
      <c r="S27" s="67"/>
    </row>
    <row r="28" spans="1:19" ht="36" customHeight="1">
      <c r="A28" s="72">
        <f>IF(ISBLANK(Distance Control_9),"",Control_9 Distance)</f>
      </c>
      <c r="B28" s="73">
        <f>Control_9 Open_time</f>
        <v>0</v>
      </c>
      <c r="C28" s="73">
        <f>Control_9 Close_time</f>
        <v>0</v>
      </c>
      <c r="D28" s="40">
        <f>IF(ISBLANK(Locale Control_9),"",Locale Control_9)</f>
        <v>0</v>
      </c>
      <c r="E28" s="40">
        <f>IF(ISBLANK(Control_9 Establishment_2),"",Control_9 Establishment_2)</f>
        <v>0</v>
      </c>
      <c r="F28" s="41"/>
      <c r="G28" s="42"/>
      <c r="H28" s="11" t="s">
        <v>50</v>
      </c>
      <c r="L28" s="79" t="s">
        <v>72</v>
      </c>
      <c r="M28" s="79"/>
      <c r="N28" s="79"/>
      <c r="O28" s="79"/>
      <c r="P28" s="79"/>
      <c r="Q28" s="79"/>
      <c r="R28" s="67"/>
      <c r="S28" s="67"/>
    </row>
    <row r="29" spans="1:19" ht="36" customHeight="1">
      <c r="A29" s="47"/>
      <c r="B29" s="48">
        <f>Control_9 Open_time</f>
        <v>0</v>
      </c>
      <c r="C29" s="48">
        <f>Control_9 Close_time</f>
        <v>0</v>
      </c>
      <c r="D29" s="49"/>
      <c r="E29" s="50">
        <f>IF(ISBLANK(Control_9 Establishment_3),"",Control_9 Establishment_3)</f>
        <v>0</v>
      </c>
      <c r="F29" s="51"/>
      <c r="G29" s="52"/>
      <c r="H29" s="11" t="s">
        <v>50</v>
      </c>
      <c r="K29" s="80"/>
      <c r="L29" s="81"/>
      <c r="M29" s="81"/>
      <c r="N29" s="82"/>
      <c r="O29" s="83"/>
      <c r="P29" s="81"/>
      <c r="Q29" s="81"/>
      <c r="R29" s="82"/>
      <c r="S29" s="84" t="s">
        <v>73</v>
      </c>
    </row>
    <row r="30" spans="1:19" ht="36" customHeight="1">
      <c r="A30" s="37"/>
      <c r="B30" s="38">
        <f>Control_10 Open_time</f>
        <v>0</v>
      </c>
      <c r="C30" s="38">
        <f>Control_10 Close_time</f>
        <v>0</v>
      </c>
      <c r="D30" s="53"/>
      <c r="E30" s="40">
        <f>IF(ISBLANK(Control_10 Establishment_1),"",Control_10 Establishment_1)</f>
        <v>0</v>
      </c>
      <c r="F30" s="41"/>
      <c r="G30" s="42"/>
      <c r="H30" s="11" t="s">
        <v>50</v>
      </c>
      <c r="K30" s="85"/>
      <c r="L30" s="86"/>
      <c r="M30" s="86"/>
      <c r="N30" s="87"/>
      <c r="O30" s="88"/>
      <c r="P30" s="86"/>
      <c r="Q30" s="86"/>
      <c r="R30" s="87"/>
      <c r="S30" s="89" t="s">
        <v>74</v>
      </c>
    </row>
    <row r="31" spans="1:21" ht="36" customHeight="1">
      <c r="A31" s="72">
        <f>IF(ISBLANK(Distance Control_10),"",Control_10 Distance)</f>
      </c>
      <c r="B31" s="73">
        <f>Control_10 Open_time</f>
        <v>0</v>
      </c>
      <c r="C31" s="73">
        <f>Control_10 Close_time</f>
        <v>0</v>
      </c>
      <c r="D31" s="40">
        <f>IF(ISBLANK(Locale Control_10),"",Locale Control_10)</f>
        <v>0</v>
      </c>
      <c r="E31" s="40">
        <f>IF(ISBLANK(Control_10 Establishment_2),"",Control_10 Establishment_2)</f>
        <v>0</v>
      </c>
      <c r="F31" s="41"/>
      <c r="G31" s="42"/>
      <c r="H31" s="11" t="s">
        <v>50</v>
      </c>
      <c r="K31" s="90"/>
      <c r="L31" s="70"/>
      <c r="M31" s="70"/>
      <c r="N31" s="91"/>
      <c r="O31" s="92"/>
      <c r="P31" s="70"/>
      <c r="Q31" s="70"/>
      <c r="R31" s="91"/>
      <c r="S31" s="67"/>
      <c r="U31" s="93"/>
    </row>
    <row r="32" spans="1:21" ht="36" customHeight="1">
      <c r="A32" s="47"/>
      <c r="B32" s="48">
        <f>Control_10 Open_time</f>
        <v>0</v>
      </c>
      <c r="C32" s="48">
        <f>Control_10 Close_time</f>
        <v>0</v>
      </c>
      <c r="D32" s="49"/>
      <c r="E32" s="50">
        <f>IF(ISBLANK(Control_10 Establishment_3),"",Control_10 Establishment_3)</f>
        <v>0</v>
      </c>
      <c r="F32" s="51"/>
      <c r="G32" s="52"/>
      <c r="H32" s="11" t="s">
        <v>50</v>
      </c>
      <c r="L32" s="65" t="s">
        <v>75</v>
      </c>
      <c r="M32" s="67"/>
      <c r="N32" s="63" t="str">
        <f>IF(ISBLANK(Brevet_Number),"",Brevet_Number)</f>
        <v>VI0402A</v>
      </c>
      <c r="O32" s="63"/>
      <c r="P32" s="63"/>
      <c r="Q32" s="67"/>
      <c r="R32" s="67"/>
      <c r="S32" s="67"/>
      <c r="U32" s="93"/>
    </row>
    <row r="33" ht="36" customHeight="1">
      <c r="A33"/>
    </row>
    <row r="34" ht="36" customHeight="1">
      <c r="A34"/>
    </row>
    <row r="35" ht="36" customHeight="1">
      <c r="A35"/>
    </row>
    <row r="36" ht="36" customHeight="1">
      <c r="A36"/>
    </row>
    <row r="37" ht="36" customHeight="1">
      <c r="A37"/>
    </row>
    <row r="38" ht="36" customHeight="1">
      <c r="A38"/>
    </row>
    <row r="39" ht="36" customHeight="1">
      <c r="A39"/>
    </row>
    <row r="40" ht="36" customHeight="1">
      <c r="A40"/>
    </row>
  </sheetData>
  <sheetProtection selectLockedCells="1" selectUnlockedCells="1"/>
  <mergeCells count="12">
    <mergeCell ref="A1:G1"/>
    <mergeCell ref="J8:T8"/>
    <mergeCell ref="J9:S9"/>
    <mergeCell ref="J10:T10"/>
    <mergeCell ref="S16:T16"/>
    <mergeCell ref="L18:N18"/>
    <mergeCell ref="J20:T20"/>
    <mergeCell ref="J21:T21"/>
    <mergeCell ref="J23:T23"/>
    <mergeCell ref="K24:M24"/>
    <mergeCell ref="J27:M27"/>
    <mergeCell ref="L28:Q28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scale="5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showGridLines="0" workbookViewId="0" topLeftCell="A1">
      <pane xSplit="3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N36" sqref="N36"/>
    </sheetView>
  </sheetViews>
  <sheetFormatPr defaultColWidth="9.140625" defaultRowHeight="12.75"/>
  <cols>
    <col min="1" max="1" width="3.00390625" style="0" customWidth="1"/>
    <col min="2" max="2" width="14.57421875" style="0" customWidth="1"/>
    <col min="3" max="3" width="15.00390625" style="0" customWidth="1"/>
    <col min="4" max="4" width="6.140625" style="0" customWidth="1"/>
    <col min="5" max="6" width="30.7109375" style="0" customWidth="1"/>
    <col min="7" max="7" width="15.7109375" style="0" customWidth="1"/>
    <col min="9" max="9" width="8.00390625" style="0" customWidth="1"/>
    <col min="10" max="10" width="11.8515625" style="0" customWidth="1"/>
    <col min="11" max="11" width="16.00390625" style="0" customWidth="1"/>
    <col min="12" max="12" width="15.421875" style="0" customWidth="1"/>
    <col min="13" max="13" width="13.28125" style="0" customWidth="1"/>
    <col min="14" max="14" width="34.140625" style="0" customWidth="1"/>
    <col min="15" max="16" width="9.57421875" style="0" customWidth="1"/>
    <col min="18" max="18" width="8.8515625" style="0" customWidth="1"/>
  </cols>
  <sheetData>
    <row r="1" spans="1:18" ht="24.75">
      <c r="A1" s="94"/>
      <c r="B1" s="95" t="s">
        <v>76</v>
      </c>
      <c r="C1" s="95" t="s">
        <v>77</v>
      </c>
      <c r="D1" s="95" t="s">
        <v>78</v>
      </c>
      <c r="E1" s="95" t="s">
        <v>79</v>
      </c>
      <c r="F1" s="95" t="s">
        <v>80</v>
      </c>
      <c r="G1" s="95" t="s">
        <v>58</v>
      </c>
      <c r="H1" s="96" t="s">
        <v>59</v>
      </c>
      <c r="I1" s="95" t="s">
        <v>60</v>
      </c>
      <c r="J1" s="95" t="s">
        <v>61</v>
      </c>
      <c r="K1" s="97" t="s">
        <v>81</v>
      </c>
      <c r="L1" s="97" t="s">
        <v>82</v>
      </c>
      <c r="M1" s="98" t="s">
        <v>83</v>
      </c>
      <c r="N1" s="99" t="s">
        <v>63</v>
      </c>
      <c r="O1" s="100" t="s">
        <v>84</v>
      </c>
      <c r="P1" s="100" t="s">
        <v>85</v>
      </c>
      <c r="Q1" s="100" t="s">
        <v>86</v>
      </c>
      <c r="R1" s="100" t="s">
        <v>87</v>
      </c>
    </row>
    <row r="2" spans="1:18" ht="12.75">
      <c r="A2" s="94"/>
      <c r="B2" s="101">
        <f aca="true" t="shared" si="0" ref="B2:N2">IF(ISBLANK(B3),"",B3)</f>
      </c>
      <c r="C2" s="101">
        <f t="shared" si="0"/>
      </c>
      <c r="D2" s="101">
        <f t="shared" si="0"/>
      </c>
      <c r="E2" s="101">
        <f t="shared" si="0"/>
      </c>
      <c r="F2" s="101">
        <f t="shared" si="0"/>
      </c>
      <c r="G2" s="101">
        <f t="shared" si="0"/>
      </c>
      <c r="H2" s="101">
        <f t="shared" si="0"/>
      </c>
      <c r="I2" s="101">
        <f t="shared" si="0"/>
      </c>
      <c r="J2" s="101">
        <f t="shared" si="0"/>
      </c>
      <c r="K2" s="102">
        <f t="shared" si="0"/>
      </c>
      <c r="L2" s="102">
        <f t="shared" si="0"/>
      </c>
      <c r="M2" s="102">
        <f t="shared" si="0"/>
      </c>
      <c r="N2" s="101">
        <f t="shared" si="0"/>
      </c>
      <c r="O2" s="103"/>
      <c r="P2" s="104"/>
      <c r="Q2" s="103"/>
      <c r="R2" s="103"/>
    </row>
    <row r="3" spans="1:18" ht="12.75">
      <c r="A3" s="105">
        <v>1</v>
      </c>
      <c r="B3" s="106"/>
      <c r="C3" s="106"/>
      <c r="D3" s="106"/>
      <c r="E3" s="106"/>
      <c r="F3" s="106"/>
      <c r="G3" s="106"/>
      <c r="H3" s="106"/>
      <c r="I3" s="106"/>
      <c r="J3" s="106"/>
      <c r="K3" s="107"/>
      <c r="L3" s="107"/>
      <c r="M3" s="107"/>
      <c r="N3" s="106"/>
      <c r="O3" s="108"/>
      <c r="P3" s="109"/>
      <c r="Q3" s="108"/>
      <c r="R3" s="108"/>
    </row>
    <row r="4" spans="2:18" ht="12.75">
      <c r="B4" s="106"/>
      <c r="C4" s="106"/>
      <c r="D4" s="106"/>
      <c r="E4" s="106"/>
      <c r="F4" s="106"/>
      <c r="G4" s="106"/>
      <c r="H4" s="106"/>
      <c r="I4" s="106"/>
      <c r="J4" s="106"/>
      <c r="K4" s="107"/>
      <c r="L4" s="107"/>
      <c r="M4" s="107"/>
      <c r="N4" s="106"/>
      <c r="O4" s="109"/>
      <c r="P4" s="109"/>
      <c r="Q4" s="109"/>
      <c r="R4" s="108"/>
    </row>
    <row r="5" spans="1:18" ht="12.75">
      <c r="A5" s="105"/>
      <c r="B5" s="106"/>
      <c r="C5" s="106"/>
      <c r="D5" s="106"/>
      <c r="E5" s="106"/>
      <c r="F5" s="106"/>
      <c r="G5" s="106"/>
      <c r="H5" s="106"/>
      <c r="I5" s="106"/>
      <c r="J5" s="106"/>
      <c r="K5" s="107"/>
      <c r="L5" s="107"/>
      <c r="M5" s="107"/>
      <c r="N5" s="106"/>
      <c r="O5" s="108"/>
      <c r="P5" s="108"/>
      <c r="Q5" s="108"/>
      <c r="R5" s="108"/>
    </row>
    <row r="6" spans="1:18" ht="12.75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7"/>
      <c r="L6" s="107"/>
      <c r="M6" s="107"/>
      <c r="N6" s="106"/>
      <c r="O6" s="108"/>
      <c r="P6" s="108"/>
      <c r="Q6" s="108"/>
      <c r="R6" s="108"/>
    </row>
    <row r="7" spans="2:18" ht="12.75">
      <c r="B7" s="106"/>
      <c r="C7" s="106"/>
      <c r="D7" s="106"/>
      <c r="E7" s="106"/>
      <c r="F7" s="106"/>
      <c r="G7" s="106"/>
      <c r="H7" s="106"/>
      <c r="I7" s="106"/>
      <c r="J7" s="106"/>
      <c r="K7" s="107"/>
      <c r="L7" s="107"/>
      <c r="M7" s="107"/>
      <c r="N7" s="106"/>
      <c r="O7" s="109"/>
      <c r="P7" s="108"/>
      <c r="Q7" s="109"/>
      <c r="R7" s="108"/>
    </row>
    <row r="8" spans="1:18" ht="12.75">
      <c r="A8" s="105"/>
      <c r="B8" s="106"/>
      <c r="C8" s="106"/>
      <c r="D8" s="106"/>
      <c r="E8" s="106"/>
      <c r="F8" s="106"/>
      <c r="G8" s="106"/>
      <c r="H8" s="106"/>
      <c r="I8" s="106"/>
      <c r="J8" s="106"/>
      <c r="K8" s="107"/>
      <c r="L8" s="107"/>
      <c r="M8" s="107"/>
      <c r="N8" s="106"/>
      <c r="O8" s="108"/>
      <c r="P8" s="109"/>
      <c r="Q8" s="108"/>
      <c r="R8" s="108"/>
    </row>
    <row r="9" spans="2:18" ht="12.75">
      <c r="B9" s="106"/>
      <c r="C9" s="106"/>
      <c r="D9" s="106"/>
      <c r="E9" s="106"/>
      <c r="F9" s="106"/>
      <c r="G9" s="106"/>
      <c r="H9" s="106"/>
      <c r="I9" s="106"/>
      <c r="J9" s="106"/>
      <c r="K9" s="107"/>
      <c r="L9" s="107"/>
      <c r="M9" s="107"/>
      <c r="N9" s="106"/>
      <c r="O9" s="109"/>
      <c r="P9" s="109"/>
      <c r="Q9" s="109"/>
      <c r="R9" s="108"/>
    </row>
    <row r="10" spans="1:18" ht="12.75">
      <c r="A10" s="105"/>
      <c r="B10" s="106"/>
      <c r="C10" s="106"/>
      <c r="D10" s="106"/>
      <c r="E10" s="106"/>
      <c r="F10" s="106"/>
      <c r="G10" s="106"/>
      <c r="H10" s="106"/>
      <c r="I10" s="106"/>
      <c r="J10" s="106"/>
      <c r="K10" s="107"/>
      <c r="L10" s="107"/>
      <c r="M10" s="107"/>
      <c r="N10" s="106"/>
      <c r="O10" s="108"/>
      <c r="P10" s="109"/>
      <c r="Q10" s="108"/>
      <c r="R10" s="108"/>
    </row>
    <row r="11" spans="2:18" ht="12.75">
      <c r="B11" s="106"/>
      <c r="C11" s="106"/>
      <c r="D11" s="106"/>
      <c r="E11" s="106"/>
      <c r="F11" s="106"/>
      <c r="G11" s="106"/>
      <c r="H11" s="106"/>
      <c r="I11" s="106"/>
      <c r="J11" s="106"/>
      <c r="K11" s="107"/>
      <c r="L11" s="107"/>
      <c r="M11" s="107"/>
      <c r="N11" s="106"/>
      <c r="O11" s="109"/>
      <c r="P11" s="108"/>
      <c r="Q11" s="109"/>
      <c r="R11" s="108"/>
    </row>
    <row r="12" spans="1:18" ht="12.75">
      <c r="A12" s="105"/>
      <c r="B12" s="106"/>
      <c r="C12" s="106"/>
      <c r="D12" s="106"/>
      <c r="E12" s="106"/>
      <c r="F12" s="106"/>
      <c r="G12" s="106"/>
      <c r="H12" s="106"/>
      <c r="I12" s="106"/>
      <c r="J12" s="106"/>
      <c r="K12" s="107"/>
      <c r="L12" s="107"/>
      <c r="M12" s="107"/>
      <c r="N12" s="106"/>
      <c r="O12" s="108"/>
      <c r="P12" s="109"/>
      <c r="Q12" s="108"/>
      <c r="R12" s="108"/>
    </row>
    <row r="13" spans="1:18" ht="12.75">
      <c r="A13" s="105"/>
      <c r="B13" s="106"/>
      <c r="C13" s="106"/>
      <c r="D13" s="106"/>
      <c r="E13" s="106"/>
      <c r="F13" s="106"/>
      <c r="G13" s="106"/>
      <c r="H13" s="106"/>
      <c r="I13" s="106"/>
      <c r="J13" s="106"/>
      <c r="K13" s="107"/>
      <c r="L13" s="107"/>
      <c r="M13" s="107"/>
      <c r="N13" s="106"/>
      <c r="O13" s="108"/>
      <c r="P13" s="108"/>
      <c r="Q13" s="108"/>
      <c r="R13" s="108"/>
    </row>
    <row r="14" spans="1:18" ht="12.75">
      <c r="A14" s="105"/>
      <c r="B14" s="106"/>
      <c r="C14" s="106"/>
      <c r="D14" s="106"/>
      <c r="E14" s="106"/>
      <c r="F14" s="106"/>
      <c r="G14" s="106"/>
      <c r="H14" s="106"/>
      <c r="I14" s="106"/>
      <c r="J14" s="106"/>
      <c r="K14" s="107"/>
      <c r="L14" s="107"/>
      <c r="M14" s="107"/>
      <c r="N14" s="106"/>
      <c r="O14" s="108"/>
      <c r="P14" s="109"/>
      <c r="Q14" s="108"/>
      <c r="R14" s="108"/>
    </row>
    <row r="15" spans="1:18" ht="12.75">
      <c r="A15" s="105"/>
      <c r="B15" s="106"/>
      <c r="C15" s="106"/>
      <c r="D15" s="106"/>
      <c r="E15" s="106"/>
      <c r="F15" s="106"/>
      <c r="G15" s="106"/>
      <c r="H15" s="106"/>
      <c r="I15" s="106"/>
      <c r="J15" s="106"/>
      <c r="K15" s="107"/>
      <c r="L15" s="107"/>
      <c r="M15" s="107"/>
      <c r="N15" s="106"/>
      <c r="O15" s="108"/>
      <c r="P15" s="109"/>
      <c r="Q15" s="108"/>
      <c r="R15" s="108"/>
    </row>
    <row r="16" spans="1:18" ht="12.75">
      <c r="A16" s="105"/>
      <c r="B16" s="106"/>
      <c r="C16" s="106"/>
      <c r="D16" s="106"/>
      <c r="E16" s="106"/>
      <c r="F16" s="106"/>
      <c r="G16" s="106"/>
      <c r="H16" s="106"/>
      <c r="I16" s="106"/>
      <c r="J16" s="106"/>
      <c r="K16" s="107"/>
      <c r="L16" s="107"/>
      <c r="M16" s="107"/>
      <c r="N16" s="106"/>
      <c r="O16" s="108"/>
      <c r="P16" s="108"/>
      <c r="Q16" s="108"/>
      <c r="R16" s="108"/>
    </row>
    <row r="17" spans="1:18" ht="12.75">
      <c r="A17" s="105"/>
      <c r="B17" s="106"/>
      <c r="C17" s="106"/>
      <c r="D17" s="106"/>
      <c r="E17" s="106"/>
      <c r="F17" s="106"/>
      <c r="G17" s="106"/>
      <c r="H17" s="106"/>
      <c r="I17" s="106"/>
      <c r="J17" s="106"/>
      <c r="K17" s="110"/>
      <c r="L17" s="107"/>
      <c r="M17" s="107"/>
      <c r="N17" s="106"/>
      <c r="O17" s="108"/>
      <c r="P17" s="109"/>
      <c r="Q17" s="108"/>
      <c r="R17" s="108"/>
    </row>
    <row r="18" spans="1:18" ht="12.75">
      <c r="A18" s="105"/>
      <c r="B18" s="106"/>
      <c r="C18" s="106"/>
      <c r="D18" s="106"/>
      <c r="E18" s="111"/>
      <c r="F18" s="106"/>
      <c r="G18" s="106"/>
      <c r="H18" s="106"/>
      <c r="I18" s="106"/>
      <c r="J18" s="106"/>
      <c r="K18" s="107"/>
      <c r="L18" s="107"/>
      <c r="M18" s="107"/>
      <c r="N18" s="106"/>
      <c r="O18" s="108"/>
      <c r="P18" s="109"/>
      <c r="Q18" s="108"/>
      <c r="R18" s="108"/>
    </row>
    <row r="19" spans="1:18" ht="12.75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7"/>
      <c r="L19" s="107"/>
      <c r="M19" s="107"/>
      <c r="N19" s="106"/>
      <c r="O19" s="108"/>
      <c r="P19" s="109"/>
      <c r="Q19" s="108"/>
      <c r="R19" s="108"/>
    </row>
    <row r="20" spans="1:18" ht="12.75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7"/>
      <c r="L20" s="107"/>
      <c r="M20" s="107"/>
      <c r="N20" s="106"/>
      <c r="O20" s="108"/>
      <c r="P20" s="109"/>
      <c r="Q20" s="108"/>
      <c r="R20" s="108"/>
    </row>
    <row r="21" spans="1:18" ht="12.75">
      <c r="A21" s="105"/>
      <c r="B21" s="106"/>
      <c r="C21" s="106"/>
      <c r="D21" s="106"/>
      <c r="E21" s="106"/>
      <c r="F21" s="106"/>
      <c r="G21" s="106"/>
      <c r="H21" s="106"/>
      <c r="I21" s="106"/>
      <c r="J21" s="106"/>
      <c r="K21" s="107"/>
      <c r="L21" s="107"/>
      <c r="M21" s="107"/>
      <c r="N21" s="106"/>
      <c r="O21" s="108"/>
      <c r="P21" s="108"/>
      <c r="Q21" s="108"/>
      <c r="R21" s="108"/>
    </row>
    <row r="22" spans="1:18" ht="12.75">
      <c r="A22" s="105"/>
      <c r="B22" s="106"/>
      <c r="C22" s="106"/>
      <c r="D22" s="106"/>
      <c r="E22" s="106"/>
      <c r="F22" s="106"/>
      <c r="G22" s="106"/>
      <c r="H22" s="106"/>
      <c r="I22" s="106"/>
      <c r="J22" s="106"/>
      <c r="K22" s="107"/>
      <c r="L22" s="107"/>
      <c r="M22" s="107"/>
      <c r="N22" s="106"/>
      <c r="O22" s="108"/>
      <c r="P22" s="108"/>
      <c r="Q22" s="108"/>
      <c r="R22" s="108"/>
    </row>
    <row r="23" spans="1:18" ht="12.75">
      <c r="A23" s="105"/>
      <c r="B23" s="106"/>
      <c r="C23" s="106"/>
      <c r="D23" s="106"/>
      <c r="E23" s="106"/>
      <c r="F23" s="106"/>
      <c r="G23" s="106"/>
      <c r="H23" s="106"/>
      <c r="I23" s="106"/>
      <c r="J23" s="106"/>
      <c r="K23" s="107"/>
      <c r="L23" s="107"/>
      <c r="M23" s="107"/>
      <c r="N23" s="106"/>
      <c r="O23" s="108"/>
      <c r="P23" s="108"/>
      <c r="Q23" s="108"/>
      <c r="R23" s="108"/>
    </row>
    <row r="24" spans="1:18" ht="12.75">
      <c r="A24" s="105"/>
      <c r="B24" s="106"/>
      <c r="C24" s="106"/>
      <c r="D24" s="106"/>
      <c r="E24" s="106"/>
      <c r="F24" s="106"/>
      <c r="G24" s="106"/>
      <c r="H24" s="106"/>
      <c r="I24" s="106"/>
      <c r="J24" s="106"/>
      <c r="K24" s="107"/>
      <c r="L24" s="107"/>
      <c r="M24" s="107"/>
      <c r="N24" s="106"/>
      <c r="O24" s="108"/>
      <c r="P24" s="109"/>
      <c r="Q24" s="108"/>
      <c r="R24" s="108"/>
    </row>
    <row r="25" spans="1:18" ht="12.75">
      <c r="A25" s="105"/>
      <c r="B25" s="106"/>
      <c r="C25" s="106"/>
      <c r="D25" s="106"/>
      <c r="E25" s="106"/>
      <c r="F25" s="106"/>
      <c r="G25" s="106"/>
      <c r="H25" s="106"/>
      <c r="I25" s="106"/>
      <c r="J25" s="106"/>
      <c r="K25" s="107"/>
      <c r="L25" s="107"/>
      <c r="M25" s="107"/>
      <c r="N25" s="106"/>
      <c r="O25" s="108"/>
      <c r="P25" s="108"/>
      <c r="Q25" s="108"/>
      <c r="R25" s="108"/>
    </row>
    <row r="26" spans="1:18" ht="12.75">
      <c r="A26" s="105"/>
      <c r="B26" s="106"/>
      <c r="C26" s="106"/>
      <c r="D26" s="106"/>
      <c r="E26" s="106"/>
      <c r="F26" s="106"/>
      <c r="G26" s="106"/>
      <c r="H26" s="106"/>
      <c r="I26" s="106"/>
      <c r="J26" s="106"/>
      <c r="K26" s="107"/>
      <c r="L26" s="107"/>
      <c r="M26" s="107"/>
      <c r="N26" s="106"/>
      <c r="O26" s="108"/>
      <c r="P26" s="109"/>
      <c r="Q26" s="108"/>
      <c r="R26" s="108"/>
    </row>
    <row r="27" spans="1:18" ht="12.75">
      <c r="A27" s="105"/>
      <c r="B27" s="106"/>
      <c r="C27" s="106"/>
      <c r="D27" s="106"/>
      <c r="E27" s="106"/>
      <c r="F27" s="106"/>
      <c r="G27" s="106"/>
      <c r="H27" s="106"/>
      <c r="I27" s="106"/>
      <c r="J27" s="106"/>
      <c r="K27" s="107"/>
      <c r="L27" s="107"/>
      <c r="M27" s="107"/>
      <c r="N27" s="106"/>
      <c r="O27" s="108"/>
      <c r="P27" s="109"/>
      <c r="Q27" s="108"/>
      <c r="R27" s="108"/>
    </row>
    <row r="28" spans="1:18" ht="12.75">
      <c r="A28" s="105"/>
      <c r="B28" s="106"/>
      <c r="C28" s="106"/>
      <c r="D28" s="106"/>
      <c r="E28" s="106"/>
      <c r="F28" s="106"/>
      <c r="G28" s="106"/>
      <c r="H28" s="106"/>
      <c r="I28" s="106"/>
      <c r="J28" s="106"/>
      <c r="K28" s="107"/>
      <c r="L28" s="107"/>
      <c r="M28" s="107"/>
      <c r="N28" s="106"/>
      <c r="O28" s="108"/>
      <c r="P28" s="109"/>
      <c r="Q28" s="108"/>
      <c r="R28" s="108"/>
    </row>
    <row r="29" spans="1:18" ht="12.75">
      <c r="A29" s="105"/>
      <c r="B29" s="106"/>
      <c r="C29" s="106"/>
      <c r="D29" s="106"/>
      <c r="E29" s="106"/>
      <c r="F29" s="106"/>
      <c r="G29" s="106"/>
      <c r="H29" s="106"/>
      <c r="I29" s="106"/>
      <c r="J29" s="106"/>
      <c r="K29" s="107"/>
      <c r="L29" s="107"/>
      <c r="M29" s="107"/>
      <c r="N29" s="106"/>
      <c r="O29" s="108"/>
      <c r="P29" s="109"/>
      <c r="Q29" s="108"/>
      <c r="R29" s="108"/>
    </row>
    <row r="30" spans="1:18" ht="12.75">
      <c r="A30" s="105"/>
      <c r="B30" s="106"/>
      <c r="C30" s="106"/>
      <c r="D30" s="106"/>
      <c r="E30" s="106"/>
      <c r="F30" s="106"/>
      <c r="G30" s="106"/>
      <c r="H30" s="106"/>
      <c r="I30" s="106"/>
      <c r="J30" s="106"/>
      <c r="K30" s="107"/>
      <c r="L30" s="107"/>
      <c r="M30" s="107"/>
      <c r="N30" s="106"/>
      <c r="O30" s="108"/>
      <c r="P30" s="109"/>
      <c r="Q30" s="108"/>
      <c r="R30" s="108"/>
    </row>
    <row r="31" spans="1:18" ht="12.75">
      <c r="A31" s="105"/>
      <c r="B31" s="106"/>
      <c r="C31" s="106"/>
      <c r="D31" s="106"/>
      <c r="E31" s="106"/>
      <c r="F31" s="106"/>
      <c r="G31" s="106"/>
      <c r="H31" s="106"/>
      <c r="I31" s="106"/>
      <c r="J31" s="106"/>
      <c r="K31" s="107"/>
      <c r="L31" s="107"/>
      <c r="M31" s="107"/>
      <c r="N31" s="106"/>
      <c r="O31" s="108"/>
      <c r="P31" s="109"/>
      <c r="Q31" s="108"/>
      <c r="R31" s="108"/>
    </row>
    <row r="32" spans="11:18" ht="12.75">
      <c r="K32" s="112"/>
      <c r="L32" s="112"/>
      <c r="M32" s="112"/>
      <c r="O32" s="113"/>
      <c r="Q32" s="113"/>
      <c r="R32" s="113"/>
    </row>
    <row r="34" ht="12.75">
      <c r="P34" t="s">
        <v>88</v>
      </c>
    </row>
    <row r="35" ht="12.75">
      <c r="P35" t="s">
        <v>89</v>
      </c>
    </row>
    <row r="36" ht="12.75">
      <c r="P36" t="s">
        <v>90</v>
      </c>
    </row>
    <row r="37" ht="12.75">
      <c r="P37" t="s">
        <v>91</v>
      </c>
    </row>
    <row r="38" ht="12.75">
      <c r="P38" t="s">
        <v>92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73"/>
  <sheetViews>
    <sheetView showGridLines="0" tabSelected="1" zoomScale="75" zoomScaleNormal="75" workbookViewId="0" topLeftCell="A1">
      <selection activeCell="A26" sqref="A26"/>
    </sheetView>
  </sheetViews>
  <sheetFormatPr defaultColWidth="9.140625" defaultRowHeight="12.75"/>
  <cols>
    <col min="1" max="1" width="5.57421875" style="114" customWidth="1"/>
    <col min="2" max="2" width="3.7109375" style="115" customWidth="1"/>
    <col min="3" max="3" width="32.421875" style="116" customWidth="1"/>
    <col min="4" max="4" width="5.57421875" style="114" customWidth="1"/>
    <col min="5" max="5" width="0.71875" style="0" customWidth="1"/>
    <col min="6" max="6" width="5.57421875" style="114" customWidth="1"/>
    <col min="7" max="7" width="3.7109375" style="115" customWidth="1"/>
    <col min="8" max="8" width="31.7109375" style="116" customWidth="1"/>
    <col min="9" max="9" width="5.57421875" style="114" customWidth="1"/>
    <col min="12" max="12" width="9.140625" style="117" customWidth="1"/>
  </cols>
  <sheetData>
    <row r="1" spans="1:9" ht="60.75">
      <c r="A1" s="118" t="s">
        <v>93</v>
      </c>
      <c r="B1" s="119" t="s">
        <v>94</v>
      </c>
      <c r="C1" s="120" t="s">
        <v>95</v>
      </c>
      <c r="D1" s="121" t="s">
        <v>96</v>
      </c>
      <c r="F1" s="118" t="s">
        <v>93</v>
      </c>
      <c r="G1" s="119" t="s">
        <v>94</v>
      </c>
      <c r="H1" s="120" t="s">
        <v>95</v>
      </c>
      <c r="I1" s="121" t="s">
        <v>96</v>
      </c>
    </row>
    <row r="2" spans="1:9" ht="12.75">
      <c r="A2" s="122"/>
      <c r="B2" s="123"/>
      <c r="C2" s="124" t="s">
        <v>97</v>
      </c>
      <c r="D2" s="125"/>
      <c r="F2" s="122">
        <f>A12+D12</f>
        <v>78.80000000000001</v>
      </c>
      <c r="G2" s="126" t="s">
        <v>98</v>
      </c>
      <c r="H2" s="127" t="s">
        <v>99</v>
      </c>
      <c r="I2" s="125">
        <v>0.2</v>
      </c>
    </row>
    <row r="3" spans="1:9" ht="12.75">
      <c r="A3" s="122"/>
      <c r="B3" s="123"/>
      <c r="C3" s="124" t="s">
        <v>100</v>
      </c>
      <c r="D3" s="125"/>
      <c r="F3" s="122">
        <f>F2+I2</f>
        <v>79.00000000000001</v>
      </c>
      <c r="G3" s="126" t="s">
        <v>101</v>
      </c>
      <c r="H3" s="127" t="s">
        <v>102</v>
      </c>
      <c r="I3" s="125">
        <v>2.7</v>
      </c>
    </row>
    <row r="4" spans="1:9" ht="12.75">
      <c r="A4" s="122"/>
      <c r="B4" s="123"/>
      <c r="C4" s="128"/>
      <c r="D4" s="125"/>
      <c r="F4" s="122">
        <f>F3+I3</f>
        <v>81.70000000000002</v>
      </c>
      <c r="G4" s="126" t="s">
        <v>103</v>
      </c>
      <c r="H4" s="127" t="s">
        <v>104</v>
      </c>
      <c r="I4" s="125">
        <v>88.2</v>
      </c>
    </row>
    <row r="5" spans="1:9" ht="12.75">
      <c r="A5" s="122">
        <v>0</v>
      </c>
      <c r="B5" s="123" t="s">
        <v>98</v>
      </c>
      <c r="C5" s="129" t="s">
        <v>105</v>
      </c>
      <c r="D5" s="125">
        <v>0.8</v>
      </c>
      <c r="F5" s="122">
        <f>F4+I4</f>
        <v>169.90000000000003</v>
      </c>
      <c r="G5" s="126" t="s">
        <v>101</v>
      </c>
      <c r="H5" s="127" t="s">
        <v>106</v>
      </c>
      <c r="I5" s="125">
        <v>29.7</v>
      </c>
    </row>
    <row r="6" spans="1:9" ht="12.75">
      <c r="A6" s="122">
        <f>A5+D5</f>
        <v>0.8</v>
      </c>
      <c r="B6" s="123" t="s">
        <v>103</v>
      </c>
      <c r="C6" s="129" t="s">
        <v>107</v>
      </c>
      <c r="D6" s="125">
        <v>10.5</v>
      </c>
      <c r="F6" s="122">
        <f>F5+I5</f>
        <v>199.60000000000002</v>
      </c>
      <c r="G6" s="126" t="s">
        <v>103</v>
      </c>
      <c r="H6" s="127" t="s">
        <v>108</v>
      </c>
      <c r="I6" s="125">
        <v>3.2</v>
      </c>
    </row>
    <row r="7" spans="1:12" ht="12.75">
      <c r="A7" s="122">
        <f>A6+D6</f>
        <v>11.3</v>
      </c>
      <c r="B7" s="123" t="s">
        <v>103</v>
      </c>
      <c r="C7" s="129" t="s">
        <v>109</v>
      </c>
      <c r="D7" s="125">
        <v>21.9</v>
      </c>
      <c r="F7" s="122"/>
      <c r="G7" s="126"/>
      <c r="H7" s="127"/>
      <c r="I7" s="125"/>
      <c r="L7"/>
    </row>
    <row r="8" spans="1:9" ht="12.75">
      <c r="A8" s="122">
        <f>A7+D7</f>
        <v>33.2</v>
      </c>
      <c r="B8" s="123" t="s">
        <v>101</v>
      </c>
      <c r="C8" s="130" t="s">
        <v>110</v>
      </c>
      <c r="D8" s="125">
        <v>0.8</v>
      </c>
      <c r="F8" s="131">
        <f>F6+I6</f>
        <v>202.8</v>
      </c>
      <c r="G8" s="126"/>
      <c r="H8" s="132" t="s">
        <v>111</v>
      </c>
      <c r="I8" s="125"/>
    </row>
    <row r="9" spans="1:12" ht="12.75">
      <c r="A9" s="122">
        <f>A8+D8</f>
        <v>34</v>
      </c>
      <c r="B9" s="123" t="s">
        <v>98</v>
      </c>
      <c r="C9" s="130" t="s">
        <v>112</v>
      </c>
      <c r="D9" s="125">
        <v>9.6</v>
      </c>
      <c r="F9" s="122"/>
      <c r="G9" s="126"/>
      <c r="H9" s="132" t="s">
        <v>113</v>
      </c>
      <c r="I9" s="125"/>
      <c r="L9"/>
    </row>
    <row r="10" spans="1:12" ht="12.75">
      <c r="A10" s="122">
        <f>A9+D9</f>
        <v>43.6</v>
      </c>
      <c r="B10" s="123" t="s">
        <v>98</v>
      </c>
      <c r="C10" s="130" t="s">
        <v>114</v>
      </c>
      <c r="D10" s="125">
        <v>35.2</v>
      </c>
      <c r="F10" s="122"/>
      <c r="G10" s="126"/>
      <c r="H10" s="126"/>
      <c r="I10" s="125"/>
      <c r="L10"/>
    </row>
    <row r="11" spans="1:12" ht="12.75">
      <c r="A11" s="122"/>
      <c r="B11" s="123"/>
      <c r="C11" s="130"/>
      <c r="D11" s="125"/>
      <c r="F11" s="122"/>
      <c r="G11" s="126"/>
      <c r="H11" s="127" t="s">
        <v>115</v>
      </c>
      <c r="I11" s="125"/>
      <c r="L11"/>
    </row>
    <row r="12" spans="1:12" ht="12.75">
      <c r="A12" s="131">
        <f>A10+D10</f>
        <v>78.80000000000001</v>
      </c>
      <c r="B12" s="133" t="s">
        <v>98</v>
      </c>
      <c r="C12" s="133" t="s">
        <v>116</v>
      </c>
      <c r="D12" s="134">
        <v>0</v>
      </c>
      <c r="F12" s="122"/>
      <c r="G12" s="126"/>
      <c r="H12" s="127" t="s">
        <v>117</v>
      </c>
      <c r="I12" s="125"/>
      <c r="L12"/>
    </row>
    <row r="13" spans="1:12" ht="12.75">
      <c r="A13" s="122"/>
      <c r="B13" s="133"/>
      <c r="C13" s="133" t="s">
        <v>118</v>
      </c>
      <c r="D13" s="134"/>
      <c r="F13" s="122"/>
      <c r="G13" s="126"/>
      <c r="H13" s="127" t="s">
        <v>119</v>
      </c>
      <c r="I13" s="125"/>
      <c r="L13"/>
    </row>
    <row r="14" spans="1:12" ht="12.75">
      <c r="A14" s="122"/>
      <c r="B14" s="133"/>
      <c r="C14" s="135"/>
      <c r="D14" s="134"/>
      <c r="F14" s="122"/>
      <c r="G14" s="126"/>
      <c r="H14" s="127"/>
      <c r="I14" s="125"/>
      <c r="L14"/>
    </row>
    <row r="15" spans="1:12" ht="12.75">
      <c r="A15" s="122"/>
      <c r="B15" s="133"/>
      <c r="C15" s="135" t="s">
        <v>120</v>
      </c>
      <c r="D15" s="134"/>
      <c r="F15" s="122"/>
      <c r="G15" s="126" t="s">
        <v>121</v>
      </c>
      <c r="H15" s="127" t="s">
        <v>122</v>
      </c>
      <c r="I15" s="125">
        <v>3.2</v>
      </c>
      <c r="L15"/>
    </row>
    <row r="16" spans="1:12" ht="12.75">
      <c r="A16" s="122"/>
      <c r="B16" s="123"/>
      <c r="C16" s="130"/>
      <c r="D16" s="125"/>
      <c r="F16" s="122">
        <f>F8+I15</f>
        <v>206</v>
      </c>
      <c r="G16" s="126" t="s">
        <v>103</v>
      </c>
      <c r="H16" s="127" t="s">
        <v>123</v>
      </c>
      <c r="I16" s="125">
        <v>29.7</v>
      </c>
      <c r="L16"/>
    </row>
    <row r="17" spans="1:12" ht="12.75">
      <c r="A17" s="122"/>
      <c r="B17" s="123"/>
      <c r="C17" s="130"/>
      <c r="D17" s="125"/>
      <c r="F17" s="122">
        <f>F16+I16</f>
        <v>235.7</v>
      </c>
      <c r="G17" s="126" t="s">
        <v>98</v>
      </c>
      <c r="H17" s="127" t="s">
        <v>124</v>
      </c>
      <c r="I17" s="125">
        <v>88.2</v>
      </c>
      <c r="L17"/>
    </row>
    <row r="18" spans="1:12" ht="12.75">
      <c r="A18" s="122"/>
      <c r="B18" s="123"/>
      <c r="C18" s="130"/>
      <c r="D18" s="125"/>
      <c r="F18" s="122">
        <f>F17+I17</f>
        <v>323.9</v>
      </c>
      <c r="G18" s="126" t="s">
        <v>103</v>
      </c>
      <c r="H18" s="127" t="s">
        <v>102</v>
      </c>
      <c r="I18" s="125">
        <v>2.7</v>
      </c>
      <c r="L18"/>
    </row>
    <row r="19" spans="1:12" ht="12.75">
      <c r="A19" s="122"/>
      <c r="B19" s="123"/>
      <c r="C19" s="130"/>
      <c r="D19" s="125"/>
      <c r="F19" s="122">
        <f>F18+I18</f>
        <v>326.59999999999997</v>
      </c>
      <c r="G19" s="126" t="s">
        <v>98</v>
      </c>
      <c r="H19" s="127" t="s">
        <v>125</v>
      </c>
      <c r="I19" s="125">
        <v>0.2</v>
      </c>
      <c r="L19"/>
    </row>
    <row r="20" spans="1:12" ht="12.75">
      <c r="A20" s="122"/>
      <c r="B20" s="123"/>
      <c r="C20" s="130"/>
      <c r="D20" s="125"/>
      <c r="F20" s="122"/>
      <c r="G20" s="126"/>
      <c r="H20" s="127"/>
      <c r="I20" s="125"/>
      <c r="L20"/>
    </row>
    <row r="21" spans="1:9" ht="12.75">
      <c r="A21" s="122"/>
      <c r="B21" s="123"/>
      <c r="C21" s="130"/>
      <c r="D21" s="125"/>
      <c r="F21" s="136">
        <f>F19+I19</f>
        <v>326.79999999999995</v>
      </c>
      <c r="G21" s="137" t="s">
        <v>101</v>
      </c>
      <c r="H21" s="132" t="s">
        <v>126</v>
      </c>
      <c r="I21" s="134"/>
    </row>
    <row r="22" spans="1:9" ht="12.75">
      <c r="A22" s="122"/>
      <c r="B22" s="123"/>
      <c r="C22" s="130"/>
      <c r="D22" s="125"/>
      <c r="F22" s="131"/>
      <c r="G22" s="132"/>
      <c r="H22" s="132" t="s">
        <v>118</v>
      </c>
      <c r="I22" s="134"/>
    </row>
    <row r="23" spans="1:9" ht="12.75">
      <c r="A23" s="138"/>
      <c r="B23" s="139"/>
      <c r="C23" s="140"/>
      <c r="D23" s="141"/>
      <c r="F23" s="138"/>
      <c r="G23" s="139"/>
      <c r="H23" s="140"/>
      <c r="I23" s="141"/>
    </row>
    <row r="24" spans="1:9" ht="4.5" customHeight="1">
      <c r="A24" s="142"/>
      <c r="B24" s="143"/>
      <c r="C24" s="144"/>
      <c r="D24" s="142"/>
      <c r="F24"/>
      <c r="G24"/>
      <c r="H24"/>
      <c r="I24"/>
    </row>
    <row r="25" spans="1:9" ht="60.75">
      <c r="A25" s="118" t="s">
        <v>93</v>
      </c>
      <c r="B25" s="119" t="s">
        <v>94</v>
      </c>
      <c r="C25" s="120" t="s">
        <v>95</v>
      </c>
      <c r="D25" s="121" t="s">
        <v>96</v>
      </c>
      <c r="F25"/>
      <c r="G25"/>
      <c r="H25"/>
      <c r="I25"/>
    </row>
    <row r="26" spans="1:104" s="145" customFormat="1" ht="12.75">
      <c r="A26" s="122"/>
      <c r="B26" s="126" t="s">
        <v>101</v>
      </c>
      <c r="C26" s="127" t="s">
        <v>125</v>
      </c>
      <c r="D26" s="125">
        <v>35.2</v>
      </c>
      <c r="E26"/>
      <c r="F26"/>
      <c r="G26"/>
      <c r="H26"/>
      <c r="I26"/>
      <c r="J26"/>
      <c r="K26"/>
      <c r="L26" s="117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</row>
    <row r="27" spans="1:104" s="145" customFormat="1" ht="12.75">
      <c r="A27" s="122">
        <f>F21+D26</f>
        <v>361.99999999999994</v>
      </c>
      <c r="B27" s="126" t="s">
        <v>101</v>
      </c>
      <c r="C27" s="127" t="s">
        <v>127</v>
      </c>
      <c r="D27" s="125">
        <v>9.1</v>
      </c>
      <c r="E27"/>
      <c r="F27"/>
      <c r="G27"/>
      <c r="H27"/>
      <c r="I27"/>
      <c r="J27"/>
      <c r="K27"/>
      <c r="L27" s="11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</row>
    <row r="28" spans="1:104" s="145" customFormat="1" ht="12.75">
      <c r="A28" s="122">
        <f>A27+D27</f>
        <v>371.09999999999997</v>
      </c>
      <c r="B28" s="126" t="s">
        <v>101</v>
      </c>
      <c r="C28" s="127" t="s">
        <v>128</v>
      </c>
      <c r="D28" s="125">
        <v>22.4</v>
      </c>
      <c r="E28"/>
      <c r="F28"/>
      <c r="G28"/>
      <c r="H28"/>
      <c r="I28"/>
      <c r="J28"/>
      <c r="K28"/>
      <c r="L28" s="117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04" s="145" customFormat="1" ht="12.75">
      <c r="A29" s="122">
        <f>A28+D28</f>
        <v>393.49999999999994</v>
      </c>
      <c r="B29" s="126" t="s">
        <v>101</v>
      </c>
      <c r="C29" s="127" t="s">
        <v>129</v>
      </c>
      <c r="D29" s="125">
        <v>0.7</v>
      </c>
      <c r="E29"/>
      <c r="F29"/>
      <c r="G29"/>
      <c r="H29"/>
      <c r="I29"/>
      <c r="J29"/>
      <c r="K29"/>
      <c r="L29" s="117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1:104" s="145" customFormat="1" ht="12.75">
      <c r="A30" s="122">
        <f>A29+D29</f>
        <v>394.19999999999993</v>
      </c>
      <c r="B30" s="146" t="s">
        <v>103</v>
      </c>
      <c r="C30" s="129" t="s">
        <v>130</v>
      </c>
      <c r="D30" s="147">
        <v>10.5</v>
      </c>
      <c r="E30"/>
      <c r="F30"/>
      <c r="G30"/>
      <c r="H30"/>
      <c r="I30"/>
      <c r="J30"/>
      <c r="K30"/>
      <c r="L30" s="117"/>
      <c r="M30" s="117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</row>
    <row r="31" spans="1:104" s="145" customFormat="1" ht="12.75">
      <c r="A31" s="122">
        <f>A30+D30</f>
        <v>404.69999999999993</v>
      </c>
      <c r="B31" s="146" t="s">
        <v>103</v>
      </c>
      <c r="C31" s="130" t="s">
        <v>131</v>
      </c>
      <c r="D31" s="147">
        <v>0.8</v>
      </c>
      <c r="E31"/>
      <c r="F31"/>
      <c r="G31"/>
      <c r="H31"/>
      <c r="I31"/>
      <c r="J31"/>
      <c r="K31"/>
      <c r="L31" s="117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</row>
    <row r="32" spans="1:104" s="145" customFormat="1" ht="12.75">
      <c r="A32" s="136"/>
      <c r="B32" s="137"/>
      <c r="C32" s="133"/>
      <c r="D32" s="134"/>
      <c r="E32"/>
      <c r="F32"/>
      <c r="G32"/>
      <c r="H32"/>
      <c r="I32"/>
      <c r="J32"/>
      <c r="K32"/>
      <c r="L32" s="117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</row>
    <row r="33" spans="1:104" s="145" customFormat="1" ht="12.75">
      <c r="A33" s="131">
        <f>A31+D31</f>
        <v>405.49999999999994</v>
      </c>
      <c r="B33" s="124" t="s">
        <v>101</v>
      </c>
      <c r="C33" s="124" t="s">
        <v>132</v>
      </c>
      <c r="D33" s="148">
        <v>0</v>
      </c>
      <c r="E33"/>
      <c r="F33"/>
      <c r="G33"/>
      <c r="H33"/>
      <c r="I33"/>
      <c r="J33"/>
      <c r="K33"/>
      <c r="L33" s="117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</row>
    <row r="34" spans="1:104" s="145" customFormat="1" ht="12.75">
      <c r="A34" s="122"/>
      <c r="B34" s="146"/>
      <c r="C34" s="124" t="s">
        <v>100</v>
      </c>
      <c r="D34" s="147"/>
      <c r="E34"/>
      <c r="F34"/>
      <c r="G34"/>
      <c r="H34"/>
      <c r="I34"/>
      <c r="J34"/>
      <c r="K34"/>
      <c r="L34" s="117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</row>
    <row r="35" spans="1:104" s="145" customFormat="1" ht="12.75">
      <c r="A35" s="149"/>
      <c r="B35" s="150"/>
      <c r="C35" s="129"/>
      <c r="D35" s="147"/>
      <c r="E35"/>
      <c r="F35"/>
      <c r="G35"/>
      <c r="H35"/>
      <c r="I35"/>
      <c r="J35"/>
      <c r="K35"/>
      <c r="L35" s="117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</row>
    <row r="36" spans="1:104" s="145" customFormat="1" ht="12.75">
      <c r="A36" s="149"/>
      <c r="B36" s="150"/>
      <c r="C36" s="129"/>
      <c r="D36" s="147"/>
      <c r="E36"/>
      <c r="F36"/>
      <c r="G36"/>
      <c r="H36"/>
      <c r="I36"/>
      <c r="J36"/>
      <c r="K36"/>
      <c r="L36" s="117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</row>
    <row r="37" spans="1:104" s="145" customFormat="1" ht="12.75">
      <c r="A37" s="149"/>
      <c r="B37" s="150"/>
      <c r="C37" s="130"/>
      <c r="D37" s="147"/>
      <c r="E37"/>
      <c r="F37"/>
      <c r="G37"/>
      <c r="H37"/>
      <c r="I37"/>
      <c r="J37"/>
      <c r="K37"/>
      <c r="L37" s="11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</row>
    <row r="38" spans="1:104" s="145" customFormat="1" ht="12.75">
      <c r="A38" s="131"/>
      <c r="B38" s="146"/>
      <c r="C38" s="151"/>
      <c r="D38" s="147"/>
      <c r="E38"/>
      <c r="F38"/>
      <c r="G38"/>
      <c r="H38"/>
      <c r="I38"/>
      <c r="J38"/>
      <c r="K38"/>
      <c r="L38" s="117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</row>
    <row r="39" spans="1:104" s="145" customFormat="1" ht="12.75">
      <c r="A39" s="131"/>
      <c r="B39" s="124"/>
      <c r="C39" s="124"/>
      <c r="D39" s="148"/>
      <c r="E39"/>
      <c r="F39"/>
      <c r="G39"/>
      <c r="H39"/>
      <c r="I39"/>
      <c r="J39"/>
      <c r="K39"/>
      <c r="L39" s="117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</row>
    <row r="40" spans="1:104" s="145" customFormat="1" ht="12.75">
      <c r="A40" s="122"/>
      <c r="B40" s="146"/>
      <c r="C40" s="152" t="s">
        <v>133</v>
      </c>
      <c r="D40" s="147"/>
      <c r="E40"/>
      <c r="F40"/>
      <c r="G40"/>
      <c r="H40"/>
      <c r="I40"/>
      <c r="J40"/>
      <c r="K40"/>
      <c r="L40" s="117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</row>
    <row r="41" spans="1:104" s="145" customFormat="1" ht="12.75">
      <c r="A41" s="122"/>
      <c r="B41" s="126"/>
      <c r="C41" s="127"/>
      <c r="D41" s="125"/>
      <c r="E41"/>
      <c r="F41"/>
      <c r="G41"/>
      <c r="H41"/>
      <c r="I41"/>
      <c r="J41"/>
      <c r="K41"/>
      <c r="L41" s="117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</row>
    <row r="42" spans="1:104" s="145" customFormat="1" ht="12.75">
      <c r="A42" s="122"/>
      <c r="B42" s="126"/>
      <c r="C42" s="127"/>
      <c r="D42" s="125"/>
      <c r="E42"/>
      <c r="F42"/>
      <c r="G42"/>
      <c r="H42"/>
      <c r="I42"/>
      <c r="J42"/>
      <c r="K42"/>
      <c r="L42" s="117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</row>
    <row r="43" spans="1:104" s="145" customFormat="1" ht="12.75">
      <c r="A43" s="122"/>
      <c r="B43" s="126"/>
      <c r="C43" s="127"/>
      <c r="D43" s="125"/>
      <c r="E43"/>
      <c r="F43"/>
      <c r="G43"/>
      <c r="H43"/>
      <c r="I43"/>
      <c r="J43"/>
      <c r="K43"/>
      <c r="L43" s="117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</row>
    <row r="44" spans="1:104" s="145" customFormat="1" ht="12.75">
      <c r="A44" s="122"/>
      <c r="B44" s="126"/>
      <c r="C44" s="127"/>
      <c r="D44" s="125"/>
      <c r="E44"/>
      <c r="F44"/>
      <c r="G44"/>
      <c r="H44"/>
      <c r="I44"/>
      <c r="J44"/>
      <c r="K44"/>
      <c r="L44" s="117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</row>
    <row r="45" spans="1:104" s="145" customFormat="1" ht="12.75">
      <c r="A45" s="122"/>
      <c r="B45" s="126"/>
      <c r="C45" s="127"/>
      <c r="D45" s="125"/>
      <c r="E45"/>
      <c r="F45"/>
      <c r="G45"/>
      <c r="H45"/>
      <c r="I45"/>
      <c r="J45"/>
      <c r="K45"/>
      <c r="L45" s="117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</row>
    <row r="46" spans="1:104" s="145" customFormat="1" ht="12.75">
      <c r="A46" s="122"/>
      <c r="B46" s="126"/>
      <c r="C46" s="132"/>
      <c r="D46" s="125"/>
      <c r="E46"/>
      <c r="F46"/>
      <c r="G46"/>
      <c r="H46"/>
      <c r="I46"/>
      <c r="J46"/>
      <c r="K46"/>
      <c r="L46" s="117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</row>
    <row r="47" spans="1:9" ht="12.75">
      <c r="A47" s="153"/>
      <c r="B47" s="154"/>
      <c r="C47" s="155"/>
      <c r="D47" s="156"/>
      <c r="F47"/>
      <c r="G47"/>
      <c r="H47"/>
      <c r="I47"/>
    </row>
    <row r="48" spans="1:12" ht="4.5" customHeight="1">
      <c r="A48"/>
      <c r="B48"/>
      <c r="C48"/>
      <c r="D48"/>
      <c r="F48"/>
      <c r="G48"/>
      <c r="H48"/>
      <c r="I48"/>
      <c r="L48"/>
    </row>
    <row r="49" spans="1:9" ht="12.75">
      <c r="A49"/>
      <c r="B49"/>
      <c r="C49"/>
      <c r="D49"/>
      <c r="F49"/>
      <c r="G49"/>
      <c r="H49"/>
      <c r="I49"/>
    </row>
    <row r="50" spans="1:12" ht="12.75">
      <c r="A50"/>
      <c r="B50"/>
      <c r="C50"/>
      <c r="D50"/>
      <c r="F50"/>
      <c r="G50"/>
      <c r="H50"/>
      <c r="I50"/>
      <c r="L50"/>
    </row>
    <row r="51" spans="1:12" ht="12.75">
      <c r="A51"/>
      <c r="B51"/>
      <c r="C51"/>
      <c r="D51"/>
      <c r="F51"/>
      <c r="G51"/>
      <c r="H51"/>
      <c r="I51"/>
      <c r="L51"/>
    </row>
    <row r="52" spans="1:12" ht="12.75">
      <c r="A52"/>
      <c r="B52"/>
      <c r="C52"/>
      <c r="D52"/>
      <c r="F52"/>
      <c r="G52"/>
      <c r="H52"/>
      <c r="I52"/>
      <c r="L52"/>
    </row>
    <row r="53" spans="1:12" ht="12.75">
      <c r="A53"/>
      <c r="B53"/>
      <c r="C53"/>
      <c r="D53"/>
      <c r="F53"/>
      <c r="G53"/>
      <c r="H53"/>
      <c r="I53"/>
      <c r="L53"/>
    </row>
    <row r="54" spans="1:12" ht="12.75">
      <c r="A54"/>
      <c r="B54"/>
      <c r="C54"/>
      <c r="D54"/>
      <c r="F54"/>
      <c r="G54"/>
      <c r="H54"/>
      <c r="I54"/>
      <c r="L54"/>
    </row>
    <row r="55" spans="1:12" ht="12.75">
      <c r="A55"/>
      <c r="B55"/>
      <c r="C55"/>
      <c r="D55"/>
      <c r="F55"/>
      <c r="G55"/>
      <c r="H55"/>
      <c r="I55"/>
      <c r="L55"/>
    </row>
    <row r="56" spans="1:12" ht="12.75">
      <c r="A56"/>
      <c r="B56"/>
      <c r="C56"/>
      <c r="D56"/>
      <c r="F56"/>
      <c r="G56"/>
      <c r="H56"/>
      <c r="I56"/>
      <c r="L56"/>
    </row>
    <row r="57" spans="1:12" ht="12.75">
      <c r="A57"/>
      <c r="B57"/>
      <c r="C57"/>
      <c r="D57"/>
      <c r="F57"/>
      <c r="G57"/>
      <c r="H57"/>
      <c r="I57"/>
      <c r="L57"/>
    </row>
    <row r="58" spans="1:12" ht="12.75">
      <c r="A58"/>
      <c r="B58"/>
      <c r="C58"/>
      <c r="D58"/>
      <c r="F58"/>
      <c r="G58"/>
      <c r="H58"/>
      <c r="I58"/>
      <c r="L58"/>
    </row>
    <row r="59" spans="1:12" ht="12.75">
      <c r="A59"/>
      <c r="B59"/>
      <c r="C59"/>
      <c r="D59"/>
      <c r="F59"/>
      <c r="G59"/>
      <c r="H59"/>
      <c r="I59"/>
      <c r="L59"/>
    </row>
    <row r="60" spans="1:12" ht="12.75">
      <c r="A60"/>
      <c r="B60"/>
      <c r="C60"/>
      <c r="D60"/>
      <c r="F60"/>
      <c r="G60"/>
      <c r="H60"/>
      <c r="I60"/>
      <c r="L60"/>
    </row>
    <row r="61" spans="1:12" ht="12.75">
      <c r="A61"/>
      <c r="B61"/>
      <c r="C61"/>
      <c r="D61"/>
      <c r="F61"/>
      <c r="G61"/>
      <c r="H61"/>
      <c r="I61"/>
      <c r="L61"/>
    </row>
    <row r="62" spans="1:12" ht="12.75">
      <c r="A62"/>
      <c r="B62"/>
      <c r="C62"/>
      <c r="D62"/>
      <c r="F62"/>
      <c r="G62"/>
      <c r="H62"/>
      <c r="I62"/>
      <c r="L62"/>
    </row>
    <row r="63" spans="1:12" ht="12.75">
      <c r="A63"/>
      <c r="B63"/>
      <c r="C63"/>
      <c r="D63"/>
      <c r="F63"/>
      <c r="G63"/>
      <c r="H63"/>
      <c r="I63"/>
      <c r="L63"/>
    </row>
    <row r="64" spans="1:12" ht="12.75">
      <c r="A64"/>
      <c r="B64"/>
      <c r="C64"/>
      <c r="D64"/>
      <c r="F64"/>
      <c r="G64"/>
      <c r="H64"/>
      <c r="I64"/>
      <c r="L64"/>
    </row>
    <row r="65" spans="1:12" ht="12.75">
      <c r="A65"/>
      <c r="B65"/>
      <c r="C65"/>
      <c r="D65"/>
      <c r="F65"/>
      <c r="G65"/>
      <c r="H65"/>
      <c r="I65"/>
      <c r="L65"/>
    </row>
    <row r="66" spans="1:12" ht="12.75">
      <c r="A66"/>
      <c r="B66"/>
      <c r="C66"/>
      <c r="D66"/>
      <c r="F66"/>
      <c r="G66"/>
      <c r="H66"/>
      <c r="I66"/>
      <c r="L66"/>
    </row>
    <row r="67" spans="1:12" ht="12.75">
      <c r="A67"/>
      <c r="B67"/>
      <c r="C67"/>
      <c r="D67"/>
      <c r="F67"/>
      <c r="G67"/>
      <c r="H67"/>
      <c r="I67"/>
      <c r="L67"/>
    </row>
    <row r="68" spans="1:12" ht="12.75">
      <c r="A68"/>
      <c r="B68"/>
      <c r="C68"/>
      <c r="D68"/>
      <c r="F68"/>
      <c r="G68"/>
      <c r="H68"/>
      <c r="I68"/>
      <c r="L68"/>
    </row>
    <row r="69" spans="1:12" ht="12.75">
      <c r="A69"/>
      <c r="B69"/>
      <c r="C69"/>
      <c r="D69"/>
      <c r="F69"/>
      <c r="G69"/>
      <c r="H69"/>
      <c r="I69"/>
      <c r="L69"/>
    </row>
    <row r="70" spans="1:12" ht="12.75">
      <c r="A70"/>
      <c r="B70"/>
      <c r="C70"/>
      <c r="D70"/>
      <c r="F70"/>
      <c r="G70"/>
      <c r="H70"/>
      <c r="I70"/>
      <c r="L70"/>
    </row>
    <row r="71" spans="1:12" ht="12.75">
      <c r="A71"/>
      <c r="B71"/>
      <c r="C71"/>
      <c r="D71"/>
      <c r="F71"/>
      <c r="G71"/>
      <c r="H71"/>
      <c r="I71"/>
      <c r="L71"/>
    </row>
    <row r="72" spans="1:12" ht="12.75">
      <c r="A72"/>
      <c r="B72"/>
      <c r="C72"/>
      <c r="D72"/>
      <c r="F72"/>
      <c r="G72"/>
      <c r="H72"/>
      <c r="I72"/>
      <c r="L72"/>
    </row>
    <row r="73" spans="1:12" ht="12.75">
      <c r="A73"/>
      <c r="B73"/>
      <c r="C73"/>
      <c r="D73"/>
      <c r="F73"/>
      <c r="G73"/>
      <c r="H73"/>
      <c r="I73"/>
      <c r="L73"/>
    </row>
  </sheetData>
  <sheetProtection selectLockedCells="1" selectUnlockedCells="1"/>
  <printOptions horizontalCentered="1"/>
  <pageMargins left="0.5513888888888889" right="0.5513888888888889" top="0.6694444444444445" bottom="0.6694444444444445" header="0.2361111111111111" footer="0.27569444444444446"/>
  <pageSetup horizontalDpi="300" verticalDpi="300" orientation="portrait"/>
  <headerFooter alignWithMargins="0">
    <oddHeader>&amp;L&amp;8&amp;A&amp;C&amp;"Arial,Bold"Island 400 km BREVET&amp;R&amp;8Page &amp;P of &amp;N</oddHeader>
    <oddFooter>&amp;L&amp;8L = Left
SO = Straight on
R = Right&amp;CBC Randonneurs Cycling Club
&amp;8Affiliated with &amp;"Arial,Italic"Cycling BC
&amp;"Arial,Regular"Founding member of&amp;"Arial,Italic" Les Randonneurs Mondiaux</oddFooter>
  </headerFooter>
  <rowBreaks count="1" manualBreakCount="1">
    <brk id="4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110"/>
  <sheetViews>
    <sheetView showGridLines="0" workbookViewId="0" topLeftCell="A1">
      <selection activeCell="E45" sqref="E45"/>
    </sheetView>
  </sheetViews>
  <sheetFormatPr defaultColWidth="9.140625" defaultRowHeight="12.75"/>
  <cols>
    <col min="1" max="1" width="5.57421875" style="0" customWidth="1"/>
    <col min="2" max="2" width="3.28125" style="0" customWidth="1"/>
    <col min="3" max="3" width="32.421875" style="0" customWidth="1"/>
    <col min="4" max="4" width="6.140625" style="0" customWidth="1"/>
    <col min="5" max="5" width="16.8515625" style="1" customWidth="1"/>
  </cols>
  <sheetData>
    <row r="1" spans="1:4" ht="60.75">
      <c r="A1" s="118" t="s">
        <v>93</v>
      </c>
      <c r="B1" s="119" t="s">
        <v>94</v>
      </c>
      <c r="C1" s="120" t="s">
        <v>95</v>
      </c>
      <c r="D1" s="121" t="s">
        <v>96</v>
      </c>
    </row>
    <row r="2" spans="1:5" ht="12.75">
      <c r="A2" s="122"/>
      <c r="B2" s="123"/>
      <c r="C2" s="124" t="s">
        <v>97</v>
      </c>
      <c r="D2" s="125"/>
      <c r="E2" s="1" t="s">
        <v>134</v>
      </c>
    </row>
    <row r="3" spans="1:5" ht="12.75">
      <c r="A3" s="122"/>
      <c r="B3" s="123"/>
      <c r="C3" s="124" t="s">
        <v>100</v>
      </c>
      <c r="D3" s="125"/>
      <c r="E3" s="1" t="s">
        <v>135</v>
      </c>
    </row>
    <row r="4" spans="1:5" ht="12.75">
      <c r="A4" s="122"/>
      <c r="B4" s="123"/>
      <c r="C4" s="128"/>
      <c r="D4" s="125"/>
      <c r="E4" s="1" t="s">
        <v>136</v>
      </c>
    </row>
    <row r="5" spans="1:4" ht="12.75">
      <c r="A5" s="122">
        <v>0</v>
      </c>
      <c r="B5" s="123" t="s">
        <v>98</v>
      </c>
      <c r="C5" s="129" t="s">
        <v>105</v>
      </c>
      <c r="D5" s="125">
        <v>0.8</v>
      </c>
    </row>
    <row r="6" spans="1:5" ht="12.75">
      <c r="A6" s="122">
        <f>A5+D5</f>
        <v>0.8</v>
      </c>
      <c r="B6" s="123" t="s">
        <v>103</v>
      </c>
      <c r="C6" s="129" t="s">
        <v>107</v>
      </c>
      <c r="D6" s="125">
        <v>10.5</v>
      </c>
      <c r="E6" s="1" t="s">
        <v>137</v>
      </c>
    </row>
    <row r="7" spans="1:5" ht="12.75">
      <c r="A7" s="122">
        <f>A6+D6</f>
        <v>11.3</v>
      </c>
      <c r="B7" s="123" t="s">
        <v>103</v>
      </c>
      <c r="C7" s="129" t="s">
        <v>109</v>
      </c>
      <c r="D7" s="125">
        <v>21.9</v>
      </c>
      <c r="E7" s="1" t="s">
        <v>138</v>
      </c>
    </row>
    <row r="8" spans="1:5" ht="12.75">
      <c r="A8" s="122">
        <f>A7+D7</f>
        <v>33.2</v>
      </c>
      <c r="B8" s="123" t="s">
        <v>101</v>
      </c>
      <c r="C8" s="130" t="s">
        <v>110</v>
      </c>
      <c r="D8" s="125">
        <v>0.8</v>
      </c>
      <c r="E8" s="1" t="s">
        <v>139</v>
      </c>
    </row>
    <row r="9" spans="1:5" ht="12.75">
      <c r="A9" s="122">
        <f>A8+D8</f>
        <v>34</v>
      </c>
      <c r="B9" s="123" t="s">
        <v>98</v>
      </c>
      <c r="C9" s="130" t="s">
        <v>112</v>
      </c>
      <c r="D9" s="125">
        <v>9.6</v>
      </c>
      <c r="E9" s="1" t="s">
        <v>140</v>
      </c>
    </row>
    <row r="10" spans="1:4" ht="12.75">
      <c r="A10" s="122">
        <f>A9+D9</f>
        <v>43.6</v>
      </c>
      <c r="B10" s="123" t="s">
        <v>98</v>
      </c>
      <c r="C10" s="130" t="s">
        <v>114</v>
      </c>
      <c r="D10" s="125">
        <v>35.2</v>
      </c>
    </row>
    <row r="11" spans="1:4" ht="12.75">
      <c r="A11" s="122"/>
      <c r="B11" s="123"/>
      <c r="C11" s="130"/>
      <c r="D11" s="125"/>
    </row>
    <row r="12" spans="1:5" ht="12.75">
      <c r="A12" s="131">
        <f>A10+D10</f>
        <v>78.80000000000001</v>
      </c>
      <c r="B12" s="133" t="s">
        <v>98</v>
      </c>
      <c r="C12" s="133" t="s">
        <v>116</v>
      </c>
      <c r="D12" s="134"/>
      <c r="E12" s="1" t="s">
        <v>141</v>
      </c>
    </row>
    <row r="13" spans="1:4" ht="12.75">
      <c r="A13" s="122"/>
      <c r="B13" s="133"/>
      <c r="C13" s="133" t="s">
        <v>118</v>
      </c>
      <c r="D13" s="134"/>
    </row>
    <row r="14" spans="1:4" ht="12.75">
      <c r="A14" s="122"/>
      <c r="B14" s="133"/>
      <c r="C14" s="135"/>
      <c r="D14" s="134"/>
    </row>
    <row r="15" spans="1:4" ht="12.75">
      <c r="A15" s="122"/>
      <c r="B15" s="133"/>
      <c r="C15" s="135" t="s">
        <v>120</v>
      </c>
      <c r="D15" s="134"/>
    </row>
    <row r="16" spans="1:4" ht="12.75">
      <c r="A16" s="122"/>
      <c r="B16" s="123"/>
      <c r="C16" s="130"/>
      <c r="D16" s="125"/>
    </row>
    <row r="17" spans="1:4" ht="12.75">
      <c r="A17" s="122"/>
      <c r="B17" s="126" t="s">
        <v>98</v>
      </c>
      <c r="C17" s="127" t="s">
        <v>99</v>
      </c>
      <c r="D17" s="125">
        <v>0.2</v>
      </c>
    </row>
    <row r="18" spans="1:4" ht="12.75">
      <c r="A18" s="122">
        <f>A12+D17</f>
        <v>79.00000000000001</v>
      </c>
      <c r="B18" s="126" t="s">
        <v>101</v>
      </c>
      <c r="C18" s="127" t="s">
        <v>102</v>
      </c>
      <c r="D18" s="125">
        <v>2.7</v>
      </c>
    </row>
    <row r="19" spans="1:4" ht="12.75">
      <c r="A19" s="122">
        <f>A18+D18</f>
        <v>81.70000000000002</v>
      </c>
      <c r="B19" s="126" t="s">
        <v>103</v>
      </c>
      <c r="C19" s="127" t="s">
        <v>104</v>
      </c>
      <c r="D19" s="125">
        <v>88.2</v>
      </c>
    </row>
    <row r="20" spans="1:4" ht="12.75">
      <c r="A20" s="122">
        <f>A19+D19</f>
        <v>169.90000000000003</v>
      </c>
      <c r="B20" s="126" t="s">
        <v>101</v>
      </c>
      <c r="C20" s="127" t="s">
        <v>106</v>
      </c>
      <c r="D20" s="125">
        <v>29.7</v>
      </c>
    </row>
    <row r="21" spans="1:4" ht="12.75">
      <c r="A21" s="122">
        <f>A20+D20</f>
        <v>199.60000000000002</v>
      </c>
      <c r="B21" s="126" t="s">
        <v>103</v>
      </c>
      <c r="C21" s="127" t="s">
        <v>108</v>
      </c>
      <c r="D21" s="125">
        <v>3.2</v>
      </c>
    </row>
    <row r="22" spans="1:5" ht="12.75">
      <c r="A22" s="122"/>
      <c r="B22" s="123"/>
      <c r="C22" s="130"/>
      <c r="D22" s="125"/>
      <c r="E22"/>
    </row>
    <row r="23" spans="1:4" ht="12.75">
      <c r="A23" s="138"/>
      <c r="B23" s="139"/>
      <c r="C23" s="140"/>
      <c r="D23" s="141"/>
    </row>
    <row r="24" spans="1:4" ht="60.75">
      <c r="A24" s="118" t="s">
        <v>93</v>
      </c>
      <c r="B24" s="119" t="s">
        <v>94</v>
      </c>
      <c r="C24" s="120" t="s">
        <v>95</v>
      </c>
      <c r="D24" s="121" t="s">
        <v>96</v>
      </c>
    </row>
    <row r="25" spans="1:5" ht="12.75">
      <c r="A25" s="131">
        <f>A21+D21</f>
        <v>202.8</v>
      </c>
      <c r="B25" s="126"/>
      <c r="C25" s="132" t="s">
        <v>111</v>
      </c>
      <c r="D25" s="125"/>
      <c r="E25" s="1" t="s">
        <v>141</v>
      </c>
    </row>
    <row r="26" spans="1:4" ht="12.75">
      <c r="A26" s="122"/>
      <c r="B26" s="126"/>
      <c r="C26" s="132" t="s">
        <v>113</v>
      </c>
      <c r="D26" s="125"/>
    </row>
    <row r="27" spans="1:4" ht="12.75">
      <c r="A27" s="122"/>
      <c r="B27" s="126"/>
      <c r="C27" s="126"/>
      <c r="D27" s="125"/>
    </row>
    <row r="28" spans="1:4" ht="12.75">
      <c r="A28" s="122"/>
      <c r="B28" s="126"/>
      <c r="C28" s="127" t="s">
        <v>115</v>
      </c>
      <c r="D28" s="125"/>
    </row>
    <row r="29" spans="1:4" ht="12.75">
      <c r="A29" s="122"/>
      <c r="B29" s="126"/>
      <c r="C29" s="127" t="s">
        <v>117</v>
      </c>
      <c r="D29" s="125"/>
    </row>
    <row r="30" spans="1:4" ht="12.75">
      <c r="A30" s="122"/>
      <c r="B30" s="126"/>
      <c r="C30" s="127" t="s">
        <v>119</v>
      </c>
      <c r="D30" s="125"/>
    </row>
    <row r="31" spans="1:4" ht="12.75">
      <c r="A31" s="122"/>
      <c r="B31" s="126"/>
      <c r="C31" s="127"/>
      <c r="D31" s="125"/>
    </row>
    <row r="32" spans="1:4" ht="12.75">
      <c r="A32" s="122"/>
      <c r="B32" s="126" t="s">
        <v>121</v>
      </c>
      <c r="C32" s="127" t="s">
        <v>122</v>
      </c>
      <c r="D32" s="125">
        <v>3.2</v>
      </c>
    </row>
    <row r="33" spans="1:4" ht="12.75">
      <c r="A33" s="122">
        <f>A25+D32</f>
        <v>206</v>
      </c>
      <c r="B33" s="126" t="s">
        <v>103</v>
      </c>
      <c r="C33" s="127" t="s">
        <v>123</v>
      </c>
      <c r="D33" s="125">
        <v>29.7</v>
      </c>
    </row>
    <row r="34" spans="1:4" ht="12.75">
      <c r="A34" s="122">
        <f>A33+D33</f>
        <v>235.7</v>
      </c>
      <c r="B34" s="126" t="s">
        <v>98</v>
      </c>
      <c r="C34" s="127" t="s">
        <v>124</v>
      </c>
      <c r="D34" s="125">
        <v>88.2</v>
      </c>
    </row>
    <row r="35" spans="1:4" ht="12.75">
      <c r="A35" s="122">
        <f>A34+D34</f>
        <v>323.9</v>
      </c>
      <c r="B35" s="126" t="s">
        <v>103</v>
      </c>
      <c r="C35" s="130" t="s">
        <v>102</v>
      </c>
      <c r="D35" s="125">
        <v>2.7</v>
      </c>
    </row>
    <row r="36" spans="1:4" ht="12.75">
      <c r="A36" s="122">
        <f>A35+D35</f>
        <v>326.59999999999997</v>
      </c>
      <c r="B36" s="126" t="s">
        <v>98</v>
      </c>
      <c r="C36" s="130" t="s">
        <v>125</v>
      </c>
      <c r="D36" s="125">
        <v>0.2</v>
      </c>
    </row>
    <row r="37" spans="1:4" ht="12.75">
      <c r="A37" s="122"/>
      <c r="B37" s="126"/>
      <c r="C37" s="127"/>
      <c r="D37" s="125"/>
    </row>
    <row r="38" spans="1:5" ht="12.75">
      <c r="A38" s="136">
        <f>A36+D36</f>
        <v>326.79999999999995</v>
      </c>
      <c r="B38" s="137" t="s">
        <v>101</v>
      </c>
      <c r="C38" s="132" t="s">
        <v>126</v>
      </c>
      <c r="D38" s="134"/>
      <c r="E38" s="1" t="s">
        <v>141</v>
      </c>
    </row>
    <row r="39" spans="1:4" ht="12.75">
      <c r="A39" s="131"/>
      <c r="B39" s="132"/>
      <c r="C39" s="132" t="s">
        <v>118</v>
      </c>
      <c r="D39" s="134"/>
    </row>
    <row r="40" spans="1:4" ht="12.75">
      <c r="A40" s="136"/>
      <c r="B40" s="137"/>
      <c r="C40" s="132"/>
      <c r="D40" s="134"/>
    </row>
    <row r="41" spans="1:5" ht="12.75">
      <c r="A41" s="122"/>
      <c r="B41" s="126" t="s">
        <v>101</v>
      </c>
      <c r="C41" s="127" t="s">
        <v>125</v>
      </c>
      <c r="D41" s="125">
        <v>35.2</v>
      </c>
      <c r="E41"/>
    </row>
    <row r="42" spans="1:4" ht="12.75">
      <c r="A42" s="122">
        <f>A38+D41</f>
        <v>361.99999999999994</v>
      </c>
      <c r="B42" s="126" t="s">
        <v>101</v>
      </c>
      <c r="C42" s="127" t="s">
        <v>127</v>
      </c>
      <c r="D42" s="125">
        <v>9.1</v>
      </c>
    </row>
    <row r="43" spans="1:4" ht="12.75">
      <c r="A43" s="122">
        <f>A42+D42</f>
        <v>371.09999999999997</v>
      </c>
      <c r="B43" s="126" t="s">
        <v>101</v>
      </c>
      <c r="C43" s="127" t="s">
        <v>128</v>
      </c>
      <c r="D43" s="125">
        <v>22.4</v>
      </c>
    </row>
    <row r="44" spans="1:4" ht="12.75">
      <c r="A44" s="122">
        <f>A43+D43</f>
        <v>393.49999999999994</v>
      </c>
      <c r="B44" s="126" t="s">
        <v>101</v>
      </c>
      <c r="C44" s="127" t="s">
        <v>129</v>
      </c>
      <c r="D44" s="125">
        <v>0.7</v>
      </c>
    </row>
    <row r="45" spans="1:4" ht="12.75">
      <c r="A45" s="122">
        <f>A44+D44</f>
        <v>394.19999999999993</v>
      </c>
      <c r="B45" s="146" t="s">
        <v>103</v>
      </c>
      <c r="C45" s="129" t="s">
        <v>130</v>
      </c>
      <c r="D45" s="147">
        <v>10.5</v>
      </c>
    </row>
    <row r="46" spans="1:4" ht="12.75">
      <c r="A46" s="122">
        <f>A45+D45</f>
        <v>404.69999999999993</v>
      </c>
      <c r="B46" s="146" t="s">
        <v>103</v>
      </c>
      <c r="C46" s="130" t="s">
        <v>131</v>
      </c>
      <c r="D46" s="147">
        <v>0.8</v>
      </c>
    </row>
    <row r="47" spans="1:4" ht="12.75">
      <c r="A47" s="136"/>
      <c r="B47" s="137"/>
      <c r="C47" s="133"/>
      <c r="D47" s="134"/>
    </row>
    <row r="48" spans="1:5" ht="12.75">
      <c r="A48" s="131">
        <f>A46+D46</f>
        <v>405.49999999999994</v>
      </c>
      <c r="B48" s="124" t="s">
        <v>101</v>
      </c>
      <c r="C48" s="124" t="s">
        <v>132</v>
      </c>
      <c r="D48" s="148"/>
      <c r="E48" s="1" t="s">
        <v>141</v>
      </c>
    </row>
    <row r="49" spans="1:5" ht="12.75">
      <c r="A49" s="122"/>
      <c r="B49" s="146"/>
      <c r="C49" s="124" t="s">
        <v>100</v>
      </c>
      <c r="D49" s="147"/>
      <c r="E49"/>
    </row>
    <row r="50" spans="1:4" ht="12.75">
      <c r="A50" s="149"/>
      <c r="B50" s="146"/>
      <c r="C50" s="157"/>
      <c r="D50" s="147"/>
    </row>
    <row r="51" spans="1:4" ht="12.75">
      <c r="A51" s="149"/>
      <c r="B51" s="146"/>
      <c r="C51" s="157"/>
      <c r="D51" s="147"/>
    </row>
    <row r="52" spans="1:4" ht="12.75">
      <c r="A52" s="149"/>
      <c r="B52" s="146"/>
      <c r="C52" s="127"/>
      <c r="D52" s="147"/>
    </row>
    <row r="53" spans="1:4" ht="12.75">
      <c r="A53" s="131"/>
      <c r="B53" s="146"/>
      <c r="C53" s="151"/>
      <c r="D53" s="147"/>
    </row>
    <row r="54" spans="1:4" ht="12.75">
      <c r="A54" s="131"/>
      <c r="B54" s="124"/>
      <c r="C54" s="124"/>
      <c r="D54" s="148"/>
    </row>
    <row r="55" spans="1:4" ht="12.75">
      <c r="A55" s="122"/>
      <c r="B55" s="146"/>
      <c r="C55" s="124"/>
      <c r="D55" s="147"/>
    </row>
    <row r="56" spans="1:4" ht="12.75">
      <c r="A56" s="149"/>
      <c r="B56" s="146"/>
      <c r="C56" s="152" t="s">
        <v>133</v>
      </c>
      <c r="D56" s="147"/>
    </row>
    <row r="57" spans="1:4" ht="12.75">
      <c r="A57" s="149"/>
      <c r="B57" s="158"/>
      <c r="C57" s="159"/>
      <c r="D57" s="147"/>
    </row>
    <row r="58" spans="1:4" ht="12.75">
      <c r="A58" s="149"/>
      <c r="B58" s="146"/>
      <c r="C58" s="127"/>
      <c r="D58" s="147"/>
    </row>
    <row r="59" spans="1:4" ht="12.75">
      <c r="A59" s="149"/>
      <c r="B59" s="146"/>
      <c r="C59" s="127"/>
      <c r="D59" s="147"/>
    </row>
    <row r="60" spans="1:4" ht="12.75">
      <c r="A60" s="149"/>
      <c r="B60" s="158"/>
      <c r="C60" s="160"/>
      <c r="D60" s="147"/>
    </row>
    <row r="61" spans="1:4" ht="12.75">
      <c r="A61" s="149"/>
      <c r="B61" s="146"/>
      <c r="C61" s="157"/>
      <c r="D61" s="147"/>
    </row>
    <row r="62" spans="1:4" ht="12.75">
      <c r="A62" s="149"/>
      <c r="B62" s="146"/>
      <c r="C62" s="157"/>
      <c r="D62" s="147"/>
    </row>
    <row r="63" spans="1:5" ht="12.75">
      <c r="A63" s="149"/>
      <c r="B63" s="126"/>
      <c r="C63" s="127"/>
      <c r="D63" s="147"/>
      <c r="E63"/>
    </row>
    <row r="64" spans="1:4" ht="12.75">
      <c r="A64" s="149"/>
      <c r="B64" s="126"/>
      <c r="C64" s="127"/>
      <c r="D64" s="147"/>
    </row>
    <row r="65" spans="1:4" ht="12.75">
      <c r="A65" s="149"/>
      <c r="B65" s="126"/>
      <c r="C65" s="127"/>
      <c r="D65" s="125"/>
    </row>
    <row r="66" spans="1:4" ht="12.75">
      <c r="A66" s="149"/>
      <c r="B66" s="126"/>
      <c r="C66" s="127"/>
      <c r="D66" s="125"/>
    </row>
    <row r="67" spans="1:4" ht="12.75">
      <c r="A67" s="149"/>
      <c r="B67" s="126"/>
      <c r="C67" s="127"/>
      <c r="D67" s="125"/>
    </row>
    <row r="68" spans="1:4" ht="12.75">
      <c r="A68" s="122"/>
      <c r="B68" s="126"/>
      <c r="C68" s="127"/>
      <c r="D68" s="125"/>
    </row>
    <row r="69" spans="1:4" ht="12.75">
      <c r="A69" s="138"/>
      <c r="B69" s="139"/>
      <c r="C69" s="140"/>
      <c r="D69" s="141"/>
    </row>
    <row r="70" ht="12.75">
      <c r="E70"/>
    </row>
    <row r="71" ht="12.75">
      <c r="E71"/>
    </row>
    <row r="72" ht="12.75">
      <c r="E72"/>
    </row>
    <row r="73" ht="12.75">
      <c r="E73"/>
    </row>
    <row r="74" ht="12.75">
      <c r="E74"/>
    </row>
    <row r="75" ht="12.75">
      <c r="E75"/>
    </row>
    <row r="76" ht="12.75">
      <c r="E76"/>
    </row>
    <row r="77" ht="12.75">
      <c r="E77"/>
    </row>
    <row r="78" ht="12.75">
      <c r="E78"/>
    </row>
    <row r="79" ht="12.75">
      <c r="E79"/>
    </row>
    <row r="80" ht="12.75">
      <c r="E80"/>
    </row>
    <row r="81" ht="12.75">
      <c r="E81"/>
    </row>
    <row r="82" ht="12.75">
      <c r="E82"/>
    </row>
    <row r="83" ht="12.75">
      <c r="E83"/>
    </row>
    <row r="84" ht="12.75">
      <c r="E84"/>
    </row>
    <row r="85" ht="12.75">
      <c r="E85"/>
    </row>
    <row r="86" ht="12.75">
      <c r="E86"/>
    </row>
    <row r="87" ht="12.75">
      <c r="E87"/>
    </row>
    <row r="88" ht="12.75">
      <c r="E88"/>
    </row>
    <row r="89" ht="12.75">
      <c r="E89"/>
    </row>
    <row r="90" ht="12.75">
      <c r="E90"/>
    </row>
    <row r="91" ht="12.75">
      <c r="E91"/>
    </row>
    <row r="92" ht="12.75">
      <c r="E92"/>
    </row>
    <row r="93" ht="12.75">
      <c r="E93"/>
    </row>
    <row r="94" ht="12.75">
      <c r="E94"/>
    </row>
    <row r="95" ht="12.75">
      <c r="E95"/>
    </row>
    <row r="96" ht="12.75">
      <c r="E96"/>
    </row>
    <row r="97" ht="12.75">
      <c r="E97"/>
    </row>
    <row r="98" ht="12.75">
      <c r="E98"/>
    </row>
    <row r="99" ht="12.75">
      <c r="E99"/>
    </row>
    <row r="100" ht="12.75">
      <c r="E100"/>
    </row>
    <row r="101" ht="12.75">
      <c r="E101"/>
    </row>
    <row r="102" ht="12.75">
      <c r="E102"/>
    </row>
    <row r="103" ht="12.75">
      <c r="E103"/>
    </row>
    <row r="104" ht="12.75">
      <c r="E104"/>
    </row>
    <row r="105" ht="12.75">
      <c r="E105"/>
    </row>
    <row r="106" ht="12.75">
      <c r="E106"/>
    </row>
    <row r="107" ht="12.75">
      <c r="E107"/>
    </row>
    <row r="108" ht="12.75">
      <c r="E108"/>
    </row>
    <row r="109" ht="12.75">
      <c r="E109"/>
    </row>
    <row r="110" ht="12.75">
      <c r="E110"/>
    </row>
  </sheetData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GridLines="0" workbookViewId="0" topLeftCell="A1">
      <selection activeCell="E3" sqref="E3"/>
    </sheetView>
  </sheetViews>
  <sheetFormatPr defaultColWidth="9.140625" defaultRowHeight="12.75"/>
  <cols>
    <col min="1" max="1" width="12.57421875" style="0" customWidth="1"/>
    <col min="3" max="3" width="0.85546875" style="0" customWidth="1"/>
  </cols>
  <sheetData>
    <row r="1" spans="1:4" ht="15">
      <c r="A1" s="161" t="str">
        <f>Brevet_Number</f>
        <v>VI0402A</v>
      </c>
      <c r="B1" s="161"/>
      <c r="C1" s="161"/>
      <c r="D1" s="161"/>
    </row>
    <row r="2" spans="1:4" ht="15">
      <c r="A2" s="162" t="s">
        <v>142</v>
      </c>
      <c r="B2" s="162"/>
      <c r="C2" s="163"/>
      <c r="D2" s="164" t="s">
        <v>143</v>
      </c>
    </row>
    <row r="3" spans="1:5" ht="12.75">
      <c r="A3" s="85">
        <f>Riders!C4</f>
        <v>0</v>
      </c>
      <c r="B3" s="32">
        <f>Riders!B4</f>
        <v>0</v>
      </c>
      <c r="C3" s="32"/>
      <c r="D3" s="165">
        <f>Riders!O4</f>
        <v>0</v>
      </c>
      <c r="E3">
        <f>IF(ISBLANK(Riders!P4),"",Riders!P4)</f>
      </c>
    </row>
    <row r="4" spans="1:4" ht="12.75">
      <c r="A4" s="90"/>
      <c r="B4" s="77"/>
      <c r="C4" s="77"/>
      <c r="D4" s="166"/>
    </row>
    <row r="6" ht="12.75">
      <c r="A6" t="s">
        <v>144</v>
      </c>
    </row>
    <row r="7" ht="12.75">
      <c r="A7" t="s">
        <v>145</v>
      </c>
    </row>
    <row r="8" ht="12.75">
      <c r="A8" t="s">
        <v>146</v>
      </c>
    </row>
    <row r="9" ht="12.75">
      <c r="A9" t="s">
        <v>147</v>
      </c>
    </row>
  </sheetData>
  <sheetProtection selectLockedCells="1" selectUnlockedCells="1"/>
  <mergeCells count="2">
    <mergeCell ref="A1:D1"/>
    <mergeCell ref="A2:B2"/>
  </mergeCells>
  <printOptions/>
  <pageMargins left="0.7479166666666667" right="0.7479166666666667" top="0.9847222222222222" bottom="0.9840277777777777" header="0.31527777777777777" footer="0.5118055555555555"/>
  <pageSetup fitToHeight="1" fitToWidth="1" horizontalDpi="300" verticalDpi="300" orientation="portrait"/>
  <headerFooter alignWithMargins="0">
    <oddHeader>&amp;C&amp;"Arial,Bold"&amp;12RESULTS
&amp;"Arial,Regular"&amp;10Nanaimo Populaire
28th  March, 1999</oddHeader>
    <oddFooter>&amp;L&amp;F
&amp;A&amp;CPage &amp;P&amp;R&amp;D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Hinde</dc:creator>
  <cp:keywords/>
  <dc:description/>
  <cp:lastModifiedBy>Stephen Hinde</cp:lastModifiedBy>
  <cp:lastPrinted>2000-05-06T18:04:20Z</cp:lastPrinted>
  <dcterms:created xsi:type="dcterms:W3CDTF">1997-11-12T04:43:39Z</dcterms:created>
  <cp:category/>
  <cp:version/>
  <cp:contentType/>
  <cp:contentStatus/>
</cp:coreProperties>
</file>