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300A 2011-04-23" sheetId="4" r:id="rId4"/>
    <sheet name="Web sheet" sheetId="5" r:id="rId5"/>
    <sheet name="Web results" sheetId="6" r:id="rId6"/>
  </sheets>
  <externalReferences>
    <externalReference r:id="rId9"/>
  </externalReferences>
  <definedNames>
    <definedName name="_xlnm.Print_Titles" localSheetId="1">'Control Sheet'!$1:$2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<sst xmlns="http://schemas.openxmlformats.org/spreadsheetml/2006/main" count="754" uniqueCount="258">
  <si>
    <t>Brevet Length:</t>
  </si>
  <si>
    <t>Maximum Time:</t>
  </si>
  <si>
    <t>Brevet Description:</t>
  </si>
  <si>
    <t>Victoria--Sidney--Duncan--Sooke--Victoria</t>
  </si>
  <si>
    <t>Brevet Number:</t>
  </si>
  <si>
    <t>VI0300A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</si>
  <si>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</si>
  <si>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</si>
  <si>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</si>
  <si>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</si>
  <si>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</si>
  <si>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</si>
  <si>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</si>
  <si>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</si>
  <si>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</si>
  <si>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</si>
  <si>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</si>
  <si>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</si>
  <si>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</si>
  <si>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VICTORIA WEST</t>
  </si>
  <si>
    <t>Starbucks Coffee</t>
  </si>
  <si>
    <t>140-176 Wilson Street</t>
  </si>
  <si>
    <t>Control 2</t>
  </si>
  <si>
    <t>SIDNEY</t>
  </si>
  <si>
    <t>Sidney</t>
  </si>
  <si>
    <t>Your choice</t>
  </si>
  <si>
    <t>Control 3</t>
  </si>
  <si>
    <t>LANGFORD</t>
  </si>
  <si>
    <t>Co-op Milstream Gas Centre</t>
  </si>
  <si>
    <t>Milstream Rd. @ Treanor</t>
  </si>
  <si>
    <t>Control 4</t>
  </si>
  <si>
    <t>DUNCAN</t>
  </si>
  <si>
    <t>Tim Horton's</t>
  </si>
  <si>
    <t>Drinkwater @ Highway #1</t>
  </si>
  <si>
    <t>Control 5</t>
  </si>
  <si>
    <t>SOOKE</t>
  </si>
  <si>
    <t>Sooke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</si>
  <si>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</si>
  <si>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</si>
  <si>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</si>
  <si>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</si>
  <si>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</si>
  <si>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</si>
  <si>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</si>
  <si>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</si>
  <si>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</si>
  <si>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</si>
  <si>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</si>
  <si>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</si>
  <si>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</si>
  <si>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</si>
  <si>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</si>
  <si>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</si>
  <si>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</si>
  <si>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</si>
  <si>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</si>
  <si>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</si>
  <si>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</si>
  <si>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</si>
  <si>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</si>
  <si>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</si>
  <si>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</si>
  <si>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</si>
  <si>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</si>
  <si>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</si>
  <si>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</si>
  <si>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</si>
  <si>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</si>
  <si>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</si>
  <si>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</si>
  <si>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</si>
  <si>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</si>
  <si>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</si>
  <si>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</si>
  <si>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</si>
  <si>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</si>
  <si>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 208-2870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</si>
  <si>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</si>
  <si>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</si>
  <si>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</si>
  <si>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</si>
  <si>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</si>
  <si>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</si>
  <si>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</si>
  <si>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</si>
  <si>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</si>
  <si>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</si>
  <si>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</si>
  <si>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</si>
  <si>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</si>
  <si>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Bernhardt</t>
  </si>
  <si>
    <t>Luis</t>
  </si>
  <si>
    <t>Bilinski</t>
  </si>
  <si>
    <t>Jacques</t>
  </si>
  <si>
    <t>Fishlock</t>
  </si>
  <si>
    <t>Graham</t>
  </si>
  <si>
    <t>Inouye</t>
  </si>
  <si>
    <t>Darren</t>
  </si>
  <si>
    <t>Person</t>
  </si>
  <si>
    <t>Ed</t>
  </si>
  <si>
    <t>Runkel</t>
  </si>
  <si>
    <t>Jim</t>
  </si>
  <si>
    <t>Scollan</t>
  </si>
  <si>
    <t>Clyde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</si>
  <si>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</si>
  <si>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</si>
  <si>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</si>
  <si>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</si>
  <si>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</si>
  <si>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</si>
  <si>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</si>
  <si>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</si>
  <si>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</si>
  <si>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START--Starbucks, Westside Village</t>
  </si>
  <si>
    <t>R</t>
  </si>
  <si>
    <t>ROSS (at stop sign)</t>
  </si>
  <si>
    <t>140 - 176 Wilson Street</t>
  </si>
  <si>
    <t>SO</t>
  </si>
  <si>
    <t>CRESCENT</t>
  </si>
  <si>
    <t>L</t>
  </si>
  <si>
    <t>KING GEORGE (up hill)</t>
  </si>
  <si>
    <t>WILSON</t>
  </si>
  <si>
    <t>BEACH</t>
  </si>
  <si>
    <t>BAY</t>
  </si>
  <si>
    <t>CADBORO BAY</t>
  </si>
  <si>
    <t>GOVERNMENT</t>
  </si>
  <si>
    <t>Cross Arbutus @ 4-way</t>
  </si>
  <si>
    <t>PEMBROKE</t>
  </si>
  <si>
    <t>TELEGRAPH BAY</t>
  </si>
  <si>
    <t>STORE</t>
  </si>
  <si>
    <t>QUEENSWOOD (first left)</t>
  </si>
  <si>
    <t>WHARF</t>
  </si>
  <si>
    <t>ARBUTUS (at stop sign)</t>
  </si>
  <si>
    <t>GOVERNMENT (at Tourist Info)</t>
  </si>
  <si>
    <t>ARBUTUS (at Finnerty)</t>
  </si>
  <si>
    <t>BELLEVILLE (at lights)</t>
  </si>
  <si>
    <t>GORDON HEAD (at T)</t>
  </si>
  <si>
    <t>PENDRAY (at left bend)</t>
  </si>
  <si>
    <t>FERNDALE (at left bend)</t>
  </si>
  <si>
    <t>QUEBEC (at right bend)</t>
  </si>
  <si>
    <t>GRANDVIEW (at Ferndale)</t>
  </si>
  <si>
    <t>MONTREAL (at left bend)</t>
  </si>
  <si>
    <t>ASH (at Tyndall)</t>
  </si>
  <si>
    <t>KINGSTON (at right bend)</t>
  </si>
  <si>
    <t>CORDOVA BAY (at T)</t>
  </si>
  <si>
    <t>St. LAWRENCE (at left bend)</t>
  </si>
  <si>
    <t>CORDOVA BAY (at Blenkinsop lights)</t>
  </si>
  <si>
    <t>ERIE (at right bend)</t>
  </si>
  <si>
    <t>FOWLER (at little hill)</t>
  </si>
  <si>
    <t>DALLAS (at left bend)</t>
  </si>
  <si>
    <t>HUNT (after golf course)</t>
  </si>
  <si>
    <t>HOLLYWOOD (after causeway)</t>
  </si>
  <si>
    <t>WELCH (at Dooley)</t>
  </si>
  <si>
    <t>HOLLYWOOD</t>
  </si>
  <si>
    <t>MARTINDALE (at stop sign)</t>
  </si>
  <si>
    <t>ROBERTSON</t>
  </si>
  <si>
    <t>LOCHSIDE (first right)</t>
  </si>
  <si>
    <t>ISLAND VIEW (stop sign)</t>
  </si>
  <si>
    <t>WALLACE (at lights)</t>
  </si>
  <si>
    <t>Cross Pat Bay Hwy (Route 17)</t>
  </si>
  <si>
    <t>WEST SAANICH (at T)</t>
  </si>
  <si>
    <t>EAST SAANICH (at stop sign)</t>
  </si>
  <si>
    <t>PROSPECT LAKE (at Save-On Gas)</t>
  </si>
  <si>
    <t>CENTRAL SAANICH (first right)</t>
  </si>
  <si>
    <t>MUNN (at Y--don't go down hill)</t>
  </si>
  <si>
    <t>MOUNT NEWTON CROSS (stop)</t>
  </si>
  <si>
    <t>MILLSTREAM LAKE (stop)</t>
  </si>
  <si>
    <t>MILLSTREAM (stop)</t>
  </si>
  <si>
    <t>LOCHSIDE (first left)</t>
  </si>
  <si>
    <t>CONTROL #2</t>
  </si>
  <si>
    <t>FIFTH (at park)</t>
  </si>
  <si>
    <t>BEACON (at lights)</t>
  </si>
  <si>
    <t>(Milstream Rd. @ Treanor)</t>
  </si>
  <si>
    <t>CONTROL #1</t>
  </si>
  <si>
    <t>TREANOR (@ lights)</t>
  </si>
  <si>
    <t>Your choice -- Sidney</t>
  </si>
  <si>
    <t>SETCHFIELD (@ stop)</t>
  </si>
  <si>
    <t>RESTHAVEN (at 7-11)</t>
  </si>
  <si>
    <t>FLORENCE LAKE (@ stop)</t>
  </si>
  <si>
    <t>MACDONALD PARK (at T)</t>
  </si>
  <si>
    <t xml:space="preserve">BROCK </t>
  </si>
  <si>
    <t>PAT BAY HIGHWAY (Hwy #17)</t>
  </si>
  <si>
    <t>SPENSER (no thru road ahead)</t>
  </si>
  <si>
    <t>OFFRAMP to LAND'S END</t>
  </si>
  <si>
    <t>HIGHWAY #1 (towards Duncan)</t>
  </si>
  <si>
    <t>LAND'S END (lights)</t>
  </si>
  <si>
    <t>CAUTION</t>
  </si>
  <si>
    <t>Rumble strips on shoulder</t>
  </si>
  <si>
    <t>CHALET (at Moses Pt)</t>
  </si>
  <si>
    <t>Watch descents</t>
  </si>
  <si>
    <t>BIRCH (at T)</t>
  </si>
  <si>
    <t>MILL BAY (to ferry)</t>
  </si>
  <si>
    <t>MADRONNA (at Gov't wharf)</t>
  </si>
  <si>
    <t>MILL BAY (at stop)</t>
  </si>
  <si>
    <t>DOWNEY (yes, it's uppey)</t>
  </si>
  <si>
    <t>DELOUME (at mall)</t>
  </si>
  <si>
    <t>HIGHWAY #1 (lights)</t>
  </si>
  <si>
    <t>COWICHAN BAY (@ lights)</t>
  </si>
  <si>
    <t>W SHORE PKWY</t>
  </si>
  <si>
    <t>TZOUHALEM (tennis club on left)</t>
  </si>
  <si>
    <t>AMY RD</t>
  </si>
  <si>
    <t>@ Traffic Circle (St. Edwards)</t>
  </si>
  <si>
    <t>SOOK LAKE RD</t>
  </si>
  <si>
    <t>LAKES (PetroCan on right)</t>
  </si>
  <si>
    <t>HUMPBACK (at Goldstream Inn)</t>
  </si>
  <si>
    <t>HERD</t>
  </si>
  <si>
    <t>HUMPBACK (at bottom of hill)</t>
  </si>
  <si>
    <t>HWY #1 (@ lights)</t>
  </si>
  <si>
    <t>SOOKE (Hwy #14)</t>
  </si>
  <si>
    <t>DRINKWATER</t>
  </si>
  <si>
    <t>Sooke River bridge</t>
  </si>
  <si>
    <t>DRENNAN (2nd right)</t>
  </si>
  <si>
    <t>CONTROL #3--Tim Horton's</t>
  </si>
  <si>
    <t>GOLLEDGE (first left)</t>
  </si>
  <si>
    <t>CHARTERS (at T)</t>
  </si>
  <si>
    <t>THROUP (at stop)</t>
  </si>
  <si>
    <t>Drinkwater to lights</t>
  </si>
  <si>
    <t>CHURCH (at T)</t>
  </si>
  <si>
    <t>HIGHWAY #1 (return to Victoria)</t>
  </si>
  <si>
    <t>HELGESON (no choice)</t>
  </si>
  <si>
    <t>COBBLE HILL (Rest Area on left)</t>
  </si>
  <si>
    <t>OTTER POINT (at stop sign)</t>
  </si>
  <si>
    <t>SHAWNIGAN LAKE (at Hutchinson)</t>
  </si>
  <si>
    <t>Sooke Historic house (on left)</t>
  </si>
  <si>
    <t>SHAWNIGAN LAKE (at lake)</t>
  </si>
  <si>
    <t>KEMP LAKE (watch for this)</t>
  </si>
  <si>
    <t>STOWOOD (up hill)</t>
  </si>
  <si>
    <t>WEST COAST (Hwy #14)</t>
  </si>
  <si>
    <t>E. SHAWNIGAN LAKE</t>
  </si>
  <si>
    <t>HIGHWAY #1</t>
  </si>
  <si>
    <t>CONTROL #4</t>
  </si>
  <si>
    <t>Your choice - Sooke</t>
  </si>
  <si>
    <t>SOOKE RD (towards Victoria)</t>
  </si>
  <si>
    <t>GILLESPIE (to East Sooke Park)</t>
  </si>
  <si>
    <t>EAST SOOKE (at T)</t>
  </si>
  <si>
    <t>ROCKY POINT (at stop sign)</t>
  </si>
  <si>
    <t>HAPPY VALLEY</t>
  </si>
  <si>
    <t>METCHOSIN</t>
  </si>
  <si>
    <t>LAGOON (at store)</t>
  </si>
  <si>
    <t>OCEAN (at stop)</t>
  </si>
  <si>
    <t>OCEAN (Yield)</t>
  </si>
  <si>
    <t>ISLAND HIGHWAY</t>
  </si>
  <si>
    <t>HIGHWAY #1A (to View Royal)</t>
  </si>
  <si>
    <t>CRAIGFLOWER</t>
  </si>
  <si>
    <t>SKINNER</t>
  </si>
  <si>
    <t>X</t>
  </si>
  <si>
    <t>Cross BAY (at lights)</t>
  </si>
  <si>
    <t>TYEE</t>
  </si>
  <si>
    <t>WESTSIDE VILLAGE SHOPPING CENTRE</t>
  </si>
  <si>
    <t>FINISH--Starbucks</t>
  </si>
  <si>
    <t>Westside Village Shopping Centre</t>
  </si>
  <si>
    <t>!!! CONGRATULATIONS !!!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</si>
  <si>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</si>
  <si>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</si>
  <si>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</si>
  <si>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</si>
  <si>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-route violation</t>
  </si>
  <si>
    <t>………4.  Other codes:  e - rode early; d - rode late; T - tandem; R - recumbent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</si>
</sst>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18" borderId="10" xfId="0" applyFont="1" applyFill="1" applyBorder="1" applyAlignment="1">
      <alignment horizontal="right"/>
    </xf>
    <xf numFmtId="164" fontId="0" fillId="0" borderId="11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18" borderId="12" xfId="0" applyFont="1" applyFill="1" applyBorder="1" applyAlignment="1">
      <alignment horizontal="right"/>
    </xf>
    <xf numFmtId="164" fontId="0" fillId="18" borderId="13" xfId="0" applyFill="1" applyBorder="1" applyAlignment="1">
      <alignment/>
    </xf>
    <xf numFmtId="164" fontId="0" fillId="0" borderId="14" xfId="0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13" xfId="0" applyNumberFormat="1" applyBorder="1" applyAlignment="1" applyProtection="1">
      <alignment/>
      <protection locked="0"/>
    </xf>
    <xf numFmtId="164" fontId="0" fillId="18" borderId="15" xfId="0" applyFont="1" applyFill="1" applyBorder="1" applyAlignment="1">
      <alignment horizontal="right"/>
    </xf>
    <xf numFmtId="168" fontId="0" fillId="0" borderId="16" xfId="0" applyNumberFormat="1" applyBorder="1" applyAlignment="1" applyProtection="1">
      <alignment/>
      <protection locked="0"/>
    </xf>
    <xf numFmtId="164" fontId="0" fillId="18" borderId="14" xfId="0" applyFont="1" applyFill="1" applyBorder="1" applyAlignment="1">
      <alignment horizontal="center"/>
    </xf>
    <xf numFmtId="164" fontId="0" fillId="18" borderId="0" xfId="0" applyFill="1" applyAlignment="1">
      <alignment/>
    </xf>
    <xf numFmtId="164" fontId="0" fillId="18" borderId="17" xfId="0" applyFont="1" applyFill="1" applyBorder="1" applyAlignment="1">
      <alignment/>
    </xf>
    <xf numFmtId="164" fontId="0" fillId="18" borderId="18" xfId="0" applyFont="1" applyFill="1" applyBorder="1" applyAlignment="1">
      <alignment/>
    </xf>
    <xf numFmtId="164" fontId="0" fillId="18" borderId="19" xfId="0" applyFont="1" applyFill="1" applyBorder="1" applyAlignment="1">
      <alignment/>
    </xf>
    <xf numFmtId="169" fontId="0" fillId="0" borderId="20" xfId="0" applyNumberFormat="1" applyBorder="1" applyAlignment="1" applyProtection="1">
      <alignment/>
      <protection locked="0"/>
    </xf>
    <xf numFmtId="164" fontId="0" fillId="0" borderId="21" xfId="0" applyFont="1" applyBorder="1" applyAlignment="1" applyProtection="1">
      <alignment/>
      <protection locked="0"/>
    </xf>
    <xf numFmtId="166" fontId="0" fillId="0" borderId="21" xfId="0" applyNumberFormat="1" applyFon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22" xfId="0" applyNumberFormat="1" applyBorder="1" applyAlignment="1" applyProtection="1">
      <alignment/>
      <protection locked="0"/>
    </xf>
    <xf numFmtId="164" fontId="0" fillId="0" borderId="23" xfId="0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4" fontId="0" fillId="0" borderId="24" xfId="0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18" borderId="14" xfId="0" applyFont="1" applyFill="1" applyBorder="1" applyAlignment="1">
      <alignment horizontal="center" wrapText="1"/>
    </xf>
    <xf numFmtId="164" fontId="19" fillId="18" borderId="14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20" fillId="0" borderId="24" xfId="0" applyNumberFormat="1" applyFont="1" applyBorder="1" applyAlignment="1">
      <alignment horizontal="center" wrapText="1"/>
    </xf>
    <xf numFmtId="171" fontId="20" fillId="0" borderId="24" xfId="0" applyNumberFormat="1" applyFont="1" applyBorder="1" applyAlignment="1">
      <alignment horizontal="center" vertical="center" wrapText="1"/>
    </xf>
    <xf numFmtId="164" fontId="20" fillId="0" borderId="25" xfId="0" applyFont="1" applyBorder="1" applyAlignment="1">
      <alignment horizontal="center" vertical="center"/>
    </xf>
    <xf numFmtId="164" fontId="21" fillId="0" borderId="24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/>
    </xf>
    <xf numFmtId="164" fontId="19" fillId="0" borderId="24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21" fillId="0" borderId="24" xfId="0" applyNumberFormat="1" applyFont="1" applyBorder="1" applyAlignment="1">
      <alignment horizontal="center" vertical="center"/>
    </xf>
    <xf numFmtId="172" fontId="21" fillId="0" borderId="24" xfId="0" applyNumberFormat="1" applyFont="1" applyBorder="1" applyAlignment="1">
      <alignment horizontal="center" vertical="center" wrapText="1"/>
    </xf>
    <xf numFmtId="169" fontId="20" fillId="0" borderId="15" xfId="0" applyNumberFormat="1" applyFont="1" applyBorder="1" applyAlignment="1">
      <alignment/>
    </xf>
    <xf numFmtId="173" fontId="20" fillId="0" borderId="15" xfId="0" applyNumberFormat="1" applyFont="1" applyBorder="1" applyAlignment="1">
      <alignment horizontal="center" vertical="center" wrapText="1"/>
    </xf>
    <xf numFmtId="164" fontId="20" fillId="0" borderId="26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 wrapText="1"/>
    </xf>
    <xf numFmtId="164" fontId="19" fillId="0" borderId="16" xfId="0" applyFont="1" applyBorder="1" applyAlignment="1">
      <alignment/>
    </xf>
    <xf numFmtId="164" fontId="19" fillId="0" borderId="15" xfId="0" applyFont="1" applyBorder="1" applyAlignment="1">
      <alignment/>
    </xf>
    <xf numFmtId="164" fontId="20" fillId="0" borderId="24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top" wrapText="1"/>
    </xf>
    <xf numFmtId="164" fontId="18" fillId="0" borderId="0" xfId="0" applyFont="1" applyAlignment="1">
      <alignment horizontal="center" vertical="top" wrapText="1"/>
    </xf>
    <xf numFmtId="164" fontId="23" fillId="0" borderId="0" xfId="0" applyFont="1" applyAlignment="1">
      <alignment/>
    </xf>
    <xf numFmtId="164" fontId="25" fillId="0" borderId="26" xfId="0" applyFont="1" applyBorder="1" applyAlignment="1" applyProtection="1">
      <alignment/>
      <protection/>
    </xf>
    <xf numFmtId="164" fontId="23" fillId="0" borderId="26" xfId="0" applyFont="1" applyBorder="1" applyAlignment="1" applyProtection="1">
      <alignment horizontal="center"/>
      <protection/>
    </xf>
    <xf numFmtId="164" fontId="23" fillId="0" borderId="26" xfId="0" applyFont="1" applyBorder="1" applyAlignment="1" applyProtection="1">
      <alignment horizontal="center"/>
      <protection locked="0"/>
    </xf>
    <xf numFmtId="164" fontId="25" fillId="0" borderId="26" xfId="0" applyFont="1" applyBorder="1" applyAlignment="1" applyProtection="1">
      <alignment/>
      <protection/>
    </xf>
    <xf numFmtId="164" fontId="23" fillId="0" borderId="26" xfId="0" applyFont="1" applyBorder="1" applyAlignment="1" applyProtection="1">
      <alignment/>
      <protection/>
    </xf>
    <xf numFmtId="164" fontId="23" fillId="0" borderId="26" xfId="0" applyFont="1" applyBorder="1" applyAlignment="1" applyProtection="1">
      <alignment/>
      <protection locked="0"/>
    </xf>
    <xf numFmtId="164" fontId="23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26" fillId="0" borderId="26" xfId="0" applyNumberFormat="1" applyFont="1" applyBorder="1" applyAlignment="1" applyProtection="1">
      <alignment horizontal="center"/>
      <protection/>
    </xf>
    <xf numFmtId="164" fontId="26" fillId="0" borderId="26" xfId="0" applyFont="1" applyBorder="1" applyAlignment="1" applyProtection="1">
      <alignment/>
      <protection/>
    </xf>
    <xf numFmtId="164" fontId="0" fillId="0" borderId="26" xfId="0" applyBorder="1" applyAlignment="1" applyProtection="1">
      <alignment/>
      <protection/>
    </xf>
    <xf numFmtId="164" fontId="0" fillId="0" borderId="26" xfId="0" applyBorder="1" applyAlignment="1" applyProtection="1">
      <alignment/>
      <protection locked="0"/>
    </xf>
    <xf numFmtId="164" fontId="19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wrapText="1"/>
    </xf>
    <xf numFmtId="175" fontId="23" fillId="0" borderId="26" xfId="0" applyNumberFormat="1" applyFont="1" applyBorder="1" applyAlignment="1">
      <alignment horizontal="center"/>
    </xf>
    <xf numFmtId="164" fontId="0" fillId="0" borderId="26" xfId="0" applyBorder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Border="1" applyAlignment="1" applyProtection="1">
      <alignment horizontal="center" wrapText="1"/>
      <protection/>
    </xf>
    <xf numFmtId="164" fontId="0" fillId="0" borderId="27" xfId="0" applyBorder="1" applyAlignment="1">
      <alignment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27" xfId="0" applyBorder="1" applyAlignment="1" applyProtection="1">
      <alignment/>
      <protection/>
    </xf>
    <xf numFmtId="164" fontId="0" fillId="0" borderId="30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31" xfId="0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31" xfId="0" applyBorder="1" applyAlignment="1" applyProtection="1">
      <alignment/>
      <protection/>
    </xf>
    <xf numFmtId="164" fontId="19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28" fillId="18" borderId="14" xfId="0" applyFont="1" applyFill="1" applyBorder="1" applyAlignment="1">
      <alignment/>
    </xf>
    <xf numFmtId="164" fontId="28" fillId="18" borderId="14" xfId="0" applyFont="1" applyFill="1" applyBorder="1" applyAlignment="1">
      <alignment wrapText="1"/>
    </xf>
    <xf numFmtId="174" fontId="28" fillId="18" borderId="14" xfId="0" applyNumberFormat="1" applyFont="1" applyFill="1" applyBorder="1" applyAlignment="1">
      <alignment/>
    </xf>
    <xf numFmtId="174" fontId="28" fillId="18" borderId="14" xfId="0" applyNumberFormat="1" applyFont="1" applyFill="1" applyBorder="1" applyAlignment="1">
      <alignment horizontal="center"/>
    </xf>
    <xf numFmtId="164" fontId="28" fillId="18" borderId="14" xfId="0" applyFont="1" applyFill="1" applyBorder="1" applyAlignment="1">
      <alignment horizontal="center"/>
    </xf>
    <xf numFmtId="164" fontId="28" fillId="18" borderId="14" xfId="0" applyFont="1" applyFill="1" applyBorder="1" applyAlignment="1">
      <alignment horizontal="center" wrapText="1"/>
    </xf>
    <xf numFmtId="164" fontId="0" fillId="19" borderId="12" xfId="0" applyFont="1" applyFill="1" applyBorder="1" applyAlignment="1">
      <alignment/>
    </xf>
    <xf numFmtId="174" fontId="0" fillId="19" borderId="12" xfId="0" applyNumberFormat="1" applyFont="1" applyFill="1" applyBorder="1" applyAlignment="1" applyProtection="1">
      <alignment/>
      <protection locked="0"/>
    </xf>
    <xf numFmtId="164" fontId="29" fillId="19" borderId="12" xfId="20" applyNumberFormat="1" applyFill="1" applyBorder="1" applyAlignment="1" applyProtection="1">
      <alignment/>
      <protection/>
    </xf>
    <xf numFmtId="164" fontId="0" fillId="19" borderId="12" xfId="0" applyFont="1" applyFill="1" applyBorder="1" applyAlignment="1">
      <alignment horizontal="center"/>
    </xf>
    <xf numFmtId="164" fontId="0" fillId="19" borderId="10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28" fillId="0" borderId="12" xfId="0" applyFon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74" fontId="0" fillId="0" borderId="12" xfId="0" applyNumberFormat="1" applyFont="1" applyBorder="1" applyAlignment="1" applyProtection="1">
      <alignment/>
      <protection locked="0"/>
    </xf>
    <xf numFmtId="164" fontId="29" fillId="0" borderId="12" xfId="20" applyNumberFormat="1" applyFill="1" applyBorder="1" applyAlignment="1" applyProtection="1">
      <alignment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74" fontId="0" fillId="0" borderId="12" xfId="0" applyNumberFormat="1" applyFont="1" applyFill="1" applyBorder="1" applyAlignment="1" applyProtection="1">
      <alignment/>
      <protection locked="0"/>
    </xf>
    <xf numFmtId="164" fontId="0" fillId="0" borderId="12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19" borderId="17" xfId="0" applyNumberFormat="1" applyFont="1" applyFill="1" applyBorder="1" applyAlignment="1">
      <alignment horizontal="right" textRotation="90" wrapText="1"/>
    </xf>
    <xf numFmtId="166" fontId="0" fillId="19" borderId="32" xfId="0" applyNumberFormat="1" applyFont="1" applyFill="1" applyBorder="1" applyAlignment="1">
      <alignment horizontal="center" textRotation="90"/>
    </xf>
    <xf numFmtId="166" fontId="0" fillId="19" borderId="33" xfId="0" applyNumberFormat="1" applyFont="1" applyFill="1" applyBorder="1" applyAlignment="1">
      <alignment horizontal="center" wrapText="1"/>
    </xf>
    <xf numFmtId="169" fontId="0" fillId="19" borderId="34" xfId="0" applyNumberFormat="1" applyFont="1" applyFill="1" applyBorder="1" applyAlignment="1">
      <alignment horizontal="center" textRotation="90" wrapText="1"/>
    </xf>
    <xf numFmtId="169" fontId="28" fillId="0" borderId="35" xfId="0" applyNumberFormat="1" applyFont="1" applyBorder="1" applyAlignment="1">
      <alignment horizontal="right"/>
    </xf>
    <xf numFmtId="166" fontId="28" fillId="0" borderId="36" xfId="0" applyNumberFormat="1" applyFont="1" applyBorder="1" applyAlignment="1">
      <alignment horizontal="center"/>
    </xf>
    <xf numFmtId="169" fontId="28" fillId="0" borderId="37" xfId="0" applyNumberFormat="1" applyFont="1" applyBorder="1" applyAlignment="1">
      <alignment horizontal="right"/>
    </xf>
    <xf numFmtId="169" fontId="0" fillId="0" borderId="35" xfId="0" applyNumberFormat="1" applyBorder="1" applyAlignment="1">
      <alignment horizontal="right"/>
    </xf>
    <xf numFmtId="166" fontId="0" fillId="0" borderId="36" xfId="0" applyNumberFormat="1" applyFont="1" applyBorder="1" applyAlignment="1">
      <alignment horizontal="center"/>
    </xf>
    <xf numFmtId="166" fontId="0" fillId="0" borderId="36" xfId="0" applyNumberFormat="1" applyFont="1" applyBorder="1" applyAlignment="1">
      <alignment horizontal="left"/>
    </xf>
    <xf numFmtId="169" fontId="0" fillId="0" borderId="37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9" fontId="0" fillId="0" borderId="38" xfId="0" applyNumberFormat="1" applyBorder="1" applyAlignment="1">
      <alignment horizontal="right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Border="1" applyAlignment="1">
      <alignment horizontal="left"/>
    </xf>
    <xf numFmtId="169" fontId="0" fillId="0" borderId="40" xfId="0" applyNumberFormat="1" applyBorder="1" applyAlignment="1">
      <alignment horizontal="right"/>
    </xf>
    <xf numFmtId="166" fontId="0" fillId="0" borderId="41" xfId="0" applyNumberFormat="1" applyFont="1" applyBorder="1" applyAlignment="1">
      <alignment horizontal="center"/>
    </xf>
    <xf numFmtId="166" fontId="0" fillId="0" borderId="41" xfId="0" applyNumberFormat="1" applyFont="1" applyBorder="1" applyAlignment="1">
      <alignment horizontal="left"/>
    </xf>
    <xf numFmtId="169" fontId="0" fillId="0" borderId="42" xfId="0" applyNumberFormat="1" applyBorder="1" applyAlignment="1">
      <alignment horizontal="right"/>
    </xf>
    <xf numFmtId="166" fontId="0" fillId="0" borderId="43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left"/>
    </xf>
    <xf numFmtId="169" fontId="0" fillId="0" borderId="44" xfId="0" applyNumberFormat="1" applyBorder="1" applyAlignment="1">
      <alignment horizontal="right"/>
    </xf>
    <xf numFmtId="169" fontId="0" fillId="0" borderId="26" xfId="0" applyNumberFormat="1" applyBorder="1" applyAlignment="1">
      <alignment horizontal="right"/>
    </xf>
    <xf numFmtId="166" fontId="0" fillId="0" borderId="26" xfId="0" applyNumberFormat="1" applyBorder="1" applyAlignment="1">
      <alignment horizontal="center"/>
    </xf>
    <xf numFmtId="166" fontId="0" fillId="0" borderId="26" xfId="0" applyNumberFormat="1" applyBorder="1" applyAlignment="1">
      <alignment horizontal="left"/>
    </xf>
    <xf numFmtId="164" fontId="0" fillId="0" borderId="45" xfId="0" applyBorder="1" applyAlignment="1">
      <alignment/>
    </xf>
    <xf numFmtId="169" fontId="28" fillId="0" borderId="38" xfId="0" applyNumberFormat="1" applyFont="1" applyBorder="1" applyAlignment="1">
      <alignment horizontal="right"/>
    </xf>
    <xf numFmtId="166" fontId="28" fillId="0" borderId="39" xfId="0" applyNumberFormat="1" applyFont="1" applyBorder="1" applyAlignment="1">
      <alignment horizontal="center"/>
    </xf>
    <xf numFmtId="169" fontId="28" fillId="0" borderId="40" xfId="0" applyNumberFormat="1" applyFont="1" applyBorder="1" applyAlignment="1">
      <alignment horizontal="right"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28" fillId="0" borderId="47" xfId="0" applyFont="1" applyBorder="1" applyAlignment="1">
      <alignment horizontal="center"/>
    </xf>
    <xf numFmtId="164" fontId="0" fillId="0" borderId="48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8" xfId="0" applyBorder="1" applyAlignment="1">
      <alignment/>
    </xf>
    <xf numFmtId="164" fontId="0" fillId="0" borderId="49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9" fontId="0" fillId="0" borderId="50" xfId="0" applyNumberFormat="1" applyBorder="1" applyAlignment="1">
      <alignment horizontal="right"/>
    </xf>
    <xf numFmtId="166" fontId="0" fillId="0" borderId="51" xfId="0" applyNumberFormat="1" applyFont="1" applyBorder="1" applyAlignment="1">
      <alignment horizontal="center"/>
    </xf>
    <xf numFmtId="166" fontId="0" fillId="0" borderId="51" xfId="0" applyNumberFormat="1" applyFont="1" applyBorder="1" applyAlignment="1">
      <alignment horizontal="left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166" fontId="0" fillId="0" borderId="54" xfId="0" applyNumberFormat="1" applyFont="1" applyBorder="1" applyAlignment="1">
      <alignment horizontal="left"/>
    </xf>
    <xf numFmtId="169" fontId="0" fillId="0" borderId="25" xfId="0" applyNumberFormat="1" applyBorder="1" applyAlignment="1">
      <alignment horizontal="right"/>
    </xf>
    <xf numFmtId="164" fontId="28" fillId="0" borderId="36" xfId="0" applyFont="1" applyBorder="1" applyAlignment="1">
      <alignment horizontal="center"/>
    </xf>
    <xf numFmtId="169" fontId="0" fillId="0" borderId="35" xfId="0" applyNumberFormat="1" applyFont="1" applyBorder="1" applyAlignment="1">
      <alignment horizontal="right"/>
    </xf>
    <xf numFmtId="164" fontId="0" fillId="0" borderId="36" xfId="0" applyFont="1" applyBorder="1" applyAlignment="1">
      <alignment horizontal="left"/>
    </xf>
    <xf numFmtId="169" fontId="0" fillId="0" borderId="35" xfId="0" applyNumberFormat="1" applyBorder="1" applyAlignment="1">
      <alignment/>
    </xf>
    <xf numFmtId="166" fontId="28" fillId="0" borderId="41" xfId="0" applyNumberFormat="1" applyFont="1" applyBorder="1" applyAlignment="1">
      <alignment horizontal="center"/>
    </xf>
    <xf numFmtId="169" fontId="0" fillId="0" borderId="46" xfId="0" applyNumberFormat="1" applyBorder="1" applyAlignment="1">
      <alignment horizontal="right"/>
    </xf>
    <xf numFmtId="166" fontId="0" fillId="0" borderId="47" xfId="0" applyNumberFormat="1" applyBorder="1" applyAlignment="1">
      <alignment horizontal="center"/>
    </xf>
    <xf numFmtId="169" fontId="0" fillId="0" borderId="48" xfId="0" applyNumberFormat="1" applyBorder="1" applyAlignment="1">
      <alignment horizontal="right"/>
    </xf>
    <xf numFmtId="166" fontId="30" fillId="0" borderId="41" xfId="0" applyNumberFormat="1" applyFont="1" applyBorder="1" applyAlignment="1">
      <alignment horizontal="left"/>
    </xf>
    <xf numFmtId="166" fontId="28" fillId="0" borderId="43" xfId="0" applyNumberFormat="1" applyFont="1" applyBorder="1" applyAlignment="1">
      <alignment horizontal="center"/>
    </xf>
    <xf numFmtId="166" fontId="31" fillId="0" borderId="55" xfId="0" applyNumberFormat="1" applyFont="1" applyBorder="1" applyAlignment="1">
      <alignment horizontal="center"/>
    </xf>
    <xf numFmtId="166" fontId="31" fillId="0" borderId="56" xfId="0" applyNumberFormat="1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32" fillId="19" borderId="57" xfId="0" applyFont="1" applyFill="1" applyBorder="1" applyAlignment="1">
      <alignment horizontal="center"/>
    </xf>
    <xf numFmtId="164" fontId="32" fillId="19" borderId="32" xfId="0" applyFont="1" applyFill="1" applyBorder="1" applyAlignment="1">
      <alignment/>
    </xf>
    <xf numFmtId="164" fontId="32" fillId="19" borderId="19" xfId="0" applyFont="1" applyFill="1" applyBorder="1" applyAlignment="1">
      <alignment horizontal="center"/>
    </xf>
    <xf numFmtId="164" fontId="0" fillId="0" borderId="25" xfId="0" applyFont="1" applyBorder="1" applyAlignment="1" applyProtection="1">
      <alignment horizontal="center"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9525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257175"/>
          <a:ext cx="47434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1999%20Randonneurs\VI0300A%20%20Duncan--Vic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300A 980125"/>
      <sheetName val="Web sheet"/>
      <sheetName val="Web results"/>
    </sheetNames>
    <sheetDataSet>
      <sheetData sheetId="2">
        <row r="8">
          <cell r="P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16.57421875" style="1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  <col min="13" max="16384" width="8.8515625" style="0" customWidth="1"/>
  </cols>
  <sheetData>
    <row r="1" spans="1:3" ht="12.75">
      <c r="A1" s="3" t="s">
        <v>0</v>
      </c>
      <c r="B1" s="4">
        <v>300</v>
      </c>
      <c r="C1" s="5">
        <f>IF(Brevet_Length&gt;=1200,Brevet_Length,IF(Brevet_Length&gt;=1000,1000,IF(Brevet_Length&gt;=600,600,IF(Brevet_Length&gt;=400,400,IF(Brevet_Length&gt;=300,300,IF(Brevet_Length&gt;=200,200,100))))))</f>
        <v>300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20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40656</v>
      </c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/>
      <c r="I10" s="24">
        <f>Start_date+Start_time</f>
        <v>40656.25</v>
      </c>
      <c r="J10" s="24">
        <f>I10+"1:00"</f>
        <v>40656.291666666664</v>
      </c>
      <c r="K10" s="25">
        <f>IF(ISBLANK(Distance),"",Open Control_1)</f>
        <v>40656.25</v>
      </c>
      <c r="L10" s="25">
        <f>IF(ISBLANK(Distance),"",Close Control_1)</f>
        <v>40656.291666666664</v>
      </c>
    </row>
    <row r="11" spans="3:12" ht="12.75">
      <c r="C11" s="2" t="s">
        <v>22</v>
      </c>
      <c r="D11" s="20">
        <f>'VI0300A 2011-04-23'!A34</f>
        <v>50.99999999999999</v>
      </c>
      <c r="E11" s="21" t="s">
        <v>23</v>
      </c>
      <c r="F11" s="22" t="s">
        <v>24</v>
      </c>
      <c r="G11" s="22" t="s">
        <v>25</v>
      </c>
      <c r="H11" s="23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1.4999999999999998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3.3999999999999995</v>
      </c>
      <c r="K11" s="25">
        <f>IF(ISBLANK(Distance),"",Open_time Control_1+(INT(Open)&amp;":"&amp;IF(ROUND(((Open-INT(Open))*60),0)&lt;10,0,"")&amp;ROUND(((Open-INT(Open))*60),0)))</f>
        <v>40656.3125</v>
      </c>
      <c r="L11" s="25">
        <f>IF(ISBLANK(Distance),"",Open_time Control_1+(INT(Close)&amp;":"&amp;IF(ROUND(((Close-INT(Close))*60),0)&lt;10,0,"")&amp;ROUND(((Close-INT(Close))*60),0)))</f>
        <v>40656.39166666667</v>
      </c>
    </row>
    <row r="12" spans="3:12" ht="12.75">
      <c r="C12" s="2" t="s">
        <v>26</v>
      </c>
      <c r="D12" s="20">
        <f>'VI0300A 2011-04-23'!F31</f>
        <v>107.60000000000002</v>
      </c>
      <c r="E12" s="21" t="s">
        <v>27</v>
      </c>
      <c r="F12" s="22" t="s">
        <v>28</v>
      </c>
      <c r="G12" s="22" t="s">
        <v>29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3.164705882352942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7.173333333333335</v>
      </c>
      <c r="K12" s="25">
        <f>IF(ISBLANK(Distance),"",Open_time Control_1+(INT(Open)&amp;":"&amp;IF(ROUND(((Open-INT(Open))*60),0)&lt;10,0,"")&amp;ROUND(((Open-INT(Open))*60),0)))</f>
        <v>40656.381944444445</v>
      </c>
      <c r="L12" s="25">
        <f>IF(ISBLANK(Distance),"",Open_time Control_1+(INT(Close)&amp;":"&amp;IF(ROUND(((Close-INT(Close))*60),0)&lt;10,0,"")&amp;ROUND(((Close-INT(Close))*60),0)))</f>
        <v>40656.54861111111</v>
      </c>
    </row>
    <row r="13" spans="3:12" ht="12.75">
      <c r="C13" s="2" t="s">
        <v>30</v>
      </c>
      <c r="D13" s="20">
        <f>'VI0300A 2011-04-23'!A57</f>
        <v>173.20000000000002</v>
      </c>
      <c r="E13" s="21" t="s">
        <v>31</v>
      </c>
      <c r="F13" s="22" t="s">
        <v>32</v>
      </c>
      <c r="G13" s="22" t="s">
        <v>33</v>
      </c>
      <c r="H13" s="23"/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5.094117647058824</v>
      </c>
      <c r="J13" s="5">
        <f t="shared" si="0"/>
        <v>11.546666666666669</v>
      </c>
      <c r="K13" s="25">
        <f>IF(ISBLANK(Distance),"",Open_time Control_1+(INT(Open)&amp;":"&amp;IF(ROUND(((Open-INT(Open))*60),0)&lt;10,0,"")&amp;ROUND(((Open-INT(Open))*60),0)))</f>
        <v>40656.4625</v>
      </c>
      <c r="L13" s="25">
        <f>IF(ISBLANK(Distance),"",Open_time Control_1+(INT(Close)&amp;":"&amp;IF(ROUND(((Close-INT(Close))*60),0)&lt;10,0,"")&amp;ROUND(((Close-INT(Close))*60),0)))</f>
        <v>40656.73125</v>
      </c>
    </row>
    <row r="14" spans="3:12" ht="12.75">
      <c r="C14" s="2" t="s">
        <v>34</v>
      </c>
      <c r="D14" s="20">
        <f>'VI0300A 2011-04-23'!F67</f>
        <v>259.59999999999997</v>
      </c>
      <c r="E14" s="21" t="s">
        <v>35</v>
      </c>
      <c r="F14" s="22" t="s">
        <v>36</v>
      </c>
      <c r="G14" s="22" t="s">
        <v>25</v>
      </c>
      <c r="H14" s="23"/>
      <c r="I14" s="5">
        <f t="shared" si="1"/>
        <v>7.744899999999999</v>
      </c>
      <c r="J14" s="5">
        <f t="shared" si="0"/>
        <v>17.306666666666665</v>
      </c>
      <c r="K14" s="25">
        <f>IF(ISBLANK(Distance),"",Open_time Control_1+(INT(Open)&amp;":"&amp;IF(ROUND(((Open-INT(Open))*60),0)&lt;10,0,"")&amp;ROUND(((Open-INT(Open))*60),0)))</f>
        <v>40656.572916666664</v>
      </c>
      <c r="L14" s="25">
        <f>IF(ISBLANK(Distance),"",Open_time Control_1+(INT(Close)&amp;":"&amp;IF(ROUND(((Close-INT(Close))*60),0)&lt;10,0,"")&amp;ROUND(((Close-INT(Close))*60),0)))</f>
        <v>40656.97083333333</v>
      </c>
    </row>
    <row r="15" spans="3:12" ht="12.75">
      <c r="C15" s="2" t="s">
        <v>37</v>
      </c>
      <c r="D15" s="20">
        <f>'VI0300A 2011-04-23'!A90</f>
        <v>307.2500000000001</v>
      </c>
      <c r="E15" s="21" t="s">
        <v>19</v>
      </c>
      <c r="F15" s="22" t="s">
        <v>20</v>
      </c>
      <c r="G15" s="22" t="s">
        <v>21</v>
      </c>
      <c r="H15" s="23"/>
      <c r="I15" s="5">
        <f t="shared" si="1"/>
        <v>9.233962500000004</v>
      </c>
      <c r="J15" s="5">
        <f t="shared" si="0"/>
        <v>20</v>
      </c>
      <c r="K15" s="25">
        <f>IF(ISBLANK(Distance),"",Open_time Control_1+(INT(Open)&amp;":"&amp;IF(ROUND(((Open-INT(Open))*60),0)&lt;10,0,"")&amp;ROUND(((Open-INT(Open))*60),0)))</f>
        <v>40656.634722222225</v>
      </c>
      <c r="L15" s="25">
        <f>IF(ISBLANK(Distance),"",Open_time Control_1+(INT(Close)&amp;":"&amp;IF(ROUND(((Close-INT(Close))*60),0)&lt;10,0,"")&amp;ROUND(((Close-INT(Close))*60),0)))</f>
        <v>40657.083333333336</v>
      </c>
    </row>
    <row r="16" spans="3:12" ht="12.75">
      <c r="C16" s="2" t="s">
        <v>38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39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40</v>
      </c>
      <c r="D18" s="20"/>
      <c r="E18" s="21"/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41</v>
      </c>
      <c r="D19" s="20"/>
      <c r="E19" s="21"/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42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43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44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45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46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47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48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49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50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51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V3" sqref="V3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3.140625" style="0" customWidth="1"/>
    <col min="6" max="6" width="35.140625" style="0" customWidth="1"/>
    <col min="7" max="7" width="13.57421875" style="0" customWidth="1"/>
    <col min="8" max="8" width="9.140625" style="31" customWidth="1"/>
    <col min="9" max="9" width="8.7109375" style="0" customWidth="1"/>
    <col min="10" max="16384" width="8.8515625" style="0" customWidth="1"/>
  </cols>
  <sheetData>
    <row r="1" spans="1:8" ht="19.5">
      <c r="A1" s="32" t="s">
        <v>52</v>
      </c>
      <c r="B1" s="32"/>
      <c r="C1" s="32"/>
      <c r="D1" s="32"/>
      <c r="E1" s="32"/>
      <c r="F1" s="32"/>
      <c r="G1" s="32"/>
      <c r="H1" s="11" t="s">
        <v>53</v>
      </c>
    </row>
    <row r="2" spans="1:14" ht="33.75" customHeight="1">
      <c r="A2" s="33" t="s">
        <v>54</v>
      </c>
      <c r="B2" s="34" t="s">
        <v>14</v>
      </c>
      <c r="C2" s="34" t="s">
        <v>15</v>
      </c>
      <c r="D2" s="34" t="s">
        <v>10</v>
      </c>
      <c r="E2" s="34" t="s">
        <v>55</v>
      </c>
      <c r="F2" s="34" t="s">
        <v>56</v>
      </c>
      <c r="G2" s="33" t="s">
        <v>57</v>
      </c>
      <c r="H2" s="11" t="s">
        <v>53</v>
      </c>
      <c r="N2" s="35"/>
    </row>
    <row r="3" spans="1:14" ht="36" customHeight="1">
      <c r="A3" s="36"/>
      <c r="B3" s="37">
        <f>Control_1 Open_time</f>
        <v>40656.25</v>
      </c>
      <c r="C3" s="37">
        <f>Control_1 Close_time</f>
        <v>40656.291666666664</v>
      </c>
      <c r="D3" s="38"/>
      <c r="E3" s="39" t="str">
        <f>IF(ISBLANK(Control_1 Establishment_1),"",Control_1 Establishment_1)</f>
        <v>Starbucks Coffee</v>
      </c>
      <c r="F3" s="40"/>
      <c r="G3" s="41"/>
      <c r="H3" s="11" t="s">
        <v>53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40656.25</v>
      </c>
      <c r="C4" s="44">
        <f>Control_1 Close_time</f>
        <v>40656.291666666664</v>
      </c>
      <c r="D4" s="39" t="str">
        <f>IF(ISBLANK(Locale Control_1),"",Locale Control_1)</f>
        <v>VICTORIA WEST</v>
      </c>
      <c r="E4" s="39" t="str">
        <f>IF(ISBLANK(Control_1 Establishment_2),"",Control_1 Establishment_2)</f>
        <v>140-176 Wilson Street</v>
      </c>
      <c r="F4" s="40"/>
      <c r="G4" s="41"/>
      <c r="H4" s="11" t="s">
        <v>53</v>
      </c>
      <c r="K4" s="42"/>
      <c r="N4" s="35"/>
    </row>
    <row r="5" spans="1:11" ht="36" customHeight="1">
      <c r="A5" s="45"/>
      <c r="B5" s="46">
        <f>Control_1 Open_time</f>
        <v>40656.25</v>
      </c>
      <c r="C5" s="46">
        <f>Control_1 Close_time</f>
        <v>40656.291666666664</v>
      </c>
      <c r="D5" s="47"/>
      <c r="E5" s="48">
        <f>IF(ISBLANK(Control_1 Establishment_3),"",Control_1 Establishment_3)</f>
      </c>
      <c r="F5" s="49"/>
      <c r="G5" s="50"/>
      <c r="H5" s="11" t="s">
        <v>53</v>
      </c>
      <c r="K5" s="42"/>
    </row>
    <row r="6" spans="1:11" ht="36" customHeight="1">
      <c r="A6" s="36"/>
      <c r="B6" s="37">
        <f>Control_2 Open_time</f>
        <v>40656.3125</v>
      </c>
      <c r="C6" s="37">
        <f>Control_2 Close_time</f>
        <v>40656.39166666667</v>
      </c>
      <c r="D6" s="51"/>
      <c r="E6" s="39" t="str">
        <f>IF(ISBLANK(Control_2 Establishment_1),"",Control_2 Establishment_1)</f>
        <v>Sidney</v>
      </c>
      <c r="F6" s="40"/>
      <c r="G6" s="41"/>
      <c r="H6" s="11" t="s">
        <v>53</v>
      </c>
      <c r="K6" s="42"/>
    </row>
    <row r="7" spans="1:11" ht="36" customHeight="1">
      <c r="A7" s="43">
        <f>IF(ISBLANK(Distance Control_2),"",Control_2 Distance)</f>
        <v>50.99999999999999</v>
      </c>
      <c r="B7" s="44">
        <f>Control_2 Open_time</f>
        <v>40656.3125</v>
      </c>
      <c r="C7" s="44">
        <f>Control_2 Close_time</f>
        <v>40656.39166666667</v>
      </c>
      <c r="D7" s="39" t="str">
        <f>IF(ISBLANK(Locale Control_2),"",Locale Control_2)</f>
        <v>SIDNEY</v>
      </c>
      <c r="E7" s="39" t="str">
        <f>IF(ISBLANK(Control_2 Establishment_2),"",Control_2 Establishment_2)</f>
        <v>Your choice</v>
      </c>
      <c r="F7" s="40"/>
      <c r="G7" s="41"/>
      <c r="H7" s="11" t="s">
        <v>53</v>
      </c>
      <c r="K7" s="42"/>
    </row>
    <row r="8" spans="1:20" ht="36" customHeight="1">
      <c r="A8" s="45"/>
      <c r="B8" s="46">
        <f>Control_2 Open_time</f>
        <v>40656.3125</v>
      </c>
      <c r="C8" s="46">
        <f>Control_2 Close_time</f>
        <v>40656.39166666667</v>
      </c>
      <c r="D8" s="47"/>
      <c r="E8" s="48">
        <f>IF(ISBLANK(Control_2 Establishment_3),"",Control_2 Establishment_3)</f>
      </c>
      <c r="F8" s="49"/>
      <c r="G8" s="50"/>
      <c r="H8" s="11" t="s">
        <v>53</v>
      </c>
      <c r="J8" s="52" t="s">
        <v>58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40656.381944444445</v>
      </c>
      <c r="C9" s="37">
        <f>Control_3 Close_time</f>
        <v>40656.54861111111</v>
      </c>
      <c r="D9" s="51"/>
      <c r="E9" s="39" t="str">
        <f>IF(ISBLANK(Control_3 Establishment_1),"",Control_3 Establishment_1)</f>
        <v>Co-op Milstream Gas Centre</v>
      </c>
      <c r="F9" s="40"/>
      <c r="G9" s="41"/>
      <c r="H9" s="11" t="s">
        <v>53</v>
      </c>
      <c r="J9" s="53" t="str">
        <f>IF(ISBLANK(brevet),"",brevet&amp;" km Randonnée")</f>
        <v>300 km Randonnée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107.60000000000002</v>
      </c>
      <c r="B10" s="44">
        <f>Control_3 Open_time</f>
        <v>40656.381944444445</v>
      </c>
      <c r="C10" s="44">
        <f>Control_3 Close_time</f>
        <v>40656.54861111111</v>
      </c>
      <c r="D10" s="39" t="str">
        <f>IF(ISBLANK(Locale Control_3),"",Locale Control_3)</f>
        <v>LANGFORD</v>
      </c>
      <c r="E10" s="39" t="str">
        <f>IF(ISBLANK(Control_3 Establishment_2),"",Control_3 Establishment_2)</f>
        <v>Milstream Rd. @ Treanor</v>
      </c>
      <c r="F10" s="40"/>
      <c r="G10" s="41"/>
      <c r="H10" s="11" t="s">
        <v>53</v>
      </c>
      <c r="J10" s="54" t="str">
        <f>IF(ISBLANK(Brevet_Description),"",Brevet_Description)</f>
        <v>Victoria--Sidney--Duncan--Sooke--Victoria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40656.381944444445</v>
      </c>
      <c r="C11" s="46">
        <f>Control_3 Close_time</f>
        <v>40656.54861111111</v>
      </c>
      <c r="D11" s="47"/>
      <c r="E11" s="48">
        <f>IF(ISBLANK(Control_3 Establishment_3),"",Control_3 Establishment_3)</f>
      </c>
      <c r="F11" s="49"/>
      <c r="G11" s="50"/>
      <c r="H11" s="11" t="s">
        <v>53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40656.4625</v>
      </c>
      <c r="C12" s="37">
        <f>Control_4 Close_time</f>
        <v>40656.73125</v>
      </c>
      <c r="D12" s="51"/>
      <c r="E12" s="39" t="str">
        <f>IF(ISBLANK(Control_4 Establishment_1),"",Control_4 Establishment_1)</f>
        <v>Tim Horton's</v>
      </c>
      <c r="F12" s="40"/>
      <c r="G12" s="41"/>
      <c r="H12" s="11" t="s">
        <v>53</v>
      </c>
      <c r="J12" s="56" t="s">
        <v>59</v>
      </c>
      <c r="L12" s="57">
        <f>IF(ISBLANK(surname),"",First_Name&amp;" "&amp;Initial&amp;" "&amp;surname)</f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173.20000000000002</v>
      </c>
      <c r="B13" s="44">
        <f>Control_4 Open_time</f>
        <v>40656.4625</v>
      </c>
      <c r="C13" s="44">
        <f>Control_4 Close_time</f>
        <v>40656.73125</v>
      </c>
      <c r="D13" s="39" t="str">
        <f>IF(ISBLANK(Locale Control_4),"",Locale Control_4)</f>
        <v>DUNCAN</v>
      </c>
      <c r="E13" s="39" t="str">
        <f>IF(ISBLANK(Control_4 Establishment_2),"",Control_4 Establishment_2)</f>
        <v>Drinkwater @ Highway #1</v>
      </c>
      <c r="F13" s="40"/>
      <c r="G13" s="41"/>
      <c r="H13" s="11" t="s">
        <v>53</v>
      </c>
      <c r="J13" s="56" t="s">
        <v>60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40656.4625</v>
      </c>
      <c r="C14" s="46">
        <f>Control_4 Close_time</f>
        <v>40656.73125</v>
      </c>
      <c r="D14" s="47"/>
      <c r="E14" s="48">
        <f>IF(ISBLANK(Control_4 Establishment_3),"",Control_4 Establishment_3)</f>
      </c>
      <c r="F14" s="49"/>
      <c r="G14" s="50"/>
      <c r="H14" s="11" t="s">
        <v>53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40656.572916666664</v>
      </c>
      <c r="C15" s="37">
        <f>Control_5 Close_time</f>
        <v>40656.97083333333</v>
      </c>
      <c r="D15" s="51"/>
      <c r="E15" s="39" t="str">
        <f>IF(ISBLANK(Control_5 Establishment_1),"",Control_5 Establishment_1)</f>
        <v>Sooke</v>
      </c>
      <c r="F15" s="40"/>
      <c r="G15" s="41"/>
      <c r="H15" s="11" t="s">
        <v>53</v>
      </c>
      <c r="J15" s="56" t="s">
        <v>61</v>
      </c>
      <c r="K15" s="56"/>
      <c r="L15" s="60">
        <f>IF(ISBLANK(City),"",City)</f>
      </c>
      <c r="M15" s="61"/>
      <c r="N15" s="61"/>
      <c r="O15" s="63"/>
      <c r="P15" s="63" t="s">
        <v>62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259.59999999999997</v>
      </c>
      <c r="B16" s="44">
        <f>Control_5 Open_time</f>
        <v>40656.572916666664</v>
      </c>
      <c r="C16" s="44">
        <f>Control_5 Close_time</f>
        <v>40656.97083333333</v>
      </c>
      <c r="D16" s="39" t="str">
        <f>IF(ISBLANK(Locale Control_5),"",Locale Control_5)</f>
        <v>SOOKE</v>
      </c>
      <c r="E16" s="39" t="str">
        <f>IF(ISBLANK(Control_5 Establishment_2),"",Control_5 Establishment_2)</f>
        <v>Your choice</v>
      </c>
      <c r="F16" s="40"/>
      <c r="G16" s="41"/>
      <c r="H16" s="11" t="s">
        <v>53</v>
      </c>
      <c r="J16" s="56" t="s">
        <v>63</v>
      </c>
      <c r="K16" s="56"/>
      <c r="L16" s="60">
        <f>IF(ISBLANK(Country),"",Country)</f>
      </c>
      <c r="M16" s="61"/>
      <c r="N16" s="61"/>
      <c r="O16" s="63"/>
      <c r="P16" s="63" t="s">
        <v>64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40656.572916666664</v>
      </c>
      <c r="C17" s="46">
        <f>Control_5 Close_time</f>
        <v>40656.97083333333</v>
      </c>
      <c r="D17" s="47"/>
      <c r="E17" s="48">
        <f>IF(ISBLANK(Control_5 Establishment_3),"",Control_5 Establishment_3)</f>
      </c>
      <c r="F17" s="49"/>
      <c r="G17" s="50"/>
      <c r="H17" s="11" t="s">
        <v>53</v>
      </c>
      <c r="L17" s="64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  <v>40656.634722222225</v>
      </c>
      <c r="C18" s="37">
        <f>Control_6 Close_time</f>
        <v>40657.083333333336</v>
      </c>
      <c r="D18" s="51"/>
      <c r="E18" s="39">
        <f>IF(ISBLANK(Control_6 Establishment_1),"",Control_6 Establishment_1)</f>
        <v>0</v>
      </c>
      <c r="F18" s="40"/>
      <c r="G18" s="41"/>
      <c r="H18" s="11" t="s">
        <v>53</v>
      </c>
      <c r="J18" s="56" t="s">
        <v>65</v>
      </c>
      <c r="L18" s="66">
        <f>IF(ISBLANK(Home_telephone),"",Home_telephone)</f>
      </c>
      <c r="M18" s="66"/>
      <c r="N18" s="66"/>
      <c r="O18" s="65"/>
      <c r="P18" s="63" t="s">
        <v>66</v>
      </c>
      <c r="Q18" s="67">
        <f>IF(ISBLANK(email),"",email)</f>
      </c>
      <c r="R18" s="68"/>
      <c r="S18" s="68"/>
      <c r="T18" s="69"/>
    </row>
    <row r="19" spans="1:19" ht="36" customHeight="1">
      <c r="A19" s="43">
        <f>IF(ISBLANK(Distance Control_6),"",Control_6 Distance)</f>
        <v>307.2500000000001</v>
      </c>
      <c r="B19" s="44">
        <f>Control_6 Open_time</f>
        <v>40656.634722222225</v>
      </c>
      <c r="C19" s="44">
        <f>Control_6 Close_time</f>
        <v>40657.083333333336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53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5"/>
      <c r="B20" s="46">
        <f>Control_6 Open_time</f>
        <v>40656.634722222225</v>
      </c>
      <c r="C20" s="46">
        <f>Control_6 Close_time</f>
        <v>40657.083333333336</v>
      </c>
      <c r="D20" s="47"/>
      <c r="E20" s="48">
        <f>IF(ISBLANK(Control_6 Establishment_3),"",Control_6 Establishment_3)</f>
        <v>0</v>
      </c>
      <c r="F20" s="49"/>
      <c r="G20" s="50"/>
      <c r="H20" s="11" t="s">
        <v>53</v>
      </c>
      <c r="J20" s="70" t="s">
        <v>67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36" customHeight="1">
      <c r="A21" s="36"/>
      <c r="B21" s="37">
        <f>Control_7 Open_time</f>
        <v>0</v>
      </c>
      <c r="C21" s="37">
        <f>Control_7 Close_time</f>
        <v>0</v>
      </c>
      <c r="D21" s="51"/>
      <c r="E21" s="39">
        <f>IF(ISBLANK(Control_7 Establishment_1),"",Control_7 Establishment_1)</f>
        <v>0</v>
      </c>
      <c r="F21" s="40"/>
      <c r="G21" s="41"/>
      <c r="H21" s="11" t="s">
        <v>53</v>
      </c>
      <c r="J21" s="70" t="s">
        <v>68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19" ht="36" customHeight="1">
      <c r="A22" s="43">
        <f>IF(ISBLANK(Distance Control_7),"",Control_7 Distance)</f>
      </c>
      <c r="B22" s="44">
        <f>Control_7 Open_time</f>
        <v>0</v>
      </c>
      <c r="C22" s="44">
        <f>Control_7 Close_time</f>
        <v>0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53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5"/>
      <c r="B23" s="46">
        <f>Control_7 Open_time</f>
        <v>0</v>
      </c>
      <c r="C23" s="46">
        <f>Control_7 Close_time</f>
        <v>0</v>
      </c>
      <c r="D23" s="47"/>
      <c r="E23" s="48">
        <f>IF(ISBLANK(Control_7 Establishment_3),"",Control_7 Establishment_3)</f>
        <v>0</v>
      </c>
      <c r="F23" s="49"/>
      <c r="G23" s="50"/>
      <c r="H23" s="11" t="s">
        <v>53</v>
      </c>
      <c r="J23" s="71" t="s">
        <v>69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53</v>
      </c>
      <c r="J24" s="56" t="s">
        <v>70</v>
      </c>
      <c r="K24" s="72">
        <f>IF(ISBLANK(Start_date),"",Start_date)</f>
        <v>40656</v>
      </c>
      <c r="L24" s="72"/>
      <c r="M24" s="72"/>
      <c r="N24" s="65"/>
      <c r="O24" s="63" t="s">
        <v>71</v>
      </c>
      <c r="P24" s="65"/>
      <c r="Q24" s="68"/>
      <c r="R24" s="68"/>
      <c r="S24" s="68"/>
      <c r="T24" s="73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53</v>
      </c>
      <c r="L25" s="65"/>
      <c r="M25" s="65"/>
      <c r="N25" s="65"/>
      <c r="O25" s="63" t="s">
        <v>72</v>
      </c>
      <c r="P25" s="65"/>
      <c r="Q25" s="68"/>
      <c r="R25" s="68"/>
      <c r="S25" s="68"/>
      <c r="T25" s="73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53</v>
      </c>
      <c r="J26" s="73"/>
      <c r="K26" s="73"/>
      <c r="L26" s="68"/>
      <c r="M26" s="68"/>
      <c r="N26" s="65"/>
      <c r="O26" s="63" t="s">
        <v>73</v>
      </c>
      <c r="P26" s="65"/>
      <c r="Q26" s="68"/>
      <c r="R26" s="68"/>
      <c r="S26" s="68"/>
      <c r="T26" s="73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53</v>
      </c>
      <c r="J27" s="74" t="s">
        <v>74</v>
      </c>
      <c r="K27" s="74"/>
      <c r="L27" s="74"/>
      <c r="M27" s="74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53</v>
      </c>
      <c r="L28" s="75" t="s">
        <v>75</v>
      </c>
      <c r="M28" s="75"/>
      <c r="N28" s="75"/>
      <c r="O28" s="75"/>
      <c r="P28" s="75"/>
      <c r="Q28" s="75"/>
      <c r="R28" s="65"/>
      <c r="S28" s="65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53</v>
      </c>
      <c r="K29" s="76"/>
      <c r="L29" s="77"/>
      <c r="M29" s="77"/>
      <c r="N29" s="78"/>
      <c r="O29" s="79"/>
      <c r="P29" s="77"/>
      <c r="Q29" s="77"/>
      <c r="R29" s="78"/>
      <c r="S29" s="65" t="s">
        <v>76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53</v>
      </c>
      <c r="K30" s="80"/>
      <c r="L30" s="81"/>
      <c r="M30" s="81"/>
      <c r="N30" s="82"/>
      <c r="O30" s="83"/>
      <c r="P30" s="81"/>
      <c r="Q30" s="81"/>
      <c r="R30" s="82"/>
      <c r="S30" s="84"/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53</v>
      </c>
      <c r="K31" s="85"/>
      <c r="L31" s="68"/>
      <c r="M31" s="68"/>
      <c r="N31" s="86"/>
      <c r="O31" s="87"/>
      <c r="P31" s="68"/>
      <c r="Q31" s="68"/>
      <c r="R31" s="86"/>
      <c r="S31" s="65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53</v>
      </c>
      <c r="L32" s="63" t="s">
        <v>77</v>
      </c>
      <c r="M32" s="65"/>
      <c r="N32" s="61" t="str">
        <f>IF(ISBLANK(Brevet_Number),"",Brevet_Number)</f>
        <v>VI0300A</v>
      </c>
      <c r="O32" s="61"/>
      <c r="P32" s="61"/>
      <c r="Q32" s="65"/>
      <c r="R32" s="65"/>
      <c r="S32" s="65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5" right="0.15694444444444444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" sqref="C9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57421875" style="0" customWidth="1"/>
    <col min="13" max="13" width="13.28125" style="0" customWidth="1"/>
    <col min="14" max="14" width="34.140625" style="0" customWidth="1"/>
    <col min="15" max="16" width="9.57421875" style="0" customWidth="1"/>
    <col min="18" max="16384" width="8.8515625" style="0" customWidth="1"/>
  </cols>
  <sheetData>
    <row r="1" spans="1:18" ht="24.75">
      <c r="A1" s="89"/>
      <c r="B1" s="90" t="s">
        <v>78</v>
      </c>
      <c r="C1" s="90" t="s">
        <v>79</v>
      </c>
      <c r="D1" s="90" t="s">
        <v>80</v>
      </c>
      <c r="E1" s="90" t="s">
        <v>81</v>
      </c>
      <c r="F1" s="90" t="s">
        <v>82</v>
      </c>
      <c r="G1" s="90" t="s">
        <v>61</v>
      </c>
      <c r="H1" s="91" t="s">
        <v>62</v>
      </c>
      <c r="I1" s="90" t="s">
        <v>63</v>
      </c>
      <c r="J1" s="90" t="s">
        <v>64</v>
      </c>
      <c r="K1" s="92" t="s">
        <v>83</v>
      </c>
      <c r="L1" s="92" t="s">
        <v>84</v>
      </c>
      <c r="M1" s="93" t="s">
        <v>85</v>
      </c>
      <c r="N1" s="94" t="s">
        <v>66</v>
      </c>
      <c r="O1" s="95" t="s">
        <v>86</v>
      </c>
      <c r="P1" s="95" t="s">
        <v>87</v>
      </c>
      <c r="Q1" s="95" t="s">
        <v>88</v>
      </c>
      <c r="R1" s="95" t="s">
        <v>89</v>
      </c>
    </row>
    <row r="2" spans="1:18" ht="12.75">
      <c r="A2" s="89"/>
      <c r="B2" s="96"/>
      <c r="C2" s="96"/>
      <c r="D2" s="96"/>
      <c r="E2" s="96"/>
      <c r="F2" s="96">
        <f>IF(ISBLANK(F3),"",F3)</f>
      </c>
      <c r="G2" s="96"/>
      <c r="H2" s="96"/>
      <c r="I2" s="96"/>
      <c r="J2" s="96"/>
      <c r="K2" s="97"/>
      <c r="L2" s="97">
        <f>IF(ISBLANK(L3),"",L3)</f>
      </c>
      <c r="M2" s="97">
        <f>IF(ISBLANK(M3),"",M3)</f>
      </c>
      <c r="N2" s="98"/>
      <c r="O2" s="99"/>
      <c r="P2" s="100"/>
      <c r="Q2" s="99"/>
      <c r="R2" s="99"/>
    </row>
    <row r="3" spans="1:18" ht="12.75">
      <c r="A3" s="101">
        <v>1</v>
      </c>
      <c r="B3" s="102" t="s">
        <v>90</v>
      </c>
      <c r="C3" s="103" t="s">
        <v>91</v>
      </c>
      <c r="D3" s="103"/>
      <c r="E3" s="103"/>
      <c r="F3" s="103"/>
      <c r="G3" s="103"/>
      <c r="H3" s="103"/>
      <c r="I3" s="103"/>
      <c r="J3" s="103"/>
      <c r="K3" s="104"/>
      <c r="L3" s="104"/>
      <c r="M3" s="104"/>
      <c r="N3" s="105"/>
      <c r="O3" s="106"/>
      <c r="P3" s="107"/>
      <c r="Q3" s="106"/>
      <c r="R3" s="106"/>
    </row>
    <row r="4" spans="1:18" ht="12.75">
      <c r="A4">
        <v>2</v>
      </c>
      <c r="B4" s="103" t="s">
        <v>92</v>
      </c>
      <c r="C4" s="103" t="s">
        <v>93</v>
      </c>
      <c r="D4" s="103"/>
      <c r="E4" s="103"/>
      <c r="F4" s="103"/>
      <c r="G4" s="103"/>
      <c r="H4" s="103"/>
      <c r="I4" s="103"/>
      <c r="J4" s="103"/>
      <c r="K4" s="104"/>
      <c r="L4" s="104"/>
      <c r="M4" s="104"/>
      <c r="N4" s="103"/>
      <c r="O4" s="107"/>
      <c r="P4" s="107"/>
      <c r="Q4" s="107"/>
      <c r="R4" s="106"/>
    </row>
    <row r="5" spans="1:18" ht="12.75">
      <c r="A5" s="101">
        <v>3</v>
      </c>
      <c r="B5" s="103" t="s">
        <v>94</v>
      </c>
      <c r="C5" s="103" t="s">
        <v>95</v>
      </c>
      <c r="D5" s="103"/>
      <c r="E5" s="103"/>
      <c r="F5" s="103"/>
      <c r="G5" s="103"/>
      <c r="H5" s="103"/>
      <c r="I5" s="103"/>
      <c r="J5" s="103"/>
      <c r="K5" s="104"/>
      <c r="L5" s="104"/>
      <c r="M5" s="104"/>
      <c r="N5" s="103"/>
      <c r="O5" s="106"/>
      <c r="P5" s="106"/>
      <c r="Q5" s="106"/>
      <c r="R5" s="106"/>
    </row>
    <row r="6" spans="1:18" ht="12.75">
      <c r="A6" s="101">
        <v>4</v>
      </c>
      <c r="B6" s="103" t="s">
        <v>96</v>
      </c>
      <c r="C6" s="103" t="s">
        <v>97</v>
      </c>
      <c r="D6" s="103"/>
      <c r="E6" s="103"/>
      <c r="F6" s="103"/>
      <c r="G6" s="103"/>
      <c r="H6" s="103"/>
      <c r="I6" s="103"/>
      <c r="J6" s="103"/>
      <c r="K6" s="104"/>
      <c r="L6" s="104"/>
      <c r="M6" s="104"/>
      <c r="N6" s="103"/>
      <c r="O6" s="106"/>
      <c r="P6" s="106"/>
      <c r="Q6" s="106"/>
      <c r="R6" s="106"/>
    </row>
    <row r="7" spans="1:18" ht="12.75">
      <c r="A7" s="101">
        <v>5</v>
      </c>
      <c r="B7" s="103" t="s">
        <v>98</v>
      </c>
      <c r="C7" s="103" t="s">
        <v>99</v>
      </c>
      <c r="D7" s="103"/>
      <c r="E7" s="103"/>
      <c r="F7" s="103"/>
      <c r="G7" s="103"/>
      <c r="H7" s="103"/>
      <c r="I7" s="103"/>
      <c r="J7" s="103"/>
      <c r="K7" s="104"/>
      <c r="L7" s="104"/>
      <c r="M7" s="104"/>
      <c r="N7" s="103"/>
      <c r="O7" s="107"/>
      <c r="P7" s="106"/>
      <c r="Q7" s="107"/>
      <c r="R7" s="106"/>
    </row>
    <row r="8" spans="1:18" ht="12.75">
      <c r="A8" s="101">
        <v>6</v>
      </c>
      <c r="B8" s="103" t="s">
        <v>100</v>
      </c>
      <c r="C8" s="103" t="s">
        <v>101</v>
      </c>
      <c r="D8" s="103"/>
      <c r="E8" s="103"/>
      <c r="F8" s="103"/>
      <c r="G8" s="103"/>
      <c r="H8" s="103"/>
      <c r="I8" s="103"/>
      <c r="J8" s="103"/>
      <c r="K8" s="104"/>
      <c r="L8" s="104"/>
      <c r="M8" s="104"/>
      <c r="N8" s="103"/>
      <c r="O8" s="106"/>
      <c r="P8" s="107"/>
      <c r="Q8" s="106"/>
      <c r="R8" s="106"/>
    </row>
    <row r="9" spans="1:18" ht="12.75">
      <c r="A9" s="101">
        <v>7</v>
      </c>
      <c r="B9" s="103" t="s">
        <v>102</v>
      </c>
      <c r="C9" s="103" t="s">
        <v>103</v>
      </c>
      <c r="D9" s="103"/>
      <c r="E9" s="103"/>
      <c r="F9" s="103"/>
      <c r="G9" s="103"/>
      <c r="H9" s="103"/>
      <c r="I9" s="103"/>
      <c r="J9" s="103"/>
      <c r="K9" s="104"/>
      <c r="L9" s="104"/>
      <c r="M9" s="104"/>
      <c r="N9" s="103"/>
      <c r="O9" s="107"/>
      <c r="P9" s="107"/>
      <c r="Q9" s="107"/>
      <c r="R9" s="106"/>
    </row>
    <row r="10" spans="1:18" ht="12.75">
      <c r="A10" s="101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4"/>
      <c r="M10" s="104"/>
      <c r="N10" s="103"/>
      <c r="O10" s="106"/>
      <c r="P10" s="107"/>
      <c r="Q10" s="106"/>
      <c r="R10" s="106"/>
    </row>
    <row r="11" spans="1:18" ht="12.75">
      <c r="A11" s="101">
        <v>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4"/>
      <c r="L11" s="104"/>
      <c r="M11" s="104"/>
      <c r="N11" s="103"/>
      <c r="O11" s="107"/>
      <c r="P11" s="106"/>
      <c r="Q11" s="107"/>
      <c r="R11" s="106"/>
    </row>
    <row r="12" spans="1:18" ht="12.75">
      <c r="A12" s="101">
        <v>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  <c r="L12" s="104"/>
      <c r="M12" s="104"/>
      <c r="N12" s="103"/>
      <c r="O12" s="106"/>
      <c r="P12" s="107"/>
      <c r="Q12" s="106"/>
      <c r="R12" s="106"/>
    </row>
    <row r="13" spans="1:18" ht="12.75">
      <c r="A13" s="101"/>
      <c r="B13" s="103"/>
      <c r="C13" s="103"/>
      <c r="D13" s="103"/>
      <c r="E13" s="103"/>
      <c r="F13" s="103"/>
      <c r="G13" s="103"/>
      <c r="H13" s="103"/>
      <c r="I13" s="103"/>
      <c r="J13" s="103"/>
      <c r="K13" s="104"/>
      <c r="L13" s="104"/>
      <c r="M13" s="104"/>
      <c r="N13" s="103"/>
      <c r="O13" s="106"/>
      <c r="P13" s="106"/>
      <c r="Q13" s="106"/>
      <c r="R13" s="106"/>
    </row>
    <row r="14" spans="1:18" ht="12.75">
      <c r="A14" s="101"/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4"/>
      <c r="M14" s="104"/>
      <c r="N14" s="103"/>
      <c r="O14" s="106"/>
      <c r="P14" s="107"/>
      <c r="Q14" s="106"/>
      <c r="R14" s="106"/>
    </row>
    <row r="15" spans="1:18" ht="12.75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4"/>
      <c r="L15" s="104"/>
      <c r="M15" s="104"/>
      <c r="N15" s="103"/>
      <c r="O15" s="106"/>
      <c r="P15" s="107"/>
      <c r="Q15" s="106"/>
      <c r="R15" s="106"/>
    </row>
    <row r="16" spans="1:18" ht="12.75">
      <c r="A16" s="101"/>
      <c r="B16" s="103"/>
      <c r="C16" s="103"/>
      <c r="D16" s="103"/>
      <c r="E16" s="103"/>
      <c r="F16" s="103"/>
      <c r="G16" s="103"/>
      <c r="H16" s="103"/>
      <c r="I16" s="103"/>
      <c r="J16" s="103"/>
      <c r="K16" s="104"/>
      <c r="L16" s="104"/>
      <c r="M16" s="104"/>
      <c r="N16" s="103"/>
      <c r="O16" s="106"/>
      <c r="P16" s="106"/>
      <c r="Q16" s="106"/>
      <c r="R16" s="106"/>
    </row>
    <row r="17" spans="1:18" ht="12.7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8"/>
      <c r="L17" s="104"/>
      <c r="M17" s="104"/>
      <c r="N17" s="103"/>
      <c r="O17" s="106"/>
      <c r="P17" s="107"/>
      <c r="Q17" s="106"/>
      <c r="R17" s="106"/>
    </row>
    <row r="18" spans="1:18" ht="12.75">
      <c r="A18" s="101"/>
      <c r="B18" s="103"/>
      <c r="C18" s="103"/>
      <c r="D18" s="103"/>
      <c r="E18" s="109"/>
      <c r="F18" s="103"/>
      <c r="G18" s="103"/>
      <c r="H18" s="103"/>
      <c r="I18" s="103"/>
      <c r="J18" s="103"/>
      <c r="K18" s="104"/>
      <c r="L18" s="104"/>
      <c r="M18" s="104"/>
      <c r="N18" s="103"/>
      <c r="O18" s="106"/>
      <c r="P18" s="107"/>
      <c r="Q18" s="106"/>
      <c r="R18" s="106"/>
    </row>
    <row r="19" spans="1:18" ht="12.75">
      <c r="A19" s="101"/>
      <c r="B19" s="103"/>
      <c r="C19" s="103"/>
      <c r="D19" s="103"/>
      <c r="E19" s="103"/>
      <c r="F19" s="103"/>
      <c r="G19" s="103"/>
      <c r="H19" s="103"/>
      <c r="I19" s="103"/>
      <c r="J19" s="103"/>
      <c r="K19" s="104"/>
      <c r="L19" s="104"/>
      <c r="M19" s="104"/>
      <c r="N19" s="103"/>
      <c r="O19" s="106"/>
      <c r="P19" s="107"/>
      <c r="Q19" s="106"/>
      <c r="R19" s="106"/>
    </row>
    <row r="20" spans="1:18" ht="12.75">
      <c r="A20" s="101"/>
      <c r="B20" s="103"/>
      <c r="C20" s="103"/>
      <c r="D20" s="103"/>
      <c r="E20" s="103"/>
      <c r="F20" s="103"/>
      <c r="G20" s="103"/>
      <c r="H20" s="103"/>
      <c r="I20" s="103"/>
      <c r="J20" s="103"/>
      <c r="K20" s="104"/>
      <c r="L20" s="104"/>
      <c r="M20" s="104"/>
      <c r="N20" s="103"/>
      <c r="O20" s="106"/>
      <c r="P20" s="107"/>
      <c r="Q20" s="106"/>
      <c r="R20" s="106"/>
    </row>
    <row r="21" spans="1:18" ht="12.75">
      <c r="A21" s="101"/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104"/>
      <c r="M21" s="104"/>
      <c r="N21" s="103"/>
      <c r="O21" s="106"/>
      <c r="P21" s="106"/>
      <c r="Q21" s="106"/>
      <c r="R21" s="106"/>
    </row>
    <row r="22" spans="1:18" ht="12.75">
      <c r="A22" s="101"/>
      <c r="B22" s="103"/>
      <c r="C22" s="103"/>
      <c r="D22" s="103"/>
      <c r="E22" s="103"/>
      <c r="F22" s="103"/>
      <c r="G22" s="103"/>
      <c r="H22" s="103"/>
      <c r="I22" s="103"/>
      <c r="J22" s="103"/>
      <c r="K22" s="104"/>
      <c r="L22" s="104"/>
      <c r="M22" s="104"/>
      <c r="N22" s="103"/>
      <c r="O22" s="106"/>
      <c r="P22" s="106"/>
      <c r="Q22" s="106"/>
      <c r="R22" s="106"/>
    </row>
    <row r="23" spans="1:18" ht="12.75">
      <c r="A23" s="101"/>
      <c r="B23" s="103"/>
      <c r="C23" s="103"/>
      <c r="D23" s="103"/>
      <c r="E23" s="103"/>
      <c r="F23" s="103"/>
      <c r="G23" s="103"/>
      <c r="H23" s="103"/>
      <c r="I23" s="103"/>
      <c r="J23" s="103"/>
      <c r="K23" s="104"/>
      <c r="L23" s="104"/>
      <c r="M23" s="104"/>
      <c r="N23" s="103"/>
      <c r="O23" s="106"/>
      <c r="P23" s="106"/>
      <c r="Q23" s="106"/>
      <c r="R23" s="106"/>
    </row>
    <row r="24" spans="1:18" ht="12.75">
      <c r="A24" s="101"/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104"/>
      <c r="M24" s="104"/>
      <c r="N24" s="103"/>
      <c r="O24" s="106"/>
      <c r="P24" s="107"/>
      <c r="Q24" s="106"/>
      <c r="R24" s="106"/>
    </row>
    <row r="25" spans="1:18" ht="12.75">
      <c r="A25" s="101"/>
      <c r="B25" s="103"/>
      <c r="C25" s="103"/>
      <c r="D25" s="103"/>
      <c r="E25" s="103"/>
      <c r="F25" s="103"/>
      <c r="G25" s="103"/>
      <c r="H25" s="103"/>
      <c r="I25" s="103"/>
      <c r="J25" s="103"/>
      <c r="K25" s="104"/>
      <c r="L25" s="104"/>
      <c r="M25" s="104"/>
      <c r="N25" s="103"/>
      <c r="O25" s="106"/>
      <c r="P25" s="106"/>
      <c r="Q25" s="106"/>
      <c r="R25" s="106"/>
    </row>
    <row r="26" spans="1:18" ht="12.75">
      <c r="A26" s="101"/>
      <c r="B26" s="103"/>
      <c r="C26" s="103"/>
      <c r="D26" s="103"/>
      <c r="E26" s="103"/>
      <c r="F26" s="103"/>
      <c r="G26" s="103"/>
      <c r="H26" s="103"/>
      <c r="I26" s="103"/>
      <c r="J26" s="103"/>
      <c r="K26" s="104"/>
      <c r="L26" s="104"/>
      <c r="M26" s="104"/>
      <c r="N26" s="103"/>
      <c r="O26" s="106"/>
      <c r="P26" s="107"/>
      <c r="Q26" s="106"/>
      <c r="R26" s="106"/>
    </row>
    <row r="27" spans="1:18" ht="12.75">
      <c r="A27" s="101"/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104"/>
      <c r="M27" s="104"/>
      <c r="N27" s="103"/>
      <c r="O27" s="106"/>
      <c r="P27" s="107"/>
      <c r="Q27" s="106"/>
      <c r="R27" s="106"/>
    </row>
    <row r="28" spans="1:18" ht="12.75">
      <c r="A28" s="101"/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L28" s="104"/>
      <c r="M28" s="104"/>
      <c r="N28" s="103"/>
      <c r="O28" s="106"/>
      <c r="P28" s="107"/>
      <c r="Q28" s="106"/>
      <c r="R28" s="106"/>
    </row>
    <row r="29" spans="1:18" ht="12.75">
      <c r="A29" s="101"/>
      <c r="B29" s="103"/>
      <c r="C29" s="103"/>
      <c r="D29" s="103"/>
      <c r="E29" s="103"/>
      <c r="F29" s="103"/>
      <c r="G29" s="103"/>
      <c r="H29" s="103"/>
      <c r="I29" s="103"/>
      <c r="J29" s="103"/>
      <c r="K29" s="104"/>
      <c r="L29" s="104"/>
      <c r="M29" s="104"/>
      <c r="N29" s="103"/>
      <c r="O29" s="106"/>
      <c r="P29" s="107"/>
      <c r="Q29" s="106"/>
      <c r="R29" s="106"/>
    </row>
    <row r="30" spans="1:18" ht="12.75">
      <c r="A30" s="101"/>
      <c r="B30" s="103"/>
      <c r="C30" s="103"/>
      <c r="D30" s="103"/>
      <c r="E30" s="103"/>
      <c r="F30" s="103"/>
      <c r="G30" s="103"/>
      <c r="H30" s="103"/>
      <c r="I30" s="103"/>
      <c r="J30" s="103"/>
      <c r="K30" s="104"/>
      <c r="L30" s="104"/>
      <c r="M30" s="104"/>
      <c r="N30" s="103"/>
      <c r="O30" s="106"/>
      <c r="P30" s="107"/>
      <c r="Q30" s="106"/>
      <c r="R30" s="106"/>
    </row>
    <row r="31" spans="1:18" ht="12.75">
      <c r="A31" s="101"/>
      <c r="B31" s="103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3"/>
      <c r="O31" s="106"/>
      <c r="P31" s="107"/>
      <c r="Q31" s="106"/>
      <c r="R31" s="106"/>
    </row>
    <row r="32" spans="11:18" ht="12.75">
      <c r="K32" s="110"/>
      <c r="L32" s="110"/>
      <c r="M32" s="110"/>
      <c r="O32" s="111"/>
      <c r="Q32" s="111"/>
      <c r="R32" s="111"/>
    </row>
    <row r="34" ht="12.75">
      <c r="P34" t="s">
        <v>104</v>
      </c>
    </row>
    <row r="35" ht="12.75">
      <c r="P35" t="s">
        <v>105</v>
      </c>
    </row>
    <row r="36" ht="12.75">
      <c r="P36" t="s">
        <v>106</v>
      </c>
    </row>
    <row r="37" ht="12.75">
      <c r="P37" t="s">
        <v>107</v>
      </c>
    </row>
    <row r="38" ht="12.75">
      <c r="P38" t="s">
        <v>108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94"/>
  <sheetViews>
    <sheetView showGridLines="0" tabSelected="1" zoomScale="200" zoomScaleNormal="200" workbookViewId="0" topLeftCell="A25">
      <selection activeCell="F49" sqref="F49"/>
    </sheetView>
  </sheetViews>
  <sheetFormatPr defaultColWidth="9.140625" defaultRowHeight="12.75"/>
  <cols>
    <col min="1" max="1" width="7.00390625" style="112" customWidth="1"/>
    <col min="2" max="2" width="3.7109375" style="113" customWidth="1"/>
    <col min="3" max="3" width="30.7109375" style="114" customWidth="1"/>
    <col min="4" max="4" width="5.57421875" style="112" customWidth="1"/>
    <col min="5" max="5" width="0.71875" style="0" customWidth="1"/>
    <col min="6" max="6" width="5.7109375" style="112" customWidth="1"/>
    <col min="7" max="7" width="3.7109375" style="113" customWidth="1"/>
    <col min="8" max="8" width="30.7109375" style="114" customWidth="1"/>
    <col min="9" max="9" width="5.57421875" style="112" customWidth="1"/>
    <col min="10" max="10" width="8.8515625" style="0" customWidth="1"/>
    <col min="11" max="11" width="3.7109375" style="0" customWidth="1"/>
    <col min="12" max="12" width="23.8515625" style="0" customWidth="1"/>
    <col min="13" max="16384" width="8.8515625" style="0" customWidth="1"/>
  </cols>
  <sheetData>
    <row r="1" spans="1:9" ht="60.75">
      <c r="A1" s="115" t="s">
        <v>109</v>
      </c>
      <c r="B1" s="116" t="s">
        <v>110</v>
      </c>
      <c r="C1" s="117" t="s">
        <v>111</v>
      </c>
      <c r="D1" s="118" t="s">
        <v>112</v>
      </c>
      <c r="F1" s="115" t="s">
        <v>109</v>
      </c>
      <c r="G1" s="116" t="s">
        <v>110</v>
      </c>
      <c r="H1" s="117" t="s">
        <v>111</v>
      </c>
      <c r="I1" s="118" t="s">
        <v>112</v>
      </c>
    </row>
    <row r="2" spans="1:9" ht="12.75">
      <c r="A2" s="119"/>
      <c r="B2" s="120"/>
      <c r="C2" s="120" t="s">
        <v>113</v>
      </c>
      <c r="D2" s="121"/>
      <c r="F2" s="122">
        <f>A22+D22</f>
        <v>10.2</v>
      </c>
      <c r="G2" s="123" t="s">
        <v>114</v>
      </c>
      <c r="H2" s="124" t="s">
        <v>115</v>
      </c>
      <c r="I2" s="125">
        <v>0.1</v>
      </c>
    </row>
    <row r="3" spans="1:16" ht="12.75">
      <c r="A3" s="119"/>
      <c r="B3" s="120"/>
      <c r="C3" s="120" t="s">
        <v>116</v>
      </c>
      <c r="D3" s="121"/>
      <c r="F3" s="122">
        <f aca="true" t="shared" si="0" ref="F3:F22">F2+I2</f>
        <v>10.299999999999999</v>
      </c>
      <c r="G3" s="123" t="s">
        <v>117</v>
      </c>
      <c r="H3" s="124" t="s">
        <v>118</v>
      </c>
      <c r="I3" s="125">
        <v>0.5</v>
      </c>
      <c r="N3" s="126"/>
      <c r="O3" s="127"/>
      <c r="P3" s="128"/>
    </row>
    <row r="4" spans="1:16" ht="12.75">
      <c r="A4" s="129"/>
      <c r="B4" s="130"/>
      <c r="C4" s="131"/>
      <c r="D4" s="132"/>
      <c r="F4" s="122">
        <f t="shared" si="0"/>
        <v>10.799999999999999</v>
      </c>
      <c r="G4" s="123" t="s">
        <v>119</v>
      </c>
      <c r="H4" s="124" t="s">
        <v>120</v>
      </c>
      <c r="I4" s="125">
        <v>1</v>
      </c>
      <c r="N4" s="126"/>
      <c r="O4" s="127"/>
      <c r="P4" s="128"/>
    </row>
    <row r="5" spans="1:16" ht="12.75">
      <c r="A5" s="122">
        <v>0</v>
      </c>
      <c r="B5" s="123" t="s">
        <v>114</v>
      </c>
      <c r="C5" s="124" t="s">
        <v>121</v>
      </c>
      <c r="D5" s="125">
        <v>0.1</v>
      </c>
      <c r="F5" s="129">
        <f t="shared" si="0"/>
        <v>11.799999999999999</v>
      </c>
      <c r="G5" s="130" t="s">
        <v>114</v>
      </c>
      <c r="H5" s="131" t="s">
        <v>122</v>
      </c>
      <c r="I5" s="132">
        <v>7.6</v>
      </c>
      <c r="N5" s="126"/>
      <c r="O5" s="127"/>
      <c r="P5" s="128"/>
    </row>
    <row r="6" spans="1:16" ht="12.75">
      <c r="A6" s="122">
        <f aca="true" t="shared" si="1" ref="A6:A22">A5+D5</f>
        <v>0.1</v>
      </c>
      <c r="B6" s="123" t="s">
        <v>114</v>
      </c>
      <c r="C6" s="124" t="s">
        <v>123</v>
      </c>
      <c r="D6" s="125">
        <v>1.2</v>
      </c>
      <c r="F6" s="122">
        <f t="shared" si="0"/>
        <v>19.4</v>
      </c>
      <c r="G6" s="133" t="s">
        <v>114</v>
      </c>
      <c r="H6" s="134" t="s">
        <v>124</v>
      </c>
      <c r="I6" s="125">
        <v>1.7</v>
      </c>
      <c r="O6" s="127"/>
      <c r="P6" s="127"/>
    </row>
    <row r="7" spans="1:16" ht="12.75">
      <c r="A7" s="122">
        <f t="shared" si="1"/>
        <v>1.3</v>
      </c>
      <c r="B7" s="130" t="s">
        <v>114</v>
      </c>
      <c r="C7" s="131" t="s">
        <v>125</v>
      </c>
      <c r="D7" s="132">
        <v>0.3</v>
      </c>
      <c r="F7" s="122">
        <f t="shared" si="0"/>
        <v>21.099999999999998</v>
      </c>
      <c r="G7" s="123" t="s">
        <v>117</v>
      </c>
      <c r="H7" s="124" t="s">
        <v>126</v>
      </c>
      <c r="I7" s="125">
        <v>0</v>
      </c>
      <c r="O7" s="127"/>
      <c r="P7" s="128"/>
    </row>
    <row r="8" spans="1:16" ht="12.75">
      <c r="A8" s="122">
        <f t="shared" si="1"/>
        <v>1.6</v>
      </c>
      <c r="B8" s="130" t="s">
        <v>114</v>
      </c>
      <c r="C8" s="131" t="s">
        <v>127</v>
      </c>
      <c r="D8" s="132">
        <v>0.2</v>
      </c>
      <c r="F8" s="122">
        <f t="shared" si="0"/>
        <v>21.099999999999998</v>
      </c>
      <c r="G8" s="123" t="s">
        <v>117</v>
      </c>
      <c r="H8" s="124" t="s">
        <v>128</v>
      </c>
      <c r="I8" s="125">
        <v>0.3</v>
      </c>
      <c r="O8" s="127"/>
      <c r="P8" s="128"/>
    </row>
    <row r="9" spans="1:16" ht="12.75">
      <c r="A9" s="122">
        <f t="shared" si="1"/>
        <v>1.8</v>
      </c>
      <c r="B9" s="130" t="s">
        <v>119</v>
      </c>
      <c r="C9" s="131" t="s">
        <v>129</v>
      </c>
      <c r="D9" s="132">
        <v>0.5</v>
      </c>
      <c r="F9" s="122">
        <f t="shared" si="0"/>
        <v>21.4</v>
      </c>
      <c r="G9" s="133" t="s">
        <v>119</v>
      </c>
      <c r="H9" s="124" t="s">
        <v>130</v>
      </c>
      <c r="I9" s="125">
        <v>1.7</v>
      </c>
      <c r="O9" s="127"/>
      <c r="P9" s="128"/>
    </row>
    <row r="10" spans="1:16" ht="12.75">
      <c r="A10" s="122">
        <f t="shared" si="1"/>
        <v>2.3</v>
      </c>
      <c r="B10" s="130" t="s">
        <v>117</v>
      </c>
      <c r="C10" s="131" t="s">
        <v>131</v>
      </c>
      <c r="D10" s="132">
        <v>0.7</v>
      </c>
      <c r="F10" s="122">
        <f t="shared" si="0"/>
        <v>23.099999999999998</v>
      </c>
      <c r="G10" s="133" t="s">
        <v>114</v>
      </c>
      <c r="H10" s="124" t="s">
        <v>132</v>
      </c>
      <c r="I10" s="125">
        <v>0.9</v>
      </c>
      <c r="O10" s="127"/>
      <c r="P10" s="128"/>
    </row>
    <row r="11" spans="1:16" ht="12.75">
      <c r="A11" s="122">
        <f t="shared" si="1"/>
        <v>3</v>
      </c>
      <c r="B11" s="123" t="s">
        <v>114</v>
      </c>
      <c r="C11" s="124" t="s">
        <v>133</v>
      </c>
      <c r="D11" s="125">
        <v>0.2</v>
      </c>
      <c r="F11" s="122">
        <f t="shared" si="0"/>
        <v>23.999999999999996</v>
      </c>
      <c r="G11" s="133" t="s">
        <v>114</v>
      </c>
      <c r="H11" s="124" t="s">
        <v>134</v>
      </c>
      <c r="I11" s="125">
        <v>1.1</v>
      </c>
      <c r="O11" s="127"/>
      <c r="P11" s="128"/>
    </row>
    <row r="12" spans="1:16" ht="12.75">
      <c r="A12" s="122">
        <f t="shared" si="1"/>
        <v>3.2</v>
      </c>
      <c r="B12" s="123" t="s">
        <v>114</v>
      </c>
      <c r="C12" s="124" t="s">
        <v>135</v>
      </c>
      <c r="D12" s="125">
        <v>0.5</v>
      </c>
      <c r="F12" s="122">
        <f t="shared" si="0"/>
        <v>25.099999999999998</v>
      </c>
      <c r="G12" s="133" t="s">
        <v>114</v>
      </c>
      <c r="H12" s="124" t="s">
        <v>136</v>
      </c>
      <c r="I12" s="125">
        <v>0.3</v>
      </c>
      <c r="O12" s="127"/>
      <c r="P12" s="128"/>
    </row>
    <row r="13" spans="1:16" ht="12.75">
      <c r="A13" s="122">
        <f t="shared" si="1"/>
        <v>3.7</v>
      </c>
      <c r="B13" s="123" t="s">
        <v>117</v>
      </c>
      <c r="C13" s="124" t="s">
        <v>137</v>
      </c>
      <c r="D13" s="125">
        <v>0.1</v>
      </c>
      <c r="F13" s="122">
        <f t="shared" si="0"/>
        <v>25.4</v>
      </c>
      <c r="G13" s="123" t="s">
        <v>119</v>
      </c>
      <c r="H13" s="124" t="s">
        <v>138</v>
      </c>
      <c r="I13" s="125">
        <v>0.4</v>
      </c>
      <c r="O13" s="127"/>
      <c r="P13" s="128"/>
    </row>
    <row r="14" spans="1:16" ht="12.75">
      <c r="A14" s="122">
        <f t="shared" si="1"/>
        <v>3.8000000000000003</v>
      </c>
      <c r="B14" s="123" t="s">
        <v>117</v>
      </c>
      <c r="C14" s="124" t="s">
        <v>139</v>
      </c>
      <c r="D14" s="125">
        <v>0.1</v>
      </c>
      <c r="F14" s="122">
        <f t="shared" si="0"/>
        <v>25.799999999999997</v>
      </c>
      <c r="G14" s="123" t="s">
        <v>117</v>
      </c>
      <c r="H14" s="124" t="s">
        <v>140</v>
      </c>
      <c r="I14" s="125">
        <v>1</v>
      </c>
      <c r="O14" s="127"/>
      <c r="P14" s="128"/>
    </row>
    <row r="15" spans="1:16" ht="12.75">
      <c r="A15" s="122">
        <f t="shared" si="1"/>
        <v>3.9000000000000004</v>
      </c>
      <c r="B15" s="123" t="s">
        <v>117</v>
      </c>
      <c r="C15" s="124" t="s">
        <v>141</v>
      </c>
      <c r="D15" s="125">
        <v>0.1</v>
      </c>
      <c r="F15" s="122">
        <f t="shared" si="0"/>
        <v>26.799999999999997</v>
      </c>
      <c r="G15" s="123" t="s">
        <v>117</v>
      </c>
      <c r="H15" s="124" t="s">
        <v>142</v>
      </c>
      <c r="I15" s="125">
        <v>1.5</v>
      </c>
      <c r="O15" s="11"/>
      <c r="P15" s="31"/>
    </row>
    <row r="16" spans="1:16" ht="12.75">
      <c r="A16" s="122">
        <f t="shared" si="1"/>
        <v>4</v>
      </c>
      <c r="B16" s="123" t="s">
        <v>117</v>
      </c>
      <c r="C16" s="124" t="s">
        <v>143</v>
      </c>
      <c r="D16" s="125">
        <v>0.2</v>
      </c>
      <c r="F16" s="122">
        <f t="shared" si="0"/>
        <v>28.299999999999997</v>
      </c>
      <c r="G16" s="123" t="s">
        <v>114</v>
      </c>
      <c r="H16" s="124" t="s">
        <v>144</v>
      </c>
      <c r="I16" s="125">
        <v>1.9</v>
      </c>
      <c r="O16" s="127"/>
      <c r="P16" s="128"/>
    </row>
    <row r="17" spans="1:16" ht="12.75">
      <c r="A17" s="122">
        <f t="shared" si="1"/>
        <v>4.2</v>
      </c>
      <c r="B17" s="123" t="s">
        <v>117</v>
      </c>
      <c r="C17" s="124" t="s">
        <v>145</v>
      </c>
      <c r="D17" s="125">
        <v>0.2</v>
      </c>
      <c r="F17" s="122">
        <f t="shared" si="0"/>
        <v>30.199999999999996</v>
      </c>
      <c r="G17" s="123" t="s">
        <v>114</v>
      </c>
      <c r="H17" s="124" t="s">
        <v>146</v>
      </c>
      <c r="I17" s="125">
        <v>3.9</v>
      </c>
      <c r="O17" s="127"/>
      <c r="P17" s="128"/>
    </row>
    <row r="18" spans="1:16" ht="12.75">
      <c r="A18" s="122">
        <f t="shared" si="1"/>
        <v>4.4</v>
      </c>
      <c r="B18" s="123" t="s">
        <v>114</v>
      </c>
      <c r="C18" s="124" t="s">
        <v>147</v>
      </c>
      <c r="D18" s="125">
        <v>0.2</v>
      </c>
      <c r="F18" s="129">
        <f t="shared" si="0"/>
        <v>34.099999999999994</v>
      </c>
      <c r="G18" s="130" t="s">
        <v>117</v>
      </c>
      <c r="H18" s="131" t="s">
        <v>148</v>
      </c>
      <c r="I18" s="132">
        <v>0.8</v>
      </c>
      <c r="O18" s="127"/>
      <c r="P18" s="128"/>
    </row>
    <row r="19" spans="1:16" ht="12.75">
      <c r="A19" s="122">
        <f t="shared" si="1"/>
        <v>4.6000000000000005</v>
      </c>
      <c r="B19" s="123" t="s">
        <v>119</v>
      </c>
      <c r="C19" s="124" t="s">
        <v>149</v>
      </c>
      <c r="D19" s="125">
        <v>4.8</v>
      </c>
      <c r="F19" s="122">
        <f t="shared" si="0"/>
        <v>34.89999999999999</v>
      </c>
      <c r="G19" s="133" t="s">
        <v>114</v>
      </c>
      <c r="H19" s="134" t="s">
        <v>150</v>
      </c>
      <c r="I19" s="125">
        <v>1.7</v>
      </c>
      <c r="O19" s="127"/>
      <c r="P19" s="128"/>
    </row>
    <row r="20" spans="1:16" ht="12.75">
      <c r="A20" s="122">
        <f t="shared" si="1"/>
        <v>9.4</v>
      </c>
      <c r="B20" s="123" t="s">
        <v>114</v>
      </c>
      <c r="C20" s="124" t="s">
        <v>151</v>
      </c>
      <c r="D20" s="125">
        <v>0.1</v>
      </c>
      <c r="F20" s="122">
        <f t="shared" si="0"/>
        <v>36.599999999999994</v>
      </c>
      <c r="G20" s="133" t="s">
        <v>117</v>
      </c>
      <c r="H20" s="124" t="s">
        <v>152</v>
      </c>
      <c r="I20" s="125">
        <v>1.2</v>
      </c>
      <c r="O20" s="127"/>
      <c r="P20" s="128"/>
    </row>
    <row r="21" spans="1:16" ht="12.75">
      <c r="A21" s="122">
        <f t="shared" si="1"/>
        <v>9.5</v>
      </c>
      <c r="B21" s="123" t="s">
        <v>119</v>
      </c>
      <c r="C21" s="124" t="s">
        <v>153</v>
      </c>
      <c r="D21" s="125">
        <v>0.6</v>
      </c>
      <c r="F21" s="129">
        <f t="shared" si="0"/>
        <v>37.8</v>
      </c>
      <c r="G21" s="130" t="s">
        <v>119</v>
      </c>
      <c r="H21" s="131" t="s">
        <v>154</v>
      </c>
      <c r="I21" s="132">
        <v>1.3</v>
      </c>
      <c r="O21" s="127"/>
      <c r="P21" s="128"/>
    </row>
    <row r="22" spans="1:16" ht="12.75">
      <c r="A22" s="135">
        <f t="shared" si="1"/>
        <v>10.1</v>
      </c>
      <c r="B22" s="136" t="s">
        <v>117</v>
      </c>
      <c r="C22" s="137" t="s">
        <v>155</v>
      </c>
      <c r="D22" s="138">
        <v>0.1</v>
      </c>
      <c r="F22" s="135">
        <f t="shared" si="0"/>
        <v>39.099999999999994</v>
      </c>
      <c r="G22" s="136" t="s">
        <v>114</v>
      </c>
      <c r="H22" s="137" t="s">
        <v>156</v>
      </c>
      <c r="I22" s="138">
        <v>1.3</v>
      </c>
      <c r="N22" s="126"/>
      <c r="O22" s="127"/>
      <c r="P22" s="128"/>
    </row>
    <row r="23" spans="1:16" ht="4.5" customHeight="1">
      <c r="A23" s="139"/>
      <c r="B23" s="140"/>
      <c r="C23" s="141"/>
      <c r="D23" s="139"/>
      <c r="F23" s="139"/>
      <c r="G23" s="140"/>
      <c r="H23" s="141"/>
      <c r="I23" s="139"/>
      <c r="N23" s="126"/>
      <c r="O23" s="127"/>
      <c r="P23" s="128"/>
    </row>
    <row r="24" spans="1:9" ht="60.75">
      <c r="A24" s="115" t="s">
        <v>109</v>
      </c>
      <c r="B24" s="116" t="s">
        <v>110</v>
      </c>
      <c r="C24" s="117" t="s">
        <v>111</v>
      </c>
      <c r="D24" s="118" t="s">
        <v>112</v>
      </c>
      <c r="F24" s="115" t="s">
        <v>109</v>
      </c>
      <c r="G24" s="116" t="s">
        <v>110</v>
      </c>
      <c r="H24" s="117" t="s">
        <v>111</v>
      </c>
      <c r="I24" s="118" t="s">
        <v>112</v>
      </c>
    </row>
    <row r="25" spans="1:99" s="142" customFormat="1" ht="12.75">
      <c r="A25" s="122">
        <f>F22+I22</f>
        <v>40.39999999999999</v>
      </c>
      <c r="B25" s="123" t="s">
        <v>119</v>
      </c>
      <c r="C25" s="124" t="s">
        <v>157</v>
      </c>
      <c r="D25" s="125">
        <v>0.1</v>
      </c>
      <c r="E25"/>
      <c r="F25" s="122">
        <f>A46+D46</f>
        <v>80.7</v>
      </c>
      <c r="G25" s="123" t="s">
        <v>114</v>
      </c>
      <c r="H25" s="124" t="s">
        <v>158</v>
      </c>
      <c r="I25" s="125">
        <v>5.9</v>
      </c>
      <c r="J25"/>
      <c r="K25"/>
      <c r="L25"/>
      <c r="M25"/>
      <c r="N25"/>
      <c r="O25"/>
      <c r="P25" s="127"/>
      <c r="Q25" s="1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s="142" customFormat="1" ht="12.75">
      <c r="A26" s="122">
        <f>A25+D25</f>
        <v>40.49999999999999</v>
      </c>
      <c r="B26" s="123" t="s">
        <v>117</v>
      </c>
      <c r="C26" s="124" t="s">
        <v>159</v>
      </c>
      <c r="D26" s="125">
        <v>0.4</v>
      </c>
      <c r="E26"/>
      <c r="F26" s="122">
        <f aca="true" t="shared" si="2" ref="F26:F31">F25+I25</f>
        <v>86.60000000000001</v>
      </c>
      <c r="G26" s="123" t="s">
        <v>114</v>
      </c>
      <c r="H26" s="124" t="s">
        <v>160</v>
      </c>
      <c r="I26" s="125">
        <v>1.5</v>
      </c>
      <c r="J26"/>
      <c r="K26"/>
      <c r="L26"/>
      <c r="M26"/>
      <c r="N26"/>
      <c r="O26"/>
      <c r="P26" s="127"/>
      <c r="Q26" s="12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42" customFormat="1" ht="12.75">
      <c r="A27" s="122">
        <f>A26+D26</f>
        <v>40.89999999999999</v>
      </c>
      <c r="B27" s="123" t="s">
        <v>114</v>
      </c>
      <c r="C27" s="124" t="s">
        <v>161</v>
      </c>
      <c r="D27" s="125">
        <v>0.1</v>
      </c>
      <c r="E27"/>
      <c r="F27" s="122">
        <f t="shared" si="2"/>
        <v>88.10000000000001</v>
      </c>
      <c r="G27" s="123" t="s">
        <v>114</v>
      </c>
      <c r="H27" s="124" t="s">
        <v>162</v>
      </c>
      <c r="I27" s="125">
        <v>5.7</v>
      </c>
      <c r="J27"/>
      <c r="K27"/>
      <c r="L27"/>
      <c r="M27"/>
      <c r="N27"/>
      <c r="O27"/>
      <c r="P27" s="127"/>
      <c r="Q27" s="12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42" customFormat="1" ht="12.75">
      <c r="A28" s="122">
        <f aca="true" t="shared" si="3" ref="A28:A34">A27+D27</f>
        <v>40.99999999999999</v>
      </c>
      <c r="B28" s="123" t="s">
        <v>114</v>
      </c>
      <c r="C28" s="124" t="s">
        <v>163</v>
      </c>
      <c r="D28" s="125">
        <v>2.5</v>
      </c>
      <c r="E28"/>
      <c r="F28" s="122">
        <f t="shared" si="2"/>
        <v>93.80000000000001</v>
      </c>
      <c r="G28" s="123" t="s">
        <v>114</v>
      </c>
      <c r="H28" s="124" t="s">
        <v>164</v>
      </c>
      <c r="I28" s="125">
        <v>8.2</v>
      </c>
      <c r="J28"/>
      <c r="K28"/>
      <c r="L28"/>
      <c r="M28"/>
      <c r="N28"/>
      <c r="O28"/>
      <c r="P28" s="127"/>
      <c r="Q28" s="3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142" customFormat="1" ht="12.75">
      <c r="A29" s="122">
        <f t="shared" si="3"/>
        <v>43.49999999999999</v>
      </c>
      <c r="B29" s="123" t="s">
        <v>114</v>
      </c>
      <c r="C29" s="124" t="s">
        <v>165</v>
      </c>
      <c r="D29" s="125">
        <v>0.4</v>
      </c>
      <c r="E29"/>
      <c r="F29" s="122">
        <f t="shared" si="2"/>
        <v>102.00000000000001</v>
      </c>
      <c r="G29" s="123" t="s">
        <v>119</v>
      </c>
      <c r="H29" s="124" t="s">
        <v>166</v>
      </c>
      <c r="I29" s="125">
        <v>0.9</v>
      </c>
      <c r="J29"/>
      <c r="K29"/>
      <c r="L29"/>
      <c r="M29"/>
      <c r="N29"/>
      <c r="O29"/>
      <c r="P29" s="127"/>
      <c r="Q29" s="12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142" customFormat="1" ht="12.75">
      <c r="A30" s="122">
        <f t="shared" si="3"/>
        <v>43.89999999999999</v>
      </c>
      <c r="B30" s="123" t="s">
        <v>117</v>
      </c>
      <c r="C30" s="124" t="s">
        <v>159</v>
      </c>
      <c r="D30" s="125">
        <v>0.3</v>
      </c>
      <c r="E30"/>
      <c r="F30" s="122">
        <f t="shared" si="2"/>
        <v>102.90000000000002</v>
      </c>
      <c r="G30" s="123" t="s">
        <v>119</v>
      </c>
      <c r="H30" s="124" t="s">
        <v>167</v>
      </c>
      <c r="I30" s="125">
        <v>4.7</v>
      </c>
      <c r="J30"/>
      <c r="K30"/>
      <c r="L30"/>
      <c r="M30"/>
      <c r="N30"/>
      <c r="O30"/>
      <c r="P30" s="127"/>
      <c r="Q30" s="12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42" customFormat="1" ht="12.75">
      <c r="A31" s="129">
        <f t="shared" si="3"/>
        <v>44.19999999999999</v>
      </c>
      <c r="B31" s="130" t="s">
        <v>119</v>
      </c>
      <c r="C31" s="131" t="s">
        <v>168</v>
      </c>
      <c r="D31" s="132">
        <v>5.7</v>
      </c>
      <c r="E31"/>
      <c r="F31" s="119">
        <f t="shared" si="2"/>
        <v>107.60000000000002</v>
      </c>
      <c r="G31" s="120" t="s">
        <v>114</v>
      </c>
      <c r="H31" s="120" t="s">
        <v>169</v>
      </c>
      <c r="I31" s="121"/>
      <c r="J31"/>
      <c r="K31"/>
      <c r="L31"/>
      <c r="M31"/>
      <c r="N31"/>
      <c r="O31"/>
      <c r="P31" s="31"/>
      <c r="Q31" s="12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142" customFormat="1" ht="12.75">
      <c r="A32" s="122">
        <f t="shared" si="3"/>
        <v>49.89999999999999</v>
      </c>
      <c r="B32" s="123" t="s">
        <v>117</v>
      </c>
      <c r="C32" s="124" t="s">
        <v>170</v>
      </c>
      <c r="D32" s="125">
        <v>0.9</v>
      </c>
      <c r="E32"/>
      <c r="F32" s="143"/>
      <c r="G32" s="144"/>
      <c r="H32" s="144" t="s">
        <v>28</v>
      </c>
      <c r="I32" s="14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142" customFormat="1" ht="12.75">
      <c r="A33" s="122">
        <f t="shared" si="3"/>
        <v>50.79999999999999</v>
      </c>
      <c r="B33" s="123" t="s">
        <v>119</v>
      </c>
      <c r="C33" s="124" t="s">
        <v>171</v>
      </c>
      <c r="D33" s="125">
        <v>0.2</v>
      </c>
      <c r="E33"/>
      <c r="F33" s="146"/>
      <c r="G33" s="147"/>
      <c r="H33" s="148" t="s">
        <v>172</v>
      </c>
      <c r="I33" s="149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142" customFormat="1" ht="12.75">
      <c r="A34" s="143">
        <f t="shared" si="3"/>
        <v>50.99999999999999</v>
      </c>
      <c r="B34" s="150"/>
      <c r="C34" s="144" t="s">
        <v>173</v>
      </c>
      <c r="D34" s="132"/>
      <c r="E34"/>
      <c r="F34" s="122">
        <f>F31+I31</f>
        <v>107.60000000000002</v>
      </c>
      <c r="G34" s="123" t="s">
        <v>114</v>
      </c>
      <c r="H34" s="124" t="s">
        <v>174</v>
      </c>
      <c r="I34" s="125">
        <v>0.7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42" customFormat="1" ht="12.75">
      <c r="A35" s="129"/>
      <c r="B35" s="144"/>
      <c r="C35" s="144" t="s">
        <v>175</v>
      </c>
      <c r="D35" s="145"/>
      <c r="E35"/>
      <c r="F35" s="122">
        <f>F34+I34</f>
        <v>108.30000000000003</v>
      </c>
      <c r="G35" s="123" t="s">
        <v>119</v>
      </c>
      <c r="H35" s="124" t="s">
        <v>176</v>
      </c>
      <c r="I35" s="125">
        <v>0.9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142" customFormat="1" ht="12.75">
      <c r="A36" s="151"/>
      <c r="B36" s="130" t="s">
        <v>114</v>
      </c>
      <c r="C36" s="131" t="s">
        <v>177</v>
      </c>
      <c r="D36" s="132">
        <v>2.6</v>
      </c>
      <c r="E36"/>
      <c r="F36" s="122">
        <f>F35+I35</f>
        <v>109.20000000000003</v>
      </c>
      <c r="G36" s="123" t="s">
        <v>119</v>
      </c>
      <c r="H36" s="124" t="s">
        <v>178</v>
      </c>
      <c r="I36" s="125">
        <v>0.8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142" customFormat="1" ht="12.75">
      <c r="A37" s="122">
        <f>A34+D36</f>
        <v>53.599999999999994</v>
      </c>
      <c r="B37" s="123" t="s">
        <v>114</v>
      </c>
      <c r="C37" s="134" t="s">
        <v>179</v>
      </c>
      <c r="D37" s="125">
        <v>1.4</v>
      </c>
      <c r="E37" s="152"/>
      <c r="F37" s="122">
        <f>F36+I36</f>
        <v>110.00000000000003</v>
      </c>
      <c r="G37" s="123" t="s">
        <v>114</v>
      </c>
      <c r="H37" s="124" t="s">
        <v>180</v>
      </c>
      <c r="I37" s="125">
        <v>0.1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142" customFormat="1" ht="12.75">
      <c r="A38" s="122">
        <f aca="true" t="shared" si="4" ref="A38:A44">A37+D37</f>
        <v>54.99999999999999</v>
      </c>
      <c r="B38" s="123" t="s">
        <v>114</v>
      </c>
      <c r="C38" s="124" t="s">
        <v>181</v>
      </c>
      <c r="D38" s="125">
        <v>1.2</v>
      </c>
      <c r="E38"/>
      <c r="F38" s="122">
        <f>F37+I37</f>
        <v>110.10000000000002</v>
      </c>
      <c r="G38" s="123" t="s">
        <v>119</v>
      </c>
      <c r="H38" s="124" t="s">
        <v>182</v>
      </c>
      <c r="I38" s="125">
        <v>0.2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42" customFormat="1" ht="12.75">
      <c r="A39" s="122">
        <f t="shared" si="4"/>
        <v>56.199999999999996</v>
      </c>
      <c r="B39" s="123" t="s">
        <v>114</v>
      </c>
      <c r="C39" s="124" t="s">
        <v>183</v>
      </c>
      <c r="D39" s="125">
        <v>0.1</v>
      </c>
      <c r="E39"/>
      <c r="F39" s="122">
        <f>F38+I38</f>
        <v>110.30000000000003</v>
      </c>
      <c r="G39" s="123" t="s">
        <v>114</v>
      </c>
      <c r="H39" s="124" t="s">
        <v>184</v>
      </c>
      <c r="I39" s="125">
        <v>23.1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142" customFormat="1" ht="12.75">
      <c r="A40" s="122">
        <f t="shared" si="4"/>
        <v>56.3</v>
      </c>
      <c r="B40" s="123" t="s">
        <v>119</v>
      </c>
      <c r="C40" s="124" t="s">
        <v>185</v>
      </c>
      <c r="D40" s="125">
        <v>0.1</v>
      </c>
      <c r="E40"/>
      <c r="F40" s="151"/>
      <c r="G40" s="153"/>
      <c r="H40" s="144" t="s">
        <v>186</v>
      </c>
      <c r="I40" s="15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142" customFormat="1" ht="12.75">
      <c r="A41" s="122">
        <f t="shared" si="4"/>
        <v>56.4</v>
      </c>
      <c r="B41" s="123" t="s">
        <v>117</v>
      </c>
      <c r="C41" s="124" t="s">
        <v>159</v>
      </c>
      <c r="D41" s="125">
        <v>6.1</v>
      </c>
      <c r="E41"/>
      <c r="F41" s="151"/>
      <c r="G41" s="153"/>
      <c r="H41" s="144" t="s">
        <v>187</v>
      </c>
      <c r="I41" s="15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142" customFormat="1" ht="12.75">
      <c r="A42" s="122">
        <f t="shared" si="4"/>
        <v>62.5</v>
      </c>
      <c r="B42" s="123" t="s">
        <v>117</v>
      </c>
      <c r="C42" s="124" t="s">
        <v>188</v>
      </c>
      <c r="D42" s="125">
        <v>1.8</v>
      </c>
      <c r="E42"/>
      <c r="F42" s="151"/>
      <c r="G42" s="153"/>
      <c r="H42" s="144" t="s">
        <v>189</v>
      </c>
      <c r="I42" s="15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142" customFormat="1" ht="12.75">
      <c r="A43" s="122">
        <f t="shared" si="4"/>
        <v>64.3</v>
      </c>
      <c r="B43" s="123" t="s">
        <v>114</v>
      </c>
      <c r="C43" s="124" t="s">
        <v>190</v>
      </c>
      <c r="D43" s="125">
        <v>0.6</v>
      </c>
      <c r="E43"/>
      <c r="F43" s="122">
        <f>F39+I39</f>
        <v>133.40000000000003</v>
      </c>
      <c r="G43" s="123" t="s">
        <v>114</v>
      </c>
      <c r="H43" s="124" t="s">
        <v>191</v>
      </c>
      <c r="I43" s="125">
        <v>0.5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142" customFormat="1" ht="12.75">
      <c r="A44" s="122">
        <f t="shared" si="4"/>
        <v>64.89999999999999</v>
      </c>
      <c r="B44" s="123" t="s">
        <v>117</v>
      </c>
      <c r="C44" s="124" t="s">
        <v>192</v>
      </c>
      <c r="D44" s="125">
        <v>1.2</v>
      </c>
      <c r="E44"/>
      <c r="F44" s="122">
        <f>F43+I43</f>
        <v>133.90000000000003</v>
      </c>
      <c r="G44" s="123" t="s">
        <v>119</v>
      </c>
      <c r="H44" s="124" t="s">
        <v>193</v>
      </c>
      <c r="I44" s="125">
        <v>6.8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142" customFormat="1" ht="12.75">
      <c r="A45" s="122">
        <f>A44+D44</f>
        <v>66.1</v>
      </c>
      <c r="B45" s="123" t="s">
        <v>119</v>
      </c>
      <c r="C45" s="124" t="s">
        <v>194</v>
      </c>
      <c r="D45" s="125">
        <v>1.7</v>
      </c>
      <c r="E45"/>
      <c r="F45" s="122">
        <f>F44+I44</f>
        <v>140.70000000000005</v>
      </c>
      <c r="G45" s="123" t="s">
        <v>119</v>
      </c>
      <c r="H45" s="124" t="s">
        <v>195</v>
      </c>
      <c r="I45" s="125">
        <v>0.2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" ht="12.75">
      <c r="A46" s="135">
        <f>A45+D45</f>
        <v>67.8</v>
      </c>
      <c r="B46" s="136" t="s">
        <v>114</v>
      </c>
      <c r="C46" s="137" t="s">
        <v>160</v>
      </c>
      <c r="D46" s="138">
        <v>12.9</v>
      </c>
      <c r="F46" s="135">
        <f>F45+I45</f>
        <v>140.90000000000003</v>
      </c>
      <c r="G46" s="136" t="s">
        <v>114</v>
      </c>
      <c r="H46" s="137" t="s">
        <v>196</v>
      </c>
      <c r="I46" s="138">
        <v>7.4</v>
      </c>
    </row>
    <row r="47" ht="3.75" customHeight="1"/>
    <row r="48" spans="1:9" ht="60.75">
      <c r="A48" s="115" t="s">
        <v>109</v>
      </c>
      <c r="B48" s="116" t="s">
        <v>110</v>
      </c>
      <c r="C48" s="117" t="s">
        <v>111</v>
      </c>
      <c r="D48" s="118" t="s">
        <v>112</v>
      </c>
      <c r="F48" s="115" t="s">
        <v>109</v>
      </c>
      <c r="G48" s="116" t="s">
        <v>110</v>
      </c>
      <c r="H48" s="117" t="s">
        <v>111</v>
      </c>
      <c r="I48" s="118" t="s">
        <v>112</v>
      </c>
    </row>
    <row r="49" spans="1:9" ht="12.75">
      <c r="A49" s="155">
        <f>F46+I46</f>
        <v>148.30000000000004</v>
      </c>
      <c r="B49" s="156" t="s">
        <v>114</v>
      </c>
      <c r="C49" s="157" t="s">
        <v>197</v>
      </c>
      <c r="D49" s="158">
        <v>8.1</v>
      </c>
      <c r="F49" s="122">
        <f>A67+D67</f>
        <v>221.4</v>
      </c>
      <c r="G49" s="123" t="s">
        <v>114</v>
      </c>
      <c r="H49" s="134" t="s">
        <v>198</v>
      </c>
      <c r="I49" s="125">
        <v>0.2</v>
      </c>
    </row>
    <row r="50" spans="1:9" ht="12.75">
      <c r="A50" s="129">
        <f aca="true" t="shared" si="5" ref="A50:A55">A49+D49</f>
        <v>156.40000000000003</v>
      </c>
      <c r="B50" s="130" t="s">
        <v>117</v>
      </c>
      <c r="C50" s="131" t="s">
        <v>199</v>
      </c>
      <c r="D50" s="132">
        <v>5</v>
      </c>
      <c r="F50" s="122">
        <f aca="true" t="shared" si="6" ref="F50:F65">F49+I49</f>
        <v>221.6</v>
      </c>
      <c r="G50" s="123" t="s">
        <v>114</v>
      </c>
      <c r="H50" s="134" t="s">
        <v>200</v>
      </c>
      <c r="I50" s="125">
        <v>0.8</v>
      </c>
    </row>
    <row r="51" spans="1:9" ht="12.75">
      <c r="A51" s="159">
        <f t="shared" si="5"/>
        <v>161.40000000000003</v>
      </c>
      <c r="B51" s="160" t="s">
        <v>117</v>
      </c>
      <c r="C51" s="161" t="s">
        <v>201</v>
      </c>
      <c r="D51" s="162">
        <v>1.1</v>
      </c>
      <c r="F51" s="122">
        <f t="shared" si="6"/>
        <v>222.4</v>
      </c>
      <c r="G51" s="123" t="s">
        <v>119</v>
      </c>
      <c r="H51" s="134" t="s">
        <v>202</v>
      </c>
      <c r="I51" s="125">
        <v>0.4</v>
      </c>
    </row>
    <row r="52" spans="1:9" ht="12.75">
      <c r="A52" s="129">
        <f t="shared" si="5"/>
        <v>162.50000000000003</v>
      </c>
      <c r="B52" s="130" t="s">
        <v>114</v>
      </c>
      <c r="C52" s="131" t="s">
        <v>203</v>
      </c>
      <c r="D52" s="132">
        <v>4.9</v>
      </c>
      <c r="F52" s="122">
        <f t="shared" si="6"/>
        <v>222.8</v>
      </c>
      <c r="G52" s="123" t="s">
        <v>119</v>
      </c>
      <c r="H52" s="134" t="s">
        <v>204</v>
      </c>
      <c r="I52" s="125">
        <v>1.3</v>
      </c>
    </row>
    <row r="53" spans="1:9" ht="12.75">
      <c r="A53" s="129">
        <f t="shared" si="5"/>
        <v>167.40000000000003</v>
      </c>
      <c r="B53" s="130" t="s">
        <v>119</v>
      </c>
      <c r="C53" s="131" t="s">
        <v>205</v>
      </c>
      <c r="D53" s="132">
        <v>4.1</v>
      </c>
      <c r="F53" s="122">
        <f t="shared" si="6"/>
        <v>224.10000000000002</v>
      </c>
      <c r="G53" s="123" t="s">
        <v>117</v>
      </c>
      <c r="H53" s="124" t="s">
        <v>206</v>
      </c>
      <c r="I53" s="125">
        <v>3</v>
      </c>
    </row>
    <row r="54" spans="1:9" ht="12.75">
      <c r="A54" s="129">
        <f t="shared" si="5"/>
        <v>171.50000000000003</v>
      </c>
      <c r="B54" s="130" t="s">
        <v>119</v>
      </c>
      <c r="C54" s="131" t="s">
        <v>207</v>
      </c>
      <c r="D54" s="132">
        <v>1.6</v>
      </c>
      <c r="F54" s="122">
        <f t="shared" si="6"/>
        <v>227.10000000000002</v>
      </c>
      <c r="G54" s="133" t="s">
        <v>114</v>
      </c>
      <c r="H54" s="134" t="s">
        <v>208</v>
      </c>
      <c r="I54" s="125">
        <v>14.6</v>
      </c>
    </row>
    <row r="55" spans="1:9" ht="12.75">
      <c r="A55" s="129">
        <f t="shared" si="5"/>
        <v>173.10000000000002</v>
      </c>
      <c r="B55" s="130" t="s">
        <v>114</v>
      </c>
      <c r="C55" s="131" t="s">
        <v>209</v>
      </c>
      <c r="D55" s="132">
        <v>0.1</v>
      </c>
      <c r="F55" s="122">
        <f t="shared" si="6"/>
        <v>241.70000000000002</v>
      </c>
      <c r="G55" s="133" t="s">
        <v>117</v>
      </c>
      <c r="H55" s="134" t="s">
        <v>210</v>
      </c>
      <c r="I55" s="125">
        <v>0.7</v>
      </c>
    </row>
    <row r="56" spans="1:9" ht="12.75">
      <c r="A56" s="129"/>
      <c r="B56" s="130"/>
      <c r="C56" s="131"/>
      <c r="D56" s="132"/>
      <c r="F56" s="122">
        <f t="shared" si="6"/>
        <v>242.4</v>
      </c>
      <c r="G56" s="133" t="s">
        <v>114</v>
      </c>
      <c r="H56" s="134" t="s">
        <v>211</v>
      </c>
      <c r="I56" s="125">
        <v>0.1</v>
      </c>
    </row>
    <row r="57" spans="1:9" ht="12.75">
      <c r="A57" s="119">
        <f>A55+D55</f>
        <v>173.20000000000002</v>
      </c>
      <c r="B57" s="120" t="s">
        <v>114</v>
      </c>
      <c r="C57" s="120" t="s">
        <v>212</v>
      </c>
      <c r="D57" s="121"/>
      <c r="F57" s="122">
        <f t="shared" si="6"/>
        <v>242.5</v>
      </c>
      <c r="G57" s="133" t="s">
        <v>119</v>
      </c>
      <c r="H57" s="134" t="s">
        <v>213</v>
      </c>
      <c r="I57" s="125">
        <v>0.3</v>
      </c>
    </row>
    <row r="58" spans="1:9" ht="12.75">
      <c r="A58" s="119"/>
      <c r="B58" s="120"/>
      <c r="C58" s="163" t="s">
        <v>33</v>
      </c>
      <c r="D58" s="121"/>
      <c r="F58" s="122">
        <f t="shared" si="6"/>
        <v>242.8</v>
      </c>
      <c r="G58" s="133" t="s">
        <v>114</v>
      </c>
      <c r="H58" s="134" t="s">
        <v>214</v>
      </c>
      <c r="I58" s="125">
        <v>0.4</v>
      </c>
    </row>
    <row r="59" spans="1:9" ht="12.75">
      <c r="A59" s="129"/>
      <c r="B59" s="130"/>
      <c r="C59" s="131"/>
      <c r="D59" s="132"/>
      <c r="F59" s="122">
        <f t="shared" si="6"/>
        <v>243.20000000000002</v>
      </c>
      <c r="G59" s="133" t="s">
        <v>119</v>
      </c>
      <c r="H59" s="134" t="s">
        <v>215</v>
      </c>
      <c r="I59" s="125">
        <v>0.5</v>
      </c>
    </row>
    <row r="60" spans="1:9" ht="12.75">
      <c r="A60" s="129">
        <f>A57</f>
        <v>173.20000000000002</v>
      </c>
      <c r="B60" s="130" t="s">
        <v>119</v>
      </c>
      <c r="C60" s="131" t="s">
        <v>216</v>
      </c>
      <c r="D60" s="132">
        <v>0.1</v>
      </c>
      <c r="F60" s="122">
        <f t="shared" si="6"/>
        <v>243.70000000000002</v>
      </c>
      <c r="G60" s="133" t="s">
        <v>114</v>
      </c>
      <c r="H60" s="134" t="s">
        <v>217</v>
      </c>
      <c r="I60" s="125">
        <v>0.7</v>
      </c>
    </row>
    <row r="61" spans="1:9" ht="12.75">
      <c r="A61" s="164">
        <f aca="true" t="shared" si="7" ref="A61:A67">A60+D60</f>
        <v>173.3</v>
      </c>
      <c r="B61" s="123" t="s">
        <v>114</v>
      </c>
      <c r="C61" s="165" t="s">
        <v>218</v>
      </c>
      <c r="D61" s="125">
        <v>14.2</v>
      </c>
      <c r="F61" s="122">
        <f t="shared" si="6"/>
        <v>244.4</v>
      </c>
      <c r="G61" s="133" t="s">
        <v>119</v>
      </c>
      <c r="H61" s="134" t="s">
        <v>219</v>
      </c>
      <c r="I61" s="125">
        <v>0.7</v>
      </c>
    </row>
    <row r="62" spans="1:9" ht="12.75">
      <c r="A62" s="129">
        <f t="shared" si="7"/>
        <v>187.5</v>
      </c>
      <c r="B62" s="130" t="s">
        <v>114</v>
      </c>
      <c r="C62" s="131" t="s">
        <v>220</v>
      </c>
      <c r="D62" s="132">
        <v>2.5</v>
      </c>
      <c r="F62" s="122">
        <f t="shared" si="6"/>
        <v>245.1</v>
      </c>
      <c r="G62" s="123" t="s">
        <v>114</v>
      </c>
      <c r="H62" s="124" t="s">
        <v>221</v>
      </c>
      <c r="I62" s="125">
        <v>5.2</v>
      </c>
    </row>
    <row r="63" spans="1:9" ht="12.75">
      <c r="A63" s="166">
        <f t="shared" si="7"/>
        <v>190</v>
      </c>
      <c r="B63" s="123" t="s">
        <v>117</v>
      </c>
      <c r="C63" s="134" t="s">
        <v>222</v>
      </c>
      <c r="D63" s="125">
        <v>4.5</v>
      </c>
      <c r="F63" s="122">
        <f t="shared" si="6"/>
        <v>250.29999999999998</v>
      </c>
      <c r="G63" s="133" t="s">
        <v>117</v>
      </c>
      <c r="H63" s="134" t="s">
        <v>223</v>
      </c>
      <c r="I63" s="125">
        <v>0.2</v>
      </c>
    </row>
    <row r="64" spans="1:9" ht="12.75">
      <c r="A64" s="166">
        <f t="shared" si="7"/>
        <v>194.5</v>
      </c>
      <c r="B64" s="123" t="s">
        <v>119</v>
      </c>
      <c r="C64" s="124" t="s">
        <v>224</v>
      </c>
      <c r="D64" s="125">
        <v>2.8</v>
      </c>
      <c r="F64" s="129">
        <f t="shared" si="6"/>
        <v>250.49999999999997</v>
      </c>
      <c r="G64" s="130" t="s">
        <v>119</v>
      </c>
      <c r="H64" s="131" t="s">
        <v>225</v>
      </c>
      <c r="I64" s="132">
        <v>2.5</v>
      </c>
    </row>
    <row r="65" spans="1:9" ht="12.75">
      <c r="A65" s="166">
        <f t="shared" si="7"/>
        <v>197.3</v>
      </c>
      <c r="B65" s="133" t="s">
        <v>117</v>
      </c>
      <c r="C65" s="134" t="s">
        <v>226</v>
      </c>
      <c r="D65" s="125">
        <v>0.7</v>
      </c>
      <c r="F65" s="122">
        <f t="shared" si="6"/>
        <v>252.99999999999997</v>
      </c>
      <c r="G65" s="123" t="s">
        <v>119</v>
      </c>
      <c r="H65" s="124" t="s">
        <v>227</v>
      </c>
      <c r="I65" s="125">
        <v>6.6</v>
      </c>
    </row>
    <row r="66" spans="1:9" ht="12.75">
      <c r="A66" s="166">
        <f t="shared" si="7"/>
        <v>198</v>
      </c>
      <c r="B66" s="133" t="s">
        <v>117</v>
      </c>
      <c r="C66" s="134" t="s">
        <v>228</v>
      </c>
      <c r="D66" s="125">
        <v>10.6</v>
      </c>
      <c r="F66" s="119"/>
      <c r="G66" s="120"/>
      <c r="H66" s="120"/>
      <c r="I66" s="125"/>
    </row>
    <row r="67" spans="1:9" ht="12.75">
      <c r="A67" s="166">
        <f t="shared" si="7"/>
        <v>208.6</v>
      </c>
      <c r="B67" s="123" t="s">
        <v>114</v>
      </c>
      <c r="C67" s="124" t="s">
        <v>229</v>
      </c>
      <c r="D67" s="125">
        <v>12.8</v>
      </c>
      <c r="F67" s="119">
        <f>F65+I65</f>
        <v>259.59999999999997</v>
      </c>
      <c r="G67" s="120" t="s">
        <v>114</v>
      </c>
      <c r="H67" s="120" t="s">
        <v>230</v>
      </c>
      <c r="I67" s="125"/>
    </row>
    <row r="68" spans="1:9" ht="12.75">
      <c r="A68" s="122"/>
      <c r="B68" s="123"/>
      <c r="C68" s="144" t="s">
        <v>186</v>
      </c>
      <c r="D68" s="125"/>
      <c r="F68" s="122"/>
      <c r="G68" s="167"/>
      <c r="H68" s="167" t="s">
        <v>231</v>
      </c>
      <c r="I68" s="125"/>
    </row>
    <row r="69" spans="1:9" ht="12.75">
      <c r="A69" s="168"/>
      <c r="B69" s="169"/>
      <c r="C69" s="144" t="s">
        <v>187</v>
      </c>
      <c r="D69" s="170"/>
      <c r="F69" s="122"/>
      <c r="G69" s="133"/>
      <c r="H69" s="171"/>
      <c r="I69" s="125"/>
    </row>
    <row r="70" spans="1:9" ht="12.75">
      <c r="A70" s="135"/>
      <c r="B70" s="136"/>
      <c r="C70" s="172" t="s">
        <v>189</v>
      </c>
      <c r="D70" s="138"/>
      <c r="F70" s="135"/>
      <c r="G70" s="136"/>
      <c r="H70" s="137"/>
      <c r="I70" s="138"/>
    </row>
    <row r="71" spans="1:9" ht="4.5" customHeight="1">
      <c r="A71" s="139"/>
      <c r="B71" s="140"/>
      <c r="C71" s="141"/>
      <c r="D71" s="139"/>
      <c r="F71"/>
      <c r="G71"/>
      <c r="H71"/>
      <c r="I71"/>
    </row>
    <row r="72" spans="1:9" ht="60.75">
      <c r="A72" s="115" t="s">
        <v>109</v>
      </c>
      <c r="B72" s="116" t="s">
        <v>110</v>
      </c>
      <c r="C72" s="117" t="s">
        <v>111</v>
      </c>
      <c r="D72" s="118" t="s">
        <v>112</v>
      </c>
      <c r="F72"/>
      <c r="G72"/>
      <c r="H72"/>
      <c r="I72"/>
    </row>
    <row r="73" spans="1:9" ht="12.75">
      <c r="A73" s="122">
        <f>F67</f>
        <v>259.59999999999997</v>
      </c>
      <c r="B73" s="133" t="s">
        <v>117</v>
      </c>
      <c r="C73" s="134" t="s">
        <v>232</v>
      </c>
      <c r="D73" s="125">
        <v>8.8</v>
      </c>
      <c r="F73"/>
      <c r="G73"/>
      <c r="H73"/>
      <c r="I73"/>
    </row>
    <row r="74" spans="1:9" ht="12.75">
      <c r="A74" s="122">
        <f>A73+D73</f>
        <v>268.4</v>
      </c>
      <c r="B74" s="133" t="s">
        <v>114</v>
      </c>
      <c r="C74" s="134" t="s">
        <v>233</v>
      </c>
      <c r="D74" s="125">
        <v>5.5</v>
      </c>
      <c r="F74"/>
      <c r="G74"/>
      <c r="H74"/>
      <c r="I74"/>
    </row>
    <row r="75" spans="1:9" ht="12.75">
      <c r="A75" s="122">
        <f aca="true" t="shared" si="8" ref="A75:A86">A74+D74</f>
        <v>273.9</v>
      </c>
      <c r="B75" s="123" t="s">
        <v>119</v>
      </c>
      <c r="C75" s="124" t="s">
        <v>234</v>
      </c>
      <c r="D75" s="125">
        <v>6.7</v>
      </c>
      <c r="F75"/>
      <c r="G75"/>
      <c r="H75"/>
      <c r="I75"/>
    </row>
    <row r="76" spans="1:9" ht="12.75">
      <c r="A76" s="122">
        <f t="shared" si="8"/>
        <v>280.59999999999997</v>
      </c>
      <c r="B76" s="123" t="s">
        <v>119</v>
      </c>
      <c r="C76" s="124" t="s">
        <v>235</v>
      </c>
      <c r="D76" s="125">
        <v>5.3</v>
      </c>
      <c r="F76"/>
      <c r="G76"/>
      <c r="H76"/>
      <c r="I76"/>
    </row>
    <row r="77" spans="1:9" ht="12.75">
      <c r="A77" s="122">
        <f t="shared" si="8"/>
        <v>285.9</v>
      </c>
      <c r="B77" s="123" t="s">
        <v>114</v>
      </c>
      <c r="C77" s="124" t="s">
        <v>236</v>
      </c>
      <c r="D77" s="125">
        <v>0.5</v>
      </c>
      <c r="F77"/>
      <c r="G77"/>
      <c r="H77"/>
      <c r="I77"/>
    </row>
    <row r="78" spans="1:9" ht="12.75">
      <c r="A78" s="122">
        <f t="shared" si="8"/>
        <v>286.4</v>
      </c>
      <c r="B78" s="123" t="s">
        <v>119</v>
      </c>
      <c r="C78" s="124" t="s">
        <v>237</v>
      </c>
      <c r="D78" s="125">
        <v>6.6</v>
      </c>
      <c r="F78"/>
      <c r="G78"/>
      <c r="H78"/>
      <c r="I78"/>
    </row>
    <row r="79" spans="1:9" ht="12.75">
      <c r="A79" s="122">
        <f t="shared" si="8"/>
        <v>293</v>
      </c>
      <c r="B79" s="123" t="s">
        <v>114</v>
      </c>
      <c r="C79" s="124" t="s">
        <v>238</v>
      </c>
      <c r="D79" s="125">
        <v>1.2</v>
      </c>
      <c r="F79"/>
      <c r="G79"/>
      <c r="H79"/>
      <c r="I79"/>
    </row>
    <row r="80" spans="1:9" ht="12.75">
      <c r="A80" s="129">
        <f t="shared" si="8"/>
        <v>294.2</v>
      </c>
      <c r="B80" s="130" t="s">
        <v>119</v>
      </c>
      <c r="C80" s="131" t="s">
        <v>239</v>
      </c>
      <c r="D80" s="132">
        <v>4.1</v>
      </c>
      <c r="F80"/>
      <c r="G80"/>
      <c r="H80"/>
      <c r="I80"/>
    </row>
    <row r="81" spans="1:9" ht="12.75">
      <c r="A81" s="122">
        <f t="shared" si="8"/>
        <v>298.3</v>
      </c>
      <c r="B81" s="123" t="s">
        <v>114</v>
      </c>
      <c r="C81" s="124" t="s">
        <v>240</v>
      </c>
      <c r="D81" s="125">
        <v>0.3</v>
      </c>
      <c r="F81"/>
      <c r="G81"/>
      <c r="H81"/>
      <c r="I81"/>
    </row>
    <row r="82" spans="1:9" ht="12.75">
      <c r="A82" s="122">
        <f t="shared" si="8"/>
        <v>298.6</v>
      </c>
      <c r="B82" s="123" t="s">
        <v>114</v>
      </c>
      <c r="C82" s="124" t="s">
        <v>241</v>
      </c>
      <c r="D82" s="125">
        <v>2.1</v>
      </c>
      <c r="F82"/>
      <c r="G82"/>
      <c r="H82"/>
      <c r="I82"/>
    </row>
    <row r="83" spans="1:9" ht="12.75">
      <c r="A83" s="122">
        <f t="shared" si="8"/>
        <v>300.70000000000005</v>
      </c>
      <c r="B83" s="123" t="s">
        <v>114</v>
      </c>
      <c r="C83" s="124" t="s">
        <v>242</v>
      </c>
      <c r="D83" s="125">
        <v>2.6</v>
      </c>
      <c r="F83"/>
      <c r="G83"/>
      <c r="H83"/>
      <c r="I83"/>
    </row>
    <row r="84" spans="1:9" ht="12.75">
      <c r="A84" s="122">
        <f t="shared" si="8"/>
        <v>303.30000000000007</v>
      </c>
      <c r="B84" s="123" t="s">
        <v>117</v>
      </c>
      <c r="C84" s="124" t="s">
        <v>243</v>
      </c>
      <c r="D84" s="125">
        <v>3.3</v>
      </c>
      <c r="F84"/>
      <c r="G84"/>
      <c r="H84"/>
      <c r="I84"/>
    </row>
    <row r="85" spans="1:9" ht="12.75">
      <c r="A85" s="122">
        <f t="shared" si="8"/>
        <v>306.6000000000001</v>
      </c>
      <c r="B85" s="123" t="s">
        <v>117</v>
      </c>
      <c r="C85" s="124" t="s">
        <v>244</v>
      </c>
      <c r="D85" s="125">
        <v>0.6</v>
      </c>
      <c r="F85"/>
      <c r="G85"/>
      <c r="H85"/>
      <c r="I85"/>
    </row>
    <row r="86" spans="1:9" ht="12.75">
      <c r="A86" s="122">
        <f t="shared" si="8"/>
        <v>307.2000000000001</v>
      </c>
      <c r="B86" s="123" t="s">
        <v>245</v>
      </c>
      <c r="C86" s="124" t="s">
        <v>246</v>
      </c>
      <c r="D86" s="125">
        <v>0.05</v>
      </c>
      <c r="F86"/>
      <c r="G86"/>
      <c r="H86"/>
      <c r="I86"/>
    </row>
    <row r="87" spans="1:9" ht="12.75">
      <c r="A87" s="122">
        <v>307.2</v>
      </c>
      <c r="B87" s="123" t="s">
        <v>117</v>
      </c>
      <c r="C87" s="124" t="s">
        <v>247</v>
      </c>
      <c r="D87" s="125"/>
      <c r="F87"/>
      <c r="G87"/>
      <c r="H87"/>
      <c r="I87"/>
    </row>
    <row r="88" spans="1:9" ht="12.75">
      <c r="A88" s="122">
        <f>A86+D86</f>
        <v>307.2500000000001</v>
      </c>
      <c r="B88" s="123" t="s">
        <v>114</v>
      </c>
      <c r="C88" s="124" t="s">
        <v>248</v>
      </c>
      <c r="D88" s="125"/>
      <c r="F88"/>
      <c r="G88"/>
      <c r="H88"/>
      <c r="I88"/>
    </row>
    <row r="89" spans="1:9" ht="12.75">
      <c r="A89" s="122"/>
      <c r="B89" s="123"/>
      <c r="C89" s="124"/>
      <c r="D89" s="125"/>
      <c r="F89"/>
      <c r="G89"/>
      <c r="H89"/>
      <c r="I89"/>
    </row>
    <row r="90" spans="1:9" ht="12.75">
      <c r="A90" s="119">
        <f>A86+D86</f>
        <v>307.2500000000001</v>
      </c>
      <c r="B90" s="120" t="s">
        <v>119</v>
      </c>
      <c r="C90" s="120" t="s">
        <v>249</v>
      </c>
      <c r="D90" s="121"/>
      <c r="F90"/>
      <c r="G90"/>
      <c r="H90"/>
      <c r="I90"/>
    </row>
    <row r="91" spans="1:9" ht="12.75">
      <c r="A91" s="119"/>
      <c r="B91" s="120"/>
      <c r="C91" s="120" t="s">
        <v>250</v>
      </c>
      <c r="D91" s="121"/>
      <c r="F91"/>
      <c r="G91"/>
      <c r="H91"/>
      <c r="I91"/>
    </row>
    <row r="92" spans="1:9" ht="12.75">
      <c r="A92" s="135"/>
      <c r="B92" s="136"/>
      <c r="C92" s="173" t="s">
        <v>251</v>
      </c>
      <c r="D92" s="138"/>
      <c r="F92"/>
      <c r="G92"/>
      <c r="H92"/>
      <c r="I92"/>
    </row>
    <row r="93" spans="6:9" ht="12.75">
      <c r="F93"/>
      <c r="G93"/>
      <c r="H93"/>
      <c r="I93"/>
    </row>
    <row r="94" spans="6:9" ht="12.75">
      <c r="F94"/>
      <c r="G94"/>
      <c r="H94"/>
      <c r="I94"/>
    </row>
  </sheetData>
  <sheetProtection selectLockedCells="1" selectUnlockedCells="1"/>
  <printOptions horizontalCentered="1"/>
  <pageMargins left="0.37083333333333335" right="0.3659722222222222" top="0.6298611111111111" bottom="0.5902777777777778" header="0.2361111111111111" footer="0.2361111111111111"/>
  <pageSetup horizontalDpi="300" verticalDpi="300" orientation="portrait"/>
  <headerFooter alignWithMargins="0">
    <oddHeader>&amp;L&amp;8&amp;A&amp;C&amp;"Arial,Bold"VICTORIA 300KM BREVET&amp;R&amp;8Page &amp;P of &amp;N</oddHeader>
    <oddFooter>&amp;L&amp;8L = Left
SO = Straight On
R = Right&amp;CBC Randonneur Cycling Club
&amp;8Affiliated with &amp;"Arial,Italic"Cycling BC
&amp;"Arial,Regular"Founding member of&amp;"Arial,Italic" Les Randonneurs Mondiaux&amp;R&amp;8Organizer:(250) 208-2870</oddFoot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57"/>
  <sheetViews>
    <sheetView showGridLines="0" workbookViewId="0" topLeftCell="A1">
      <selection activeCell="A116" sqref="A116"/>
    </sheetView>
  </sheetViews>
  <sheetFormatPr defaultColWidth="9.140625" defaultRowHeight="12.75"/>
  <cols>
    <col min="1" max="1" width="5.71093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  <col min="6" max="16384" width="8.8515625" style="0" customWidth="1"/>
  </cols>
  <sheetData>
    <row r="1" spans="1:4" ht="60.75">
      <c r="A1" s="115" t="s">
        <v>109</v>
      </c>
      <c r="B1" s="116" t="s">
        <v>110</v>
      </c>
      <c r="C1" s="117" t="s">
        <v>111</v>
      </c>
      <c r="D1" s="118" t="s">
        <v>112</v>
      </c>
    </row>
    <row r="2" spans="1:4" ht="12.75">
      <c r="A2" s="119"/>
      <c r="B2" s="120"/>
      <c r="C2" s="120" t="s">
        <v>113</v>
      </c>
      <c r="D2" s="121"/>
    </row>
    <row r="3" spans="1:4" ht="12.75">
      <c r="A3" s="119"/>
      <c r="B3" s="120"/>
      <c r="C3" s="120" t="s">
        <v>116</v>
      </c>
      <c r="D3" s="121"/>
    </row>
    <row r="4" spans="1:4" ht="12.75">
      <c r="A4" s="129"/>
      <c r="B4" s="130"/>
      <c r="C4" s="131"/>
      <c r="D4" s="132"/>
    </row>
    <row r="5" spans="1:4" ht="12.75">
      <c r="A5" s="122">
        <v>0</v>
      </c>
      <c r="B5" s="123" t="s">
        <v>114</v>
      </c>
      <c r="C5" s="124" t="s">
        <v>121</v>
      </c>
      <c r="D5" s="125">
        <v>0.1</v>
      </c>
    </row>
    <row r="6" spans="1:4" ht="12.75">
      <c r="A6" s="122">
        <f aca="true" t="shared" si="0" ref="A6:A22">A5+D5</f>
        <v>0.1</v>
      </c>
      <c r="B6" s="123" t="s">
        <v>114</v>
      </c>
      <c r="C6" s="124" t="s">
        <v>123</v>
      </c>
      <c r="D6" s="125">
        <v>1.2</v>
      </c>
    </row>
    <row r="7" spans="1:5" ht="12.75">
      <c r="A7" s="122">
        <f t="shared" si="0"/>
        <v>1.3</v>
      </c>
      <c r="B7" s="130" t="s">
        <v>114</v>
      </c>
      <c r="C7" s="131" t="s">
        <v>125</v>
      </c>
      <c r="D7" s="132">
        <v>0.3</v>
      </c>
      <c r="E7"/>
    </row>
    <row r="8" spans="1:4" ht="12.75">
      <c r="A8" s="122">
        <f t="shared" si="0"/>
        <v>1.6</v>
      </c>
      <c r="B8" s="130" t="s">
        <v>114</v>
      </c>
      <c r="C8" s="131" t="s">
        <v>127</v>
      </c>
      <c r="D8" s="132">
        <v>0.2</v>
      </c>
    </row>
    <row r="9" spans="1:4" ht="12.75">
      <c r="A9" s="122">
        <f t="shared" si="0"/>
        <v>1.8</v>
      </c>
      <c r="B9" s="130" t="s">
        <v>119</v>
      </c>
      <c r="C9" s="131" t="s">
        <v>129</v>
      </c>
      <c r="D9" s="132">
        <v>0.5</v>
      </c>
    </row>
    <row r="10" spans="1:4" ht="12.75">
      <c r="A10" s="122">
        <f t="shared" si="0"/>
        <v>2.3</v>
      </c>
      <c r="B10" s="130" t="s">
        <v>117</v>
      </c>
      <c r="C10" s="131" t="s">
        <v>131</v>
      </c>
      <c r="D10" s="132">
        <v>0.7</v>
      </c>
    </row>
    <row r="11" spans="1:4" ht="12.75">
      <c r="A11" s="122">
        <f t="shared" si="0"/>
        <v>3</v>
      </c>
      <c r="B11" s="123" t="s">
        <v>114</v>
      </c>
      <c r="C11" s="124" t="s">
        <v>133</v>
      </c>
      <c r="D11" s="125">
        <v>0.2</v>
      </c>
    </row>
    <row r="12" spans="1:4" ht="12.75">
      <c r="A12" s="122">
        <f t="shared" si="0"/>
        <v>3.2</v>
      </c>
      <c r="B12" s="123" t="s">
        <v>114</v>
      </c>
      <c r="C12" s="124" t="s">
        <v>135</v>
      </c>
      <c r="D12" s="125">
        <v>0.5</v>
      </c>
    </row>
    <row r="13" spans="1:4" ht="12.75">
      <c r="A13" s="122">
        <f t="shared" si="0"/>
        <v>3.7</v>
      </c>
      <c r="B13" s="123" t="s">
        <v>117</v>
      </c>
      <c r="C13" s="124" t="s">
        <v>137</v>
      </c>
      <c r="D13" s="125">
        <v>0.1</v>
      </c>
    </row>
    <row r="14" spans="1:4" ht="12.75">
      <c r="A14" s="122">
        <f t="shared" si="0"/>
        <v>3.8000000000000003</v>
      </c>
      <c r="B14" s="123" t="s">
        <v>117</v>
      </c>
      <c r="C14" s="124" t="s">
        <v>139</v>
      </c>
      <c r="D14" s="125">
        <v>0.1</v>
      </c>
    </row>
    <row r="15" spans="1:4" ht="12.75">
      <c r="A15" s="122">
        <f t="shared" si="0"/>
        <v>3.9000000000000004</v>
      </c>
      <c r="B15" s="123" t="s">
        <v>117</v>
      </c>
      <c r="C15" s="124" t="s">
        <v>141</v>
      </c>
      <c r="D15" s="125">
        <v>0.1</v>
      </c>
    </row>
    <row r="16" spans="1:4" ht="12.75">
      <c r="A16" s="122">
        <f t="shared" si="0"/>
        <v>4</v>
      </c>
      <c r="B16" s="123" t="s">
        <v>117</v>
      </c>
      <c r="C16" s="124" t="s">
        <v>143</v>
      </c>
      <c r="D16" s="125">
        <v>0.2</v>
      </c>
    </row>
    <row r="17" spans="1:4" ht="12.75">
      <c r="A17" s="122">
        <f t="shared" si="0"/>
        <v>4.2</v>
      </c>
      <c r="B17" s="123" t="s">
        <v>117</v>
      </c>
      <c r="C17" s="124" t="s">
        <v>145</v>
      </c>
      <c r="D17" s="125">
        <v>0.2</v>
      </c>
    </row>
    <row r="18" spans="1:4" ht="12.75">
      <c r="A18" s="122">
        <f t="shared" si="0"/>
        <v>4.4</v>
      </c>
      <c r="B18" s="123" t="s">
        <v>114</v>
      </c>
      <c r="C18" s="124" t="s">
        <v>147</v>
      </c>
      <c r="D18" s="125">
        <v>0.2</v>
      </c>
    </row>
    <row r="19" spans="1:4" ht="12.75">
      <c r="A19" s="122">
        <f t="shared" si="0"/>
        <v>4.6000000000000005</v>
      </c>
      <c r="B19" s="123" t="s">
        <v>119</v>
      </c>
      <c r="C19" s="124" t="s">
        <v>149</v>
      </c>
      <c r="D19" s="125">
        <v>4.8</v>
      </c>
    </row>
    <row r="20" spans="1:4" ht="12.75">
      <c r="A20" s="122">
        <f t="shared" si="0"/>
        <v>9.4</v>
      </c>
      <c r="B20" s="123" t="s">
        <v>114</v>
      </c>
      <c r="C20" s="124" t="s">
        <v>151</v>
      </c>
      <c r="D20" s="125">
        <v>0.1</v>
      </c>
    </row>
    <row r="21" spans="1:4" ht="12.75">
      <c r="A21" s="122">
        <f t="shared" si="0"/>
        <v>9.5</v>
      </c>
      <c r="B21" s="123" t="s">
        <v>119</v>
      </c>
      <c r="C21" s="124" t="s">
        <v>153</v>
      </c>
      <c r="D21" s="125">
        <v>0.6</v>
      </c>
    </row>
    <row r="22" spans="1:5" ht="12.75">
      <c r="A22" s="122">
        <f t="shared" si="0"/>
        <v>10.1</v>
      </c>
      <c r="B22" s="136" t="s">
        <v>117</v>
      </c>
      <c r="C22" s="137" t="s">
        <v>155</v>
      </c>
      <c r="D22" s="138">
        <v>0.1</v>
      </c>
      <c r="E22"/>
    </row>
    <row r="23" spans="1:4" ht="60.75">
      <c r="A23" s="115" t="s">
        <v>109</v>
      </c>
      <c r="B23" s="116" t="s">
        <v>110</v>
      </c>
      <c r="C23" s="117" t="s">
        <v>111</v>
      </c>
      <c r="D23" s="118" t="s">
        <v>112</v>
      </c>
    </row>
    <row r="24" spans="1:4" ht="12.75">
      <c r="A24" s="122">
        <f>A22+D22</f>
        <v>10.2</v>
      </c>
      <c r="B24" s="123" t="s">
        <v>114</v>
      </c>
      <c r="C24" s="124" t="s">
        <v>115</v>
      </c>
      <c r="D24" s="125">
        <v>0.1</v>
      </c>
    </row>
    <row r="25" spans="1:4" ht="12.75">
      <c r="A25" s="122">
        <f aca="true" t="shared" si="1" ref="A25:A44">A24+D24</f>
        <v>10.299999999999999</v>
      </c>
      <c r="B25" s="123" t="s">
        <v>117</v>
      </c>
      <c r="C25" s="124" t="s">
        <v>118</v>
      </c>
      <c r="D25" s="125">
        <v>0.5</v>
      </c>
    </row>
    <row r="26" spans="1:4" ht="12.75">
      <c r="A26" s="122">
        <f t="shared" si="1"/>
        <v>10.799999999999999</v>
      </c>
      <c r="B26" s="123" t="s">
        <v>119</v>
      </c>
      <c r="C26" s="124" t="s">
        <v>120</v>
      </c>
      <c r="D26" s="125">
        <v>1</v>
      </c>
    </row>
    <row r="27" spans="1:4" ht="12.75">
      <c r="A27" s="129">
        <f t="shared" si="1"/>
        <v>11.799999999999999</v>
      </c>
      <c r="B27" s="130" t="s">
        <v>114</v>
      </c>
      <c r="C27" s="131" t="s">
        <v>122</v>
      </c>
      <c r="D27" s="132">
        <v>7.6</v>
      </c>
    </row>
    <row r="28" spans="1:4" ht="12.75">
      <c r="A28" s="122">
        <f t="shared" si="1"/>
        <v>19.4</v>
      </c>
      <c r="B28" s="133" t="s">
        <v>114</v>
      </c>
      <c r="C28" s="134" t="s">
        <v>124</v>
      </c>
      <c r="D28" s="125">
        <v>1.7</v>
      </c>
    </row>
    <row r="29" spans="1:4" ht="12.75">
      <c r="A29" s="122">
        <f t="shared" si="1"/>
        <v>21.099999999999998</v>
      </c>
      <c r="B29" s="123" t="s">
        <v>117</v>
      </c>
      <c r="C29" s="124" t="s">
        <v>126</v>
      </c>
      <c r="D29" s="125">
        <v>0</v>
      </c>
    </row>
    <row r="30" spans="1:4" ht="12.75">
      <c r="A30" s="122">
        <f t="shared" si="1"/>
        <v>21.099999999999998</v>
      </c>
      <c r="B30" s="123" t="s">
        <v>117</v>
      </c>
      <c r="C30" s="124" t="s">
        <v>128</v>
      </c>
      <c r="D30" s="125">
        <v>0.3</v>
      </c>
    </row>
    <row r="31" spans="1:4" ht="12.75">
      <c r="A31" s="122">
        <f t="shared" si="1"/>
        <v>21.4</v>
      </c>
      <c r="B31" s="133" t="s">
        <v>119</v>
      </c>
      <c r="C31" s="124" t="s">
        <v>130</v>
      </c>
      <c r="D31" s="125">
        <v>1.7</v>
      </c>
    </row>
    <row r="32" spans="1:4" ht="12.75">
      <c r="A32" s="122">
        <f t="shared" si="1"/>
        <v>23.099999999999998</v>
      </c>
      <c r="B32" s="133" t="s">
        <v>114</v>
      </c>
      <c r="C32" s="124" t="s">
        <v>132</v>
      </c>
      <c r="D32" s="125">
        <v>0.9</v>
      </c>
    </row>
    <row r="33" spans="1:4" ht="12.75">
      <c r="A33" s="122">
        <f t="shared" si="1"/>
        <v>23.999999999999996</v>
      </c>
      <c r="B33" s="133" t="s">
        <v>114</v>
      </c>
      <c r="C33" s="124" t="s">
        <v>134</v>
      </c>
      <c r="D33" s="125">
        <v>1.1</v>
      </c>
    </row>
    <row r="34" spans="1:4" ht="12.75">
      <c r="A34" s="122">
        <f t="shared" si="1"/>
        <v>25.099999999999998</v>
      </c>
      <c r="B34" s="133" t="s">
        <v>114</v>
      </c>
      <c r="C34" s="124" t="s">
        <v>136</v>
      </c>
      <c r="D34" s="125">
        <v>0.3</v>
      </c>
    </row>
    <row r="35" spans="1:4" ht="12.75">
      <c r="A35" s="122">
        <f t="shared" si="1"/>
        <v>25.4</v>
      </c>
      <c r="B35" s="123" t="s">
        <v>119</v>
      </c>
      <c r="C35" s="124" t="s">
        <v>138</v>
      </c>
      <c r="D35" s="125">
        <v>0.4</v>
      </c>
    </row>
    <row r="36" spans="1:4" ht="12.75">
      <c r="A36" s="122">
        <f t="shared" si="1"/>
        <v>25.799999999999997</v>
      </c>
      <c r="B36" s="123" t="s">
        <v>117</v>
      </c>
      <c r="C36" s="124" t="s">
        <v>140</v>
      </c>
      <c r="D36" s="125">
        <v>1</v>
      </c>
    </row>
    <row r="37" spans="1:4" ht="12.75">
      <c r="A37" s="122">
        <f t="shared" si="1"/>
        <v>26.799999999999997</v>
      </c>
      <c r="B37" s="123" t="s">
        <v>117</v>
      </c>
      <c r="C37" s="124" t="s">
        <v>142</v>
      </c>
      <c r="D37" s="125">
        <v>1.5</v>
      </c>
    </row>
    <row r="38" spans="1:4" ht="12.75">
      <c r="A38" s="122">
        <f t="shared" si="1"/>
        <v>28.299999999999997</v>
      </c>
      <c r="B38" s="123" t="s">
        <v>114</v>
      </c>
      <c r="C38" s="124" t="s">
        <v>144</v>
      </c>
      <c r="D38" s="125">
        <v>1.9</v>
      </c>
    </row>
    <row r="39" spans="1:4" ht="12.75">
      <c r="A39" s="122">
        <f t="shared" si="1"/>
        <v>30.199999999999996</v>
      </c>
      <c r="B39" s="123" t="s">
        <v>114</v>
      </c>
      <c r="C39" s="124" t="s">
        <v>146</v>
      </c>
      <c r="D39" s="125">
        <v>3.9</v>
      </c>
    </row>
    <row r="40" spans="1:4" ht="12.75">
      <c r="A40" s="129">
        <f t="shared" si="1"/>
        <v>34.099999999999994</v>
      </c>
      <c r="B40" s="130" t="s">
        <v>117</v>
      </c>
      <c r="C40" s="131" t="s">
        <v>148</v>
      </c>
      <c r="D40" s="132">
        <v>0.8</v>
      </c>
    </row>
    <row r="41" spans="1:4" ht="12.75">
      <c r="A41" s="122">
        <f t="shared" si="1"/>
        <v>34.89999999999999</v>
      </c>
      <c r="B41" s="133" t="s">
        <v>114</v>
      </c>
      <c r="C41" s="134" t="s">
        <v>150</v>
      </c>
      <c r="D41" s="125">
        <v>1.7</v>
      </c>
    </row>
    <row r="42" spans="1:4" ht="12.75">
      <c r="A42" s="122">
        <f t="shared" si="1"/>
        <v>36.599999999999994</v>
      </c>
      <c r="B42" s="133" t="s">
        <v>117</v>
      </c>
      <c r="C42" s="124" t="s">
        <v>152</v>
      </c>
      <c r="D42" s="125">
        <v>1.2</v>
      </c>
    </row>
    <row r="43" spans="1:4" ht="12.75">
      <c r="A43" s="129">
        <f t="shared" si="1"/>
        <v>37.8</v>
      </c>
      <c r="B43" s="130" t="s">
        <v>119</v>
      </c>
      <c r="C43" s="131" t="s">
        <v>154</v>
      </c>
      <c r="D43" s="132">
        <v>1.3</v>
      </c>
    </row>
    <row r="44" spans="1:4" ht="12.75">
      <c r="A44" s="135">
        <f t="shared" si="1"/>
        <v>39.099999999999994</v>
      </c>
      <c r="B44" s="136" t="s">
        <v>114</v>
      </c>
      <c r="C44" s="137" t="s">
        <v>156</v>
      </c>
      <c r="D44" s="138">
        <v>1.3</v>
      </c>
    </row>
    <row r="45" spans="1:4" ht="60.75">
      <c r="A45" s="115" t="s">
        <v>109</v>
      </c>
      <c r="B45" s="116" t="s">
        <v>110</v>
      </c>
      <c r="C45" s="117" t="s">
        <v>111</v>
      </c>
      <c r="D45" s="118" t="s">
        <v>112</v>
      </c>
    </row>
    <row r="46" spans="1:4" ht="12.75">
      <c r="A46" s="122">
        <f>A44+D44</f>
        <v>40.39999999999999</v>
      </c>
      <c r="B46" s="123" t="s">
        <v>119</v>
      </c>
      <c r="C46" s="124" t="s">
        <v>157</v>
      </c>
      <c r="D46" s="125">
        <v>0.1</v>
      </c>
    </row>
    <row r="47" spans="1:4" ht="12.75">
      <c r="A47" s="122">
        <f>A46+D46</f>
        <v>40.49999999999999</v>
      </c>
      <c r="B47" s="123" t="s">
        <v>117</v>
      </c>
      <c r="C47" s="124" t="s">
        <v>159</v>
      </c>
      <c r="D47" s="125">
        <v>0.4</v>
      </c>
    </row>
    <row r="48" spans="1:4" ht="12.75">
      <c r="A48" s="122">
        <f>A47+D47</f>
        <v>40.89999999999999</v>
      </c>
      <c r="B48" s="123" t="s">
        <v>114</v>
      </c>
      <c r="C48" s="124" t="s">
        <v>161</v>
      </c>
      <c r="D48" s="125">
        <v>0.1</v>
      </c>
    </row>
    <row r="49" spans="1:4" ht="12.75">
      <c r="A49" s="122">
        <f aca="true" t="shared" si="2" ref="A49:A55">A48+D48</f>
        <v>40.99999999999999</v>
      </c>
      <c r="B49" s="123" t="s">
        <v>114</v>
      </c>
      <c r="C49" s="124" t="s">
        <v>163</v>
      </c>
      <c r="D49" s="125">
        <v>2.5</v>
      </c>
    </row>
    <row r="50" spans="1:4" ht="12.75">
      <c r="A50" s="122">
        <f t="shared" si="2"/>
        <v>43.49999999999999</v>
      </c>
      <c r="B50" s="123" t="s">
        <v>114</v>
      </c>
      <c r="C50" s="124" t="s">
        <v>165</v>
      </c>
      <c r="D50" s="125">
        <v>0.4</v>
      </c>
    </row>
    <row r="51" spans="1:4" ht="12.75">
      <c r="A51" s="122">
        <f t="shared" si="2"/>
        <v>43.89999999999999</v>
      </c>
      <c r="B51" s="123" t="s">
        <v>117</v>
      </c>
      <c r="C51" s="124" t="s">
        <v>159</v>
      </c>
      <c r="D51" s="125">
        <v>0.3</v>
      </c>
    </row>
    <row r="52" spans="1:4" ht="12.75">
      <c r="A52" s="129">
        <f t="shared" si="2"/>
        <v>44.19999999999999</v>
      </c>
      <c r="B52" s="130" t="s">
        <v>119</v>
      </c>
      <c r="C52" s="131" t="s">
        <v>168</v>
      </c>
      <c r="D52" s="132">
        <v>5.7</v>
      </c>
    </row>
    <row r="53" spans="1:4" ht="12.75">
      <c r="A53" s="122">
        <f t="shared" si="2"/>
        <v>49.89999999999999</v>
      </c>
      <c r="B53" s="123" t="s">
        <v>117</v>
      </c>
      <c r="C53" s="124" t="s">
        <v>170</v>
      </c>
      <c r="D53" s="125">
        <v>0.9</v>
      </c>
    </row>
    <row r="54" spans="1:4" ht="12.75">
      <c r="A54" s="122">
        <f t="shared" si="2"/>
        <v>50.79999999999999</v>
      </c>
      <c r="B54" s="123" t="s">
        <v>119</v>
      </c>
      <c r="C54" s="124" t="s">
        <v>171</v>
      </c>
      <c r="D54" s="125">
        <v>0.2</v>
      </c>
    </row>
    <row r="55" spans="1:4" ht="12.75">
      <c r="A55" s="143">
        <f t="shared" si="2"/>
        <v>50.99999999999999</v>
      </c>
      <c r="B55" s="150"/>
      <c r="C55" s="144" t="s">
        <v>173</v>
      </c>
      <c r="D55" s="132"/>
    </row>
    <row r="56" spans="1:4" ht="12.75">
      <c r="A56" s="129"/>
      <c r="B56" s="144"/>
      <c r="C56" s="144" t="s">
        <v>175</v>
      </c>
      <c r="D56" s="145"/>
    </row>
    <row r="57" spans="1:4" ht="12.75">
      <c r="A57" s="151"/>
      <c r="B57" s="130" t="s">
        <v>114</v>
      </c>
      <c r="C57" s="131" t="s">
        <v>177</v>
      </c>
      <c r="D57" s="132">
        <v>2.6</v>
      </c>
    </row>
    <row r="58" spans="1:4" ht="12.75">
      <c r="A58" s="122">
        <f>A55+D57</f>
        <v>53.599999999999994</v>
      </c>
      <c r="B58" s="123" t="s">
        <v>114</v>
      </c>
      <c r="C58" s="134" t="s">
        <v>179</v>
      </c>
      <c r="D58" s="125">
        <v>1.4</v>
      </c>
    </row>
    <row r="59" spans="1:4" ht="12.75">
      <c r="A59" s="122">
        <f aca="true" t="shared" si="3" ref="A59:A65">A58+D58</f>
        <v>54.99999999999999</v>
      </c>
      <c r="B59" s="123" t="s">
        <v>114</v>
      </c>
      <c r="C59" s="124" t="s">
        <v>181</v>
      </c>
      <c r="D59" s="125">
        <v>1.2</v>
      </c>
    </row>
    <row r="60" spans="1:4" ht="12.75">
      <c r="A60" s="122">
        <f t="shared" si="3"/>
        <v>56.199999999999996</v>
      </c>
      <c r="B60" s="123" t="s">
        <v>114</v>
      </c>
      <c r="C60" s="124" t="s">
        <v>183</v>
      </c>
      <c r="D60" s="125">
        <v>0.1</v>
      </c>
    </row>
    <row r="61" spans="1:4" ht="12.75">
      <c r="A61" s="122">
        <f t="shared" si="3"/>
        <v>56.3</v>
      </c>
      <c r="B61" s="123" t="s">
        <v>119</v>
      </c>
      <c r="C61" s="124" t="s">
        <v>185</v>
      </c>
      <c r="D61" s="125">
        <v>0.1</v>
      </c>
    </row>
    <row r="62" spans="1:4" ht="12.75">
      <c r="A62" s="122">
        <f t="shared" si="3"/>
        <v>56.4</v>
      </c>
      <c r="B62" s="123" t="s">
        <v>117</v>
      </c>
      <c r="C62" s="124" t="s">
        <v>159</v>
      </c>
      <c r="D62" s="125">
        <v>6.1</v>
      </c>
    </row>
    <row r="63" spans="1:4" ht="12.75">
      <c r="A63" s="122">
        <f t="shared" si="3"/>
        <v>62.5</v>
      </c>
      <c r="B63" s="123" t="s">
        <v>117</v>
      </c>
      <c r="C63" s="124" t="s">
        <v>188</v>
      </c>
      <c r="D63" s="125">
        <v>1.8</v>
      </c>
    </row>
    <row r="64" spans="1:4" ht="12.75">
      <c r="A64" s="122">
        <f t="shared" si="3"/>
        <v>64.3</v>
      </c>
      <c r="B64" s="123" t="s">
        <v>114</v>
      </c>
      <c r="C64" s="124" t="s">
        <v>190</v>
      </c>
      <c r="D64" s="125">
        <v>0.6</v>
      </c>
    </row>
    <row r="65" spans="1:4" ht="12.75">
      <c r="A65" s="122">
        <f t="shared" si="3"/>
        <v>64.89999999999999</v>
      </c>
      <c r="B65" s="123" t="s">
        <v>117</v>
      </c>
      <c r="C65" s="124" t="s">
        <v>192</v>
      </c>
      <c r="D65" s="125">
        <v>1.2</v>
      </c>
    </row>
    <row r="66" spans="1:4" ht="12.75">
      <c r="A66" s="122">
        <f>A65+D65</f>
        <v>66.1</v>
      </c>
      <c r="B66" s="123" t="s">
        <v>119</v>
      </c>
      <c r="C66" s="124" t="s">
        <v>194</v>
      </c>
      <c r="D66" s="125">
        <v>1.7</v>
      </c>
    </row>
    <row r="67" spans="1:4" ht="12.75">
      <c r="A67" s="135">
        <f>A66+D66</f>
        <v>67.8</v>
      </c>
      <c r="B67" s="136" t="s">
        <v>114</v>
      </c>
      <c r="C67" s="137" t="s">
        <v>160</v>
      </c>
      <c r="D67" s="138">
        <v>12.9</v>
      </c>
    </row>
    <row r="68" spans="1:4" ht="60.75">
      <c r="A68" s="115" t="s">
        <v>109</v>
      </c>
      <c r="B68" s="116" t="s">
        <v>110</v>
      </c>
      <c r="C68" s="117" t="s">
        <v>111</v>
      </c>
      <c r="D68" s="118" t="s">
        <v>112</v>
      </c>
    </row>
    <row r="69" spans="1:4" ht="12.75">
      <c r="A69" s="122">
        <f>A67+D67</f>
        <v>80.7</v>
      </c>
      <c r="B69" s="123" t="s">
        <v>114</v>
      </c>
      <c r="C69" s="124" t="s">
        <v>158</v>
      </c>
      <c r="D69" s="125">
        <v>5.9</v>
      </c>
    </row>
    <row r="70" spans="1:4" ht="12.75">
      <c r="A70" s="122">
        <f aca="true" t="shared" si="4" ref="A70:A75">A69+D69</f>
        <v>86.60000000000001</v>
      </c>
      <c r="B70" s="123" t="s">
        <v>114</v>
      </c>
      <c r="C70" s="124" t="s">
        <v>160</v>
      </c>
      <c r="D70" s="125">
        <v>1.5</v>
      </c>
    </row>
    <row r="71" spans="1:4" ht="12.75">
      <c r="A71" s="122">
        <f t="shared" si="4"/>
        <v>88.10000000000001</v>
      </c>
      <c r="B71" s="123" t="s">
        <v>114</v>
      </c>
      <c r="C71" s="124" t="s">
        <v>162</v>
      </c>
      <c r="D71" s="125">
        <v>5.7</v>
      </c>
    </row>
    <row r="72" spans="1:4" ht="12.75">
      <c r="A72" s="122">
        <f t="shared" si="4"/>
        <v>93.80000000000001</v>
      </c>
      <c r="B72" s="123" t="s">
        <v>114</v>
      </c>
      <c r="C72" s="124" t="s">
        <v>164</v>
      </c>
      <c r="D72" s="125">
        <v>8.2</v>
      </c>
    </row>
    <row r="73" spans="1:4" ht="12.75">
      <c r="A73" s="122">
        <f t="shared" si="4"/>
        <v>102.00000000000001</v>
      </c>
      <c r="B73" s="123" t="s">
        <v>119</v>
      </c>
      <c r="C73" s="124" t="s">
        <v>166</v>
      </c>
      <c r="D73" s="125">
        <v>0.9</v>
      </c>
    </row>
    <row r="74" spans="1:4" ht="12.75">
      <c r="A74" s="122">
        <f t="shared" si="4"/>
        <v>102.90000000000002</v>
      </c>
      <c r="B74" s="123" t="s">
        <v>119</v>
      </c>
      <c r="C74" s="124" t="s">
        <v>167</v>
      </c>
      <c r="D74" s="125">
        <v>4.7</v>
      </c>
    </row>
    <row r="75" spans="1:4" ht="12.75">
      <c r="A75" s="119">
        <f t="shared" si="4"/>
        <v>107.60000000000002</v>
      </c>
      <c r="B75" s="120" t="s">
        <v>114</v>
      </c>
      <c r="C75" s="120" t="s">
        <v>169</v>
      </c>
      <c r="D75" s="121"/>
    </row>
    <row r="76" spans="1:5" ht="12.75">
      <c r="A76" s="143"/>
      <c r="B76" s="144"/>
      <c r="C76" s="144" t="s">
        <v>28</v>
      </c>
      <c r="D76" s="145"/>
      <c r="E76"/>
    </row>
    <row r="77" spans="1:4" ht="12.75">
      <c r="A77" s="146"/>
      <c r="B77" s="147"/>
      <c r="C77" s="148" t="s">
        <v>172</v>
      </c>
      <c r="D77" s="149"/>
    </row>
    <row r="78" spans="1:4" ht="12.75">
      <c r="A78" s="122">
        <f>A75+D75</f>
        <v>107.60000000000002</v>
      </c>
      <c r="B78" s="123" t="s">
        <v>114</v>
      </c>
      <c r="C78" s="124" t="s">
        <v>174</v>
      </c>
      <c r="D78" s="125">
        <v>0.7</v>
      </c>
    </row>
    <row r="79" spans="1:4" ht="12.75">
      <c r="A79" s="122">
        <f>A78+D78</f>
        <v>108.30000000000003</v>
      </c>
      <c r="B79" s="123" t="s">
        <v>119</v>
      </c>
      <c r="C79" s="124" t="s">
        <v>176</v>
      </c>
      <c r="D79" s="125">
        <v>0.9</v>
      </c>
    </row>
    <row r="80" spans="1:4" ht="12.75">
      <c r="A80" s="122">
        <f>A79+D79</f>
        <v>109.20000000000003</v>
      </c>
      <c r="B80" s="123" t="s">
        <v>119</v>
      </c>
      <c r="C80" s="124" t="s">
        <v>178</v>
      </c>
      <c r="D80" s="125">
        <v>0.8</v>
      </c>
    </row>
    <row r="81" spans="1:4" ht="12.75">
      <c r="A81" s="122">
        <f>A80+D80</f>
        <v>110.00000000000003</v>
      </c>
      <c r="B81" s="123" t="s">
        <v>114</v>
      </c>
      <c r="C81" s="124" t="s">
        <v>180</v>
      </c>
      <c r="D81" s="125">
        <v>0.1</v>
      </c>
    </row>
    <row r="82" spans="1:4" ht="12.75">
      <c r="A82" s="122">
        <f>A81+D81</f>
        <v>110.10000000000002</v>
      </c>
      <c r="B82" s="123" t="s">
        <v>119</v>
      </c>
      <c r="C82" s="124" t="s">
        <v>182</v>
      </c>
      <c r="D82" s="125">
        <v>0.2</v>
      </c>
    </row>
    <row r="83" spans="1:5" ht="12.75">
      <c r="A83" s="122">
        <f>A82+D82</f>
        <v>110.30000000000003</v>
      </c>
      <c r="B83" s="123" t="s">
        <v>114</v>
      </c>
      <c r="C83" s="124" t="s">
        <v>184</v>
      </c>
      <c r="D83" s="125">
        <v>23.1</v>
      </c>
      <c r="E83"/>
    </row>
    <row r="84" spans="1:4" ht="12.75">
      <c r="A84" s="151"/>
      <c r="B84" s="153"/>
      <c r="C84" s="144" t="s">
        <v>186</v>
      </c>
      <c r="D84" s="154"/>
    </row>
    <row r="85" spans="1:4" ht="12.75">
      <c r="A85" s="151"/>
      <c r="B85" s="153"/>
      <c r="C85" s="144" t="s">
        <v>187</v>
      </c>
      <c r="D85" s="154"/>
    </row>
    <row r="86" spans="1:4" ht="12.75">
      <c r="A86" s="151"/>
      <c r="B86" s="153"/>
      <c r="C86" s="144" t="s">
        <v>189</v>
      </c>
      <c r="D86" s="154"/>
    </row>
    <row r="87" spans="1:4" ht="12.75">
      <c r="A87" s="122">
        <f>A83+D83</f>
        <v>133.40000000000003</v>
      </c>
      <c r="B87" s="123" t="s">
        <v>114</v>
      </c>
      <c r="C87" s="124" t="s">
        <v>191</v>
      </c>
      <c r="D87" s="125">
        <v>0.5</v>
      </c>
    </row>
    <row r="88" spans="1:4" ht="12.75">
      <c r="A88" s="122">
        <f>A87+D87</f>
        <v>133.90000000000003</v>
      </c>
      <c r="B88" s="123" t="s">
        <v>119</v>
      </c>
      <c r="C88" s="124" t="s">
        <v>193</v>
      </c>
      <c r="D88" s="125">
        <v>6.8</v>
      </c>
    </row>
    <row r="89" spans="1:4" ht="12.75">
      <c r="A89" s="122">
        <f>A88+D88</f>
        <v>140.70000000000005</v>
      </c>
      <c r="B89" s="123" t="s">
        <v>119</v>
      </c>
      <c r="C89" s="124" t="s">
        <v>195</v>
      </c>
      <c r="D89" s="125">
        <v>0.2</v>
      </c>
    </row>
    <row r="90" spans="1:4" ht="12.75">
      <c r="A90" s="135">
        <f>A89+D89</f>
        <v>140.90000000000003</v>
      </c>
      <c r="B90" s="136" t="s">
        <v>114</v>
      </c>
      <c r="C90" s="137" t="s">
        <v>196</v>
      </c>
      <c r="D90" s="138">
        <v>7.4</v>
      </c>
    </row>
    <row r="91" spans="1:4" ht="60.75">
      <c r="A91" s="115" t="s">
        <v>109</v>
      </c>
      <c r="B91" s="116" t="s">
        <v>110</v>
      </c>
      <c r="C91" s="117" t="s">
        <v>111</v>
      </c>
      <c r="D91" s="118" t="s">
        <v>112</v>
      </c>
    </row>
    <row r="92" spans="1:4" ht="12.75">
      <c r="A92" s="155">
        <f>A90+D90</f>
        <v>148.30000000000004</v>
      </c>
      <c r="B92" s="156" t="s">
        <v>114</v>
      </c>
      <c r="C92" s="157" t="s">
        <v>197</v>
      </c>
      <c r="D92" s="158">
        <v>8.1</v>
      </c>
    </row>
    <row r="93" spans="1:4" ht="12.75">
      <c r="A93" s="129">
        <f aca="true" t="shared" si="5" ref="A93:A98">A92+D92</f>
        <v>156.40000000000003</v>
      </c>
      <c r="B93" s="130" t="s">
        <v>117</v>
      </c>
      <c r="C93" s="131" t="s">
        <v>199</v>
      </c>
      <c r="D93" s="132">
        <v>5</v>
      </c>
    </row>
    <row r="94" spans="1:4" ht="12.75">
      <c r="A94" s="159">
        <f t="shared" si="5"/>
        <v>161.40000000000003</v>
      </c>
      <c r="B94" s="160" t="s">
        <v>117</v>
      </c>
      <c r="C94" s="161" t="s">
        <v>201</v>
      </c>
      <c r="D94" s="162">
        <v>1.1</v>
      </c>
    </row>
    <row r="95" spans="1:4" ht="12.75">
      <c r="A95" s="129">
        <f t="shared" si="5"/>
        <v>162.50000000000003</v>
      </c>
      <c r="B95" s="130" t="s">
        <v>114</v>
      </c>
      <c r="C95" s="131" t="s">
        <v>203</v>
      </c>
      <c r="D95" s="132">
        <v>4.9</v>
      </c>
    </row>
    <row r="96" spans="1:4" ht="12.75">
      <c r="A96" s="129">
        <f t="shared" si="5"/>
        <v>167.40000000000003</v>
      </c>
      <c r="B96" s="130" t="s">
        <v>119</v>
      </c>
      <c r="C96" s="131" t="s">
        <v>205</v>
      </c>
      <c r="D96" s="132">
        <v>4.1</v>
      </c>
    </row>
    <row r="97" spans="1:4" ht="12.75">
      <c r="A97" s="129">
        <f t="shared" si="5"/>
        <v>171.50000000000003</v>
      </c>
      <c r="B97" s="130" t="s">
        <v>119</v>
      </c>
      <c r="C97" s="131" t="s">
        <v>207</v>
      </c>
      <c r="D97" s="132">
        <v>1.6</v>
      </c>
    </row>
    <row r="98" spans="1:4" ht="12.75">
      <c r="A98" s="129">
        <f t="shared" si="5"/>
        <v>173.10000000000002</v>
      </c>
      <c r="B98" s="130" t="s">
        <v>114</v>
      </c>
      <c r="C98" s="131" t="s">
        <v>209</v>
      </c>
      <c r="D98" s="132">
        <v>0.1</v>
      </c>
    </row>
    <row r="99" spans="1:4" ht="12.75">
      <c r="A99" s="129"/>
      <c r="B99" s="130"/>
      <c r="C99" s="131"/>
      <c r="D99" s="132"/>
    </row>
    <row r="100" spans="1:4" ht="12.75">
      <c r="A100" s="119">
        <f>A98+D98</f>
        <v>173.20000000000002</v>
      </c>
      <c r="B100" s="120" t="s">
        <v>114</v>
      </c>
      <c r="C100" s="120" t="s">
        <v>212</v>
      </c>
      <c r="D100" s="121"/>
    </row>
    <row r="101" spans="1:4" ht="12.75">
      <c r="A101" s="119"/>
      <c r="B101" s="120"/>
      <c r="C101" s="163" t="s">
        <v>33</v>
      </c>
      <c r="D101" s="121"/>
    </row>
    <row r="102" spans="1:4" ht="12.75">
      <c r="A102" s="129"/>
      <c r="B102" s="130"/>
      <c r="C102" s="131"/>
      <c r="D102" s="132"/>
    </row>
    <row r="103" spans="1:4" ht="12.75">
      <c r="A103" s="129">
        <f>A100</f>
        <v>173.20000000000002</v>
      </c>
      <c r="B103" s="130" t="s">
        <v>119</v>
      </c>
      <c r="C103" s="131" t="s">
        <v>216</v>
      </c>
      <c r="D103" s="132">
        <v>0.1</v>
      </c>
    </row>
    <row r="104" spans="1:4" ht="12.75">
      <c r="A104" s="164">
        <f aca="true" t="shared" si="6" ref="A104:A110">A103+D103</f>
        <v>173.3</v>
      </c>
      <c r="B104" s="123" t="s">
        <v>114</v>
      </c>
      <c r="C104" s="165" t="s">
        <v>218</v>
      </c>
      <c r="D104" s="125">
        <v>14.2</v>
      </c>
    </row>
    <row r="105" spans="1:4" ht="12.75">
      <c r="A105" s="129">
        <f t="shared" si="6"/>
        <v>187.5</v>
      </c>
      <c r="B105" s="130" t="s">
        <v>114</v>
      </c>
      <c r="C105" s="131" t="s">
        <v>220</v>
      </c>
      <c r="D105" s="132">
        <v>2.5</v>
      </c>
    </row>
    <row r="106" spans="1:4" ht="12.75">
      <c r="A106" s="166">
        <f t="shared" si="6"/>
        <v>190</v>
      </c>
      <c r="B106" s="123" t="s">
        <v>117</v>
      </c>
      <c r="C106" s="134" t="s">
        <v>222</v>
      </c>
      <c r="D106" s="125">
        <v>4.5</v>
      </c>
    </row>
    <row r="107" spans="1:4" ht="12.75">
      <c r="A107" s="166">
        <f t="shared" si="6"/>
        <v>194.5</v>
      </c>
      <c r="B107" s="123" t="s">
        <v>119</v>
      </c>
      <c r="C107" s="124" t="s">
        <v>224</v>
      </c>
      <c r="D107" s="125">
        <v>2.8</v>
      </c>
    </row>
    <row r="108" spans="1:4" ht="12.75">
      <c r="A108" s="166">
        <f t="shared" si="6"/>
        <v>197.3</v>
      </c>
      <c r="B108" s="133" t="s">
        <v>117</v>
      </c>
      <c r="C108" s="134" t="s">
        <v>226</v>
      </c>
      <c r="D108" s="125">
        <v>0.7</v>
      </c>
    </row>
    <row r="109" spans="1:4" ht="12.75">
      <c r="A109" s="166">
        <f t="shared" si="6"/>
        <v>198</v>
      </c>
      <c r="B109" s="133" t="s">
        <v>117</v>
      </c>
      <c r="C109" s="134" t="s">
        <v>228</v>
      </c>
      <c r="D109" s="125">
        <v>10.6</v>
      </c>
    </row>
    <row r="110" spans="1:4" ht="12.75">
      <c r="A110" s="166">
        <f t="shared" si="6"/>
        <v>208.6</v>
      </c>
      <c r="B110" s="123" t="s">
        <v>114</v>
      </c>
      <c r="C110" s="124" t="s">
        <v>229</v>
      </c>
      <c r="D110" s="125">
        <v>12.8</v>
      </c>
    </row>
    <row r="111" spans="1:4" ht="12.75">
      <c r="A111" s="122"/>
      <c r="B111" s="123"/>
      <c r="C111" s="144" t="s">
        <v>186</v>
      </c>
      <c r="D111" s="125"/>
    </row>
    <row r="112" spans="1:4" ht="12.75">
      <c r="A112" s="168"/>
      <c r="B112" s="169"/>
      <c r="C112" s="144" t="s">
        <v>187</v>
      </c>
      <c r="D112" s="170"/>
    </row>
    <row r="113" spans="1:4" ht="12.75">
      <c r="A113" s="135"/>
      <c r="B113" s="136"/>
      <c r="C113" s="172" t="s">
        <v>189</v>
      </c>
      <c r="D113" s="138"/>
    </row>
    <row r="114" spans="1:4" ht="60.75">
      <c r="A114" s="115" t="s">
        <v>109</v>
      </c>
      <c r="B114" s="116" t="s">
        <v>110</v>
      </c>
      <c r="C114" s="117" t="s">
        <v>111</v>
      </c>
      <c r="D114" s="118" t="s">
        <v>112</v>
      </c>
    </row>
    <row r="115" spans="1:4" ht="12.75">
      <c r="A115" s="122">
        <f>A110+D110</f>
        <v>221.4</v>
      </c>
      <c r="B115" s="123" t="s">
        <v>114</v>
      </c>
      <c r="C115" s="134" t="s">
        <v>198</v>
      </c>
      <c r="D115" s="125">
        <v>0.2</v>
      </c>
    </row>
    <row r="116" spans="1:4" ht="12.75">
      <c r="A116" s="122">
        <f aca="true" t="shared" si="7" ref="A116:A131">A115+D115</f>
        <v>221.6</v>
      </c>
      <c r="B116" s="123" t="s">
        <v>114</v>
      </c>
      <c r="C116" s="134" t="s">
        <v>200</v>
      </c>
      <c r="D116" s="125">
        <v>0.8</v>
      </c>
    </row>
    <row r="117" spans="1:4" ht="12.75">
      <c r="A117" s="122">
        <f t="shared" si="7"/>
        <v>222.4</v>
      </c>
      <c r="B117" s="123" t="s">
        <v>119</v>
      </c>
      <c r="C117" s="134" t="s">
        <v>202</v>
      </c>
      <c r="D117" s="125">
        <v>0.4</v>
      </c>
    </row>
    <row r="118" spans="1:4" ht="12.75">
      <c r="A118" s="122">
        <f t="shared" si="7"/>
        <v>222.8</v>
      </c>
      <c r="B118" s="123" t="s">
        <v>119</v>
      </c>
      <c r="C118" s="134" t="s">
        <v>204</v>
      </c>
      <c r="D118" s="125">
        <v>1.3</v>
      </c>
    </row>
    <row r="119" spans="1:4" ht="12.75">
      <c r="A119" s="122">
        <f t="shared" si="7"/>
        <v>224.10000000000002</v>
      </c>
      <c r="B119" s="123" t="s">
        <v>117</v>
      </c>
      <c r="C119" s="124" t="s">
        <v>206</v>
      </c>
      <c r="D119" s="125">
        <v>3</v>
      </c>
    </row>
    <row r="120" spans="1:4" ht="12.75">
      <c r="A120" s="122">
        <f t="shared" si="7"/>
        <v>227.10000000000002</v>
      </c>
      <c r="B120" s="133" t="s">
        <v>114</v>
      </c>
      <c r="C120" s="134" t="s">
        <v>208</v>
      </c>
      <c r="D120" s="125">
        <v>14.6</v>
      </c>
    </row>
    <row r="121" spans="1:4" ht="12.75">
      <c r="A121" s="122">
        <f t="shared" si="7"/>
        <v>241.70000000000002</v>
      </c>
      <c r="B121" s="133" t="s">
        <v>117</v>
      </c>
      <c r="C121" s="134" t="s">
        <v>210</v>
      </c>
      <c r="D121" s="125">
        <v>0.7</v>
      </c>
    </row>
    <row r="122" spans="1:4" ht="12.75">
      <c r="A122" s="122">
        <f t="shared" si="7"/>
        <v>242.4</v>
      </c>
      <c r="B122" s="133" t="s">
        <v>114</v>
      </c>
      <c r="C122" s="134" t="s">
        <v>211</v>
      </c>
      <c r="D122" s="125">
        <v>0.1</v>
      </c>
    </row>
    <row r="123" spans="1:4" ht="12.75">
      <c r="A123" s="122">
        <f t="shared" si="7"/>
        <v>242.5</v>
      </c>
      <c r="B123" s="133" t="s">
        <v>119</v>
      </c>
      <c r="C123" s="134" t="s">
        <v>213</v>
      </c>
      <c r="D123" s="125">
        <v>0.3</v>
      </c>
    </row>
    <row r="124" spans="1:4" ht="12.75">
      <c r="A124" s="122">
        <f t="shared" si="7"/>
        <v>242.8</v>
      </c>
      <c r="B124" s="133" t="s">
        <v>114</v>
      </c>
      <c r="C124" s="134" t="s">
        <v>214</v>
      </c>
      <c r="D124" s="125">
        <v>0.4</v>
      </c>
    </row>
    <row r="125" spans="1:4" ht="12.75">
      <c r="A125" s="122">
        <f t="shared" si="7"/>
        <v>243.20000000000002</v>
      </c>
      <c r="B125" s="133" t="s">
        <v>119</v>
      </c>
      <c r="C125" s="134" t="s">
        <v>215</v>
      </c>
      <c r="D125" s="125">
        <v>0.5</v>
      </c>
    </row>
    <row r="126" spans="1:4" ht="12.75">
      <c r="A126" s="122">
        <f t="shared" si="7"/>
        <v>243.70000000000002</v>
      </c>
      <c r="B126" s="133" t="s">
        <v>114</v>
      </c>
      <c r="C126" s="134" t="s">
        <v>217</v>
      </c>
      <c r="D126" s="125">
        <v>0.7</v>
      </c>
    </row>
    <row r="127" spans="1:4" ht="12.75">
      <c r="A127" s="122">
        <f t="shared" si="7"/>
        <v>244.4</v>
      </c>
      <c r="B127" s="133" t="s">
        <v>119</v>
      </c>
      <c r="C127" s="134" t="s">
        <v>219</v>
      </c>
      <c r="D127" s="125">
        <v>0.7</v>
      </c>
    </row>
    <row r="128" spans="1:4" ht="12.75">
      <c r="A128" s="122">
        <f t="shared" si="7"/>
        <v>245.1</v>
      </c>
      <c r="B128" s="123" t="s">
        <v>114</v>
      </c>
      <c r="C128" s="124" t="s">
        <v>221</v>
      </c>
      <c r="D128" s="125">
        <v>5.2</v>
      </c>
    </row>
    <row r="129" spans="1:4" ht="12.75">
      <c r="A129" s="122">
        <f t="shared" si="7"/>
        <v>250.29999999999998</v>
      </c>
      <c r="B129" s="133" t="s">
        <v>117</v>
      </c>
      <c r="C129" s="134" t="s">
        <v>223</v>
      </c>
      <c r="D129" s="125">
        <v>0.2</v>
      </c>
    </row>
    <row r="130" spans="1:4" ht="12.75">
      <c r="A130" s="129">
        <f t="shared" si="7"/>
        <v>250.49999999999997</v>
      </c>
      <c r="B130" s="130" t="s">
        <v>119</v>
      </c>
      <c r="C130" s="131" t="s">
        <v>225</v>
      </c>
      <c r="D130" s="132">
        <v>2.5</v>
      </c>
    </row>
    <row r="131" spans="1:4" ht="12.75">
      <c r="A131" s="122">
        <f t="shared" si="7"/>
        <v>252.99999999999997</v>
      </c>
      <c r="B131" s="123" t="s">
        <v>119</v>
      </c>
      <c r="C131" s="124" t="s">
        <v>227</v>
      </c>
      <c r="D131" s="125">
        <v>6.6</v>
      </c>
    </row>
    <row r="132" spans="1:4" ht="12.75">
      <c r="A132" s="119"/>
      <c r="B132" s="120"/>
      <c r="C132" s="120"/>
      <c r="D132" s="125"/>
    </row>
    <row r="133" spans="1:4" ht="12.75">
      <c r="A133" s="119">
        <f>A131+D131</f>
        <v>259.59999999999997</v>
      </c>
      <c r="B133" s="120" t="s">
        <v>114</v>
      </c>
      <c r="C133" s="120" t="s">
        <v>230</v>
      </c>
      <c r="D133" s="125"/>
    </row>
    <row r="134" spans="1:4" ht="12.75">
      <c r="A134" s="122"/>
      <c r="B134" s="167"/>
      <c r="C134" s="167" t="s">
        <v>231</v>
      </c>
      <c r="D134" s="125"/>
    </row>
    <row r="135" spans="1:4" ht="12.75">
      <c r="A135" s="122"/>
      <c r="B135" s="133"/>
      <c r="C135" s="171"/>
      <c r="D135" s="125"/>
    </row>
    <row r="136" spans="1:4" ht="12.75">
      <c r="A136" s="135"/>
      <c r="B136" s="136"/>
      <c r="C136" s="137"/>
      <c r="D136" s="138"/>
    </row>
    <row r="137" spans="1:4" ht="60.75">
      <c r="A137" s="115" t="s">
        <v>109</v>
      </c>
      <c r="B137" s="116" t="s">
        <v>110</v>
      </c>
      <c r="C137" s="117" t="s">
        <v>111</v>
      </c>
      <c r="D137" s="118" t="s">
        <v>112</v>
      </c>
    </row>
    <row r="138" spans="1:4" ht="12.75">
      <c r="A138" s="122">
        <f>A133</f>
        <v>259.59999999999997</v>
      </c>
      <c r="B138" s="133" t="s">
        <v>117</v>
      </c>
      <c r="C138" s="134" t="s">
        <v>232</v>
      </c>
      <c r="D138" s="125">
        <v>8.8</v>
      </c>
    </row>
    <row r="139" spans="1:4" ht="12.75">
      <c r="A139" s="122">
        <f>A138+D138</f>
        <v>268.4</v>
      </c>
      <c r="B139" s="133" t="s">
        <v>114</v>
      </c>
      <c r="C139" s="134" t="s">
        <v>233</v>
      </c>
      <c r="D139" s="125">
        <v>5.5</v>
      </c>
    </row>
    <row r="140" spans="1:4" ht="12.75">
      <c r="A140" s="122">
        <f aca="true" t="shared" si="8" ref="A140:A151">A139+D139</f>
        <v>273.9</v>
      </c>
      <c r="B140" s="123" t="s">
        <v>119</v>
      </c>
      <c r="C140" s="124" t="s">
        <v>234</v>
      </c>
      <c r="D140" s="125">
        <v>6.7</v>
      </c>
    </row>
    <row r="141" spans="1:4" ht="12.75">
      <c r="A141" s="122">
        <f t="shared" si="8"/>
        <v>280.59999999999997</v>
      </c>
      <c r="B141" s="123" t="s">
        <v>119</v>
      </c>
      <c r="C141" s="124" t="s">
        <v>235</v>
      </c>
      <c r="D141" s="125">
        <v>5.3</v>
      </c>
    </row>
    <row r="142" spans="1:5" ht="12.75">
      <c r="A142" s="122">
        <f t="shared" si="8"/>
        <v>285.9</v>
      </c>
      <c r="B142" s="123" t="s">
        <v>114</v>
      </c>
      <c r="C142" s="124" t="s">
        <v>236</v>
      </c>
      <c r="D142" s="125">
        <v>0.5</v>
      </c>
      <c r="E142"/>
    </row>
    <row r="143" spans="1:4" ht="12.75">
      <c r="A143" s="122">
        <f t="shared" si="8"/>
        <v>286.4</v>
      </c>
      <c r="B143" s="123" t="s">
        <v>119</v>
      </c>
      <c r="C143" s="124" t="s">
        <v>237</v>
      </c>
      <c r="D143" s="125">
        <v>6.6</v>
      </c>
    </row>
    <row r="144" spans="1:4" ht="12.75">
      <c r="A144" s="122">
        <f t="shared" si="8"/>
        <v>293</v>
      </c>
      <c r="B144" s="123" t="s">
        <v>114</v>
      </c>
      <c r="C144" s="124" t="s">
        <v>238</v>
      </c>
      <c r="D144" s="125">
        <v>1.2</v>
      </c>
    </row>
    <row r="145" spans="1:4" ht="12.75">
      <c r="A145" s="129">
        <f t="shared" si="8"/>
        <v>294.2</v>
      </c>
      <c r="B145" s="130" t="s">
        <v>119</v>
      </c>
      <c r="C145" s="131" t="s">
        <v>239</v>
      </c>
      <c r="D145" s="132">
        <v>4.1</v>
      </c>
    </row>
    <row r="146" spans="1:4" ht="12.75">
      <c r="A146" s="122">
        <f t="shared" si="8"/>
        <v>298.3</v>
      </c>
      <c r="B146" s="123" t="s">
        <v>114</v>
      </c>
      <c r="C146" s="124" t="s">
        <v>240</v>
      </c>
      <c r="D146" s="125">
        <v>0.3</v>
      </c>
    </row>
    <row r="147" spans="1:4" ht="12.75">
      <c r="A147" s="122">
        <f t="shared" si="8"/>
        <v>298.6</v>
      </c>
      <c r="B147" s="123" t="s">
        <v>114</v>
      </c>
      <c r="C147" s="124" t="s">
        <v>241</v>
      </c>
      <c r="D147" s="125">
        <v>2.1</v>
      </c>
    </row>
    <row r="148" spans="1:4" ht="12.75">
      <c r="A148" s="122">
        <f t="shared" si="8"/>
        <v>300.70000000000005</v>
      </c>
      <c r="B148" s="123" t="s">
        <v>114</v>
      </c>
      <c r="C148" s="124" t="s">
        <v>242</v>
      </c>
      <c r="D148" s="125">
        <v>2.6</v>
      </c>
    </row>
    <row r="149" spans="1:4" ht="12.75">
      <c r="A149" s="122">
        <f t="shared" si="8"/>
        <v>303.30000000000007</v>
      </c>
      <c r="B149" s="123" t="s">
        <v>117</v>
      </c>
      <c r="C149" s="124" t="s">
        <v>243</v>
      </c>
      <c r="D149" s="125">
        <v>3.3</v>
      </c>
    </row>
    <row r="150" spans="1:4" ht="12.75">
      <c r="A150" s="122">
        <f t="shared" si="8"/>
        <v>306.6000000000001</v>
      </c>
      <c r="B150" s="123" t="s">
        <v>117</v>
      </c>
      <c r="C150" s="124" t="s">
        <v>244</v>
      </c>
      <c r="D150" s="125">
        <v>0.6</v>
      </c>
    </row>
    <row r="151" spans="1:4" ht="12.75">
      <c r="A151" s="122">
        <f t="shared" si="8"/>
        <v>307.2000000000001</v>
      </c>
      <c r="B151" s="123" t="s">
        <v>245</v>
      </c>
      <c r="C151" s="124" t="s">
        <v>246</v>
      </c>
      <c r="D151" s="125">
        <v>0.05</v>
      </c>
    </row>
    <row r="152" spans="1:4" ht="12.75">
      <c r="A152" s="122">
        <v>307.2</v>
      </c>
      <c r="B152" s="123" t="s">
        <v>117</v>
      </c>
      <c r="C152" s="124" t="s">
        <v>247</v>
      </c>
      <c r="D152" s="125"/>
    </row>
    <row r="153" spans="1:4" ht="12.75">
      <c r="A153" s="122">
        <f>A151+D151</f>
        <v>307.2500000000001</v>
      </c>
      <c r="B153" s="123" t="s">
        <v>114</v>
      </c>
      <c r="C153" s="124" t="s">
        <v>248</v>
      </c>
      <c r="D153" s="125"/>
    </row>
    <row r="154" spans="1:4" ht="12.75">
      <c r="A154" s="122"/>
      <c r="B154" s="123"/>
      <c r="C154" s="124"/>
      <c r="D154" s="125"/>
    </row>
    <row r="155" spans="1:4" ht="12.75">
      <c r="A155" s="119">
        <f>A151+D151</f>
        <v>307.2500000000001</v>
      </c>
      <c r="B155" s="120" t="s">
        <v>119</v>
      </c>
      <c r="C155" s="120" t="s">
        <v>249</v>
      </c>
      <c r="D155" s="121"/>
    </row>
    <row r="156" spans="1:4" ht="12.75">
      <c r="A156" s="119"/>
      <c r="B156" s="120"/>
      <c r="C156" s="120" t="s">
        <v>250</v>
      </c>
      <c r="D156" s="121"/>
    </row>
    <row r="157" spans="1:4" ht="12.75">
      <c r="A157" s="135"/>
      <c r="B157" s="136"/>
      <c r="C157" s="174" t="s">
        <v>251</v>
      </c>
      <c r="D157" s="138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5625" style="0" customWidth="1"/>
    <col min="4" max="16384" width="8.8515625" style="0" customWidth="1"/>
  </cols>
  <sheetData>
    <row r="1" spans="1:4" ht="15">
      <c r="A1" s="175" t="str">
        <f>Brevet_Number</f>
        <v>VI0300A</v>
      </c>
      <c r="B1" s="175"/>
      <c r="C1" s="175"/>
      <c r="D1" s="175"/>
    </row>
    <row r="2" spans="1:4" ht="15">
      <c r="A2" s="176" t="s">
        <v>252</v>
      </c>
      <c r="B2" s="176"/>
      <c r="C2" s="177"/>
      <c r="D2" s="178" t="s">
        <v>253</v>
      </c>
    </row>
    <row r="3" spans="1:5" ht="12.75">
      <c r="A3" s="80" t="str">
        <f>Riders!C4</f>
        <v>Jacques</v>
      </c>
      <c r="B3" s="31" t="str">
        <f>Riders!B4</f>
        <v>Bilinski</v>
      </c>
      <c r="C3" s="31"/>
      <c r="D3" s="179">
        <f>Riders!O4</f>
        <v>0</v>
      </c>
      <c r="E3">
        <f>IF(ISBLANK(Riders!P4),"",Riders!P4)</f>
      </c>
    </row>
    <row r="4" spans="1:5" ht="12.75">
      <c r="A4" s="80" t="str">
        <f>Riders!C5</f>
        <v>Graham</v>
      </c>
      <c r="B4" s="31" t="str">
        <f>Riders!B5</f>
        <v>Fishlock</v>
      </c>
      <c r="C4" s="31"/>
      <c r="D4" s="179">
        <f>Riders!O5</f>
        <v>0</v>
      </c>
      <c r="E4">
        <f>IF(ISBLANK(Riders!P5),"",Riders!P5)</f>
      </c>
    </row>
    <row r="5" spans="1:5" ht="12.75">
      <c r="A5" s="80" t="str">
        <f>Riders!C6</f>
        <v>Darren</v>
      </c>
      <c r="B5" s="31" t="str">
        <f>Riders!B6</f>
        <v>Inouye</v>
      </c>
      <c r="C5" s="31"/>
      <c r="D5" s="179">
        <f>Riders!O6</f>
        <v>0</v>
      </c>
      <c r="E5">
        <f>IF(ISBLANK(Riders!P6),"",Riders!P6)</f>
      </c>
    </row>
    <row r="6" spans="1:5" ht="12.75">
      <c r="A6" s="80" t="str">
        <f>Riders!C7</f>
        <v>Ed</v>
      </c>
      <c r="B6" s="31" t="str">
        <f>Riders!B7</f>
        <v>Person</v>
      </c>
      <c r="C6" s="31"/>
      <c r="D6" s="179">
        <f>Riders!O7</f>
        <v>0</v>
      </c>
      <c r="E6">
        <f>IF(ISBLANK('[1]Riders'!P8),"",'[1]Riders'!P8)</f>
      </c>
    </row>
    <row r="7" spans="1:4" ht="12.75">
      <c r="A7" s="80" t="str">
        <f>Riders!C8</f>
        <v>Jim</v>
      </c>
      <c r="B7" s="31" t="str">
        <f>Riders!B8</f>
        <v>Runkel</v>
      </c>
      <c r="C7" s="31"/>
      <c r="D7" s="179">
        <f>Riders!O8</f>
        <v>0</v>
      </c>
    </row>
    <row r="8" spans="1:4" ht="12.75">
      <c r="A8" s="80" t="str">
        <f>Riders!C9</f>
        <v>Clyde</v>
      </c>
      <c r="B8" s="31" t="str">
        <f>Riders!B9</f>
        <v>Scollan</v>
      </c>
      <c r="C8" s="31"/>
      <c r="D8" s="179">
        <f>Riders!O9</f>
        <v>0</v>
      </c>
    </row>
    <row r="9" spans="1:4" ht="12.75">
      <c r="A9" s="80">
        <f>Riders!C10</f>
        <v>0</v>
      </c>
      <c r="B9" s="31">
        <f>Riders!B10</f>
        <v>0</v>
      </c>
      <c r="C9" s="31"/>
      <c r="D9" s="179">
        <f>Riders!O10</f>
        <v>0</v>
      </c>
    </row>
    <row r="10" spans="1:4" ht="12.75">
      <c r="A10" s="80">
        <f>Riders!C11</f>
        <v>0</v>
      </c>
      <c r="B10" s="31">
        <f>Riders!B11</f>
        <v>0</v>
      </c>
      <c r="C10" s="31"/>
      <c r="D10" s="179">
        <f>Riders!O11</f>
        <v>0</v>
      </c>
    </row>
    <row r="11" spans="1:4" ht="12.75">
      <c r="A11" s="80">
        <f>Riders!C12</f>
        <v>0</v>
      </c>
      <c r="B11" s="31">
        <f>Riders!B12</f>
        <v>0</v>
      </c>
      <c r="C11" s="31"/>
      <c r="D11" s="179">
        <f>Riders!O12</f>
        <v>0</v>
      </c>
    </row>
    <row r="12" spans="1:4" ht="12.75">
      <c r="A12" s="80">
        <f>Riders!C13</f>
        <v>0</v>
      </c>
      <c r="B12" s="31">
        <f>Riders!B13</f>
        <v>0</v>
      </c>
      <c r="C12" s="31"/>
      <c r="D12" s="179">
        <f>Riders!O13</f>
        <v>0</v>
      </c>
    </row>
    <row r="14" ht="12.75">
      <c r="A14" t="s">
        <v>254</v>
      </c>
    </row>
    <row r="15" ht="12.75">
      <c r="A15" t="s">
        <v>255</v>
      </c>
    </row>
    <row r="16" ht="12.75">
      <c r="A16" t="s">
        <v>256</v>
      </c>
    </row>
    <row r="17" ht="12.75">
      <c r="A17" t="s">
        <v>257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15th  March, 1998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Hinde-Raymond Parker</dc:creator>
  <cp:keywords/>
  <dc:description/>
  <cp:lastModifiedBy>Lindsay Martin</cp:lastModifiedBy>
  <cp:lastPrinted>2011-04-21T01:04:08Z</cp:lastPrinted>
  <dcterms:created xsi:type="dcterms:W3CDTF">1997-11-12T04:43:39Z</dcterms:created>
  <dcterms:modified xsi:type="dcterms:W3CDTF">2011-04-21T01:12:13Z</dcterms:modified>
  <cp:category/>
  <cp:version/>
  <cp:contentType/>
  <cp:contentStatus/>
</cp:coreProperties>
</file>